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15"/>
  <workbookPr/>
  <mc:AlternateContent xmlns:mc="http://schemas.openxmlformats.org/markup-compatibility/2006">
    <mc:Choice Requires="x15">
      <x15ac:absPath xmlns:x15ac="http://schemas.microsoft.com/office/spreadsheetml/2010/11/ac" url="D:\working\waccache\SN3PEPF0000E56F\EXCELCNV\72232bba-d84a-417f-a525-5e82d34e6612\"/>
    </mc:Choice>
  </mc:AlternateContent>
  <xr:revisionPtr revIDLastSave="0" documentId="8_{8AAD4CFE-68AF-4564-9293-2117EB6DB211}" xr6:coauthVersionLast="47" xr6:coauthVersionMax="47" xr10:uidLastSave="{00000000-0000-0000-0000-000000000000}"/>
  <bookViews>
    <workbookView xWindow="-60" yWindow="-60" windowWidth="15480" windowHeight="11640" firstSheet="4" activeTab="4" xr2:uid="{00000000-000D-0000-FFFF-FFFF00000000}"/>
  </bookViews>
  <sheets>
    <sheet name="PRECIO TERMINAL PEMEX" sheetId="1" r:id="rId1"/>
    <sheet name="DESCUENTO PROVEEDORES" sheetId="6" r:id="rId2"/>
    <sheet name="PRECIO VENTA E.S" sheetId="2" r:id="rId3"/>
    <sheet name="Listas" sheetId="5" r:id="rId4"/>
    <sheet name="AGOSTO 2024" sheetId="3" r:id="rId5"/>
  </sheets>
  <definedNames>
    <definedName name="_xlnm._FilterDatabase" localSheetId="3" hidden="1">Listas!$C$4:$D$17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" i="3" l="1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68" i="3"/>
  <c r="M369" i="3"/>
  <c r="M370" i="3"/>
  <c r="M371" i="3"/>
  <c r="M372" i="3"/>
  <c r="M373" i="3"/>
  <c r="M374" i="3"/>
  <c r="M375" i="3"/>
  <c r="M376" i="3"/>
  <c r="M377" i="3"/>
  <c r="M378" i="3"/>
  <c r="M379" i="3"/>
  <c r="M380" i="3"/>
  <c r="M381" i="3"/>
  <c r="M382" i="3"/>
  <c r="M383" i="3"/>
  <c r="M384" i="3"/>
  <c r="M385" i="3"/>
  <c r="M386" i="3"/>
  <c r="M387" i="3"/>
  <c r="M388" i="3"/>
  <c r="M389" i="3"/>
  <c r="M390" i="3"/>
  <c r="M391" i="3"/>
  <c r="M392" i="3"/>
  <c r="M393" i="3"/>
  <c r="M394" i="3"/>
  <c r="M395" i="3"/>
  <c r="M396" i="3"/>
  <c r="M397" i="3"/>
  <c r="M398" i="3"/>
  <c r="M399" i="3"/>
  <c r="M400" i="3"/>
  <c r="M401" i="3"/>
  <c r="M402" i="3"/>
  <c r="M403" i="3"/>
  <c r="M404" i="3"/>
  <c r="M405" i="3"/>
  <c r="M406" i="3"/>
  <c r="M407" i="3"/>
  <c r="M408" i="3"/>
  <c r="M409" i="3"/>
  <c r="M410" i="3"/>
  <c r="M411" i="3"/>
  <c r="M412" i="3"/>
  <c r="M413" i="3"/>
  <c r="M414" i="3"/>
  <c r="M415" i="3"/>
  <c r="M416" i="3"/>
  <c r="M417" i="3"/>
  <c r="M418" i="3"/>
  <c r="M419" i="3"/>
  <c r="M420" i="3"/>
  <c r="M421" i="3"/>
  <c r="M422" i="3"/>
  <c r="M423" i="3"/>
  <c r="M424" i="3"/>
  <c r="M425" i="3"/>
  <c r="M426" i="3"/>
  <c r="M427" i="3"/>
  <c r="M428" i="3"/>
  <c r="M429" i="3"/>
  <c r="M430" i="3"/>
  <c r="M431" i="3"/>
  <c r="M432" i="3"/>
  <c r="M433" i="3"/>
  <c r="M434" i="3"/>
  <c r="M435" i="3"/>
  <c r="M436" i="3"/>
  <c r="M437" i="3"/>
  <c r="M438" i="3"/>
  <c r="M439" i="3"/>
  <c r="M440" i="3"/>
  <c r="M441" i="3"/>
  <c r="M442" i="3"/>
  <c r="M443" i="3"/>
  <c r="M444" i="3"/>
  <c r="M445" i="3"/>
  <c r="M446" i="3"/>
  <c r="M447" i="3"/>
  <c r="M448" i="3"/>
  <c r="M449" i="3"/>
  <c r="M450" i="3"/>
  <c r="M451" i="3"/>
  <c r="M452" i="3"/>
  <c r="M453" i="3"/>
  <c r="M454" i="3"/>
  <c r="M455" i="3"/>
  <c r="M456" i="3"/>
  <c r="M457" i="3"/>
  <c r="M458" i="3"/>
  <c r="M459" i="3"/>
  <c r="M460" i="3"/>
  <c r="M461" i="3"/>
  <c r="M462" i="3"/>
  <c r="M463" i="3"/>
  <c r="M464" i="3"/>
  <c r="M465" i="3"/>
  <c r="M466" i="3"/>
  <c r="M467" i="3"/>
  <c r="M468" i="3"/>
  <c r="M469" i="3"/>
  <c r="M470" i="3"/>
  <c r="M471" i="3"/>
  <c r="M472" i="3"/>
  <c r="M473" i="3"/>
  <c r="M474" i="3"/>
  <c r="M475" i="3"/>
  <c r="M476" i="3"/>
  <c r="M477" i="3"/>
  <c r="M478" i="3"/>
  <c r="M479" i="3"/>
  <c r="M480" i="3"/>
  <c r="M481" i="3"/>
  <c r="M482" i="3"/>
  <c r="M483" i="3"/>
  <c r="M484" i="3"/>
  <c r="M485" i="3"/>
  <c r="M486" i="3"/>
  <c r="M487" i="3"/>
  <c r="M488" i="3"/>
  <c r="M489" i="3"/>
  <c r="M490" i="3"/>
  <c r="M491" i="3"/>
  <c r="M492" i="3"/>
  <c r="M493" i="3"/>
  <c r="M494" i="3"/>
  <c r="M495" i="3"/>
  <c r="M496" i="3"/>
  <c r="M497" i="3"/>
  <c r="M498" i="3"/>
  <c r="M499" i="3"/>
  <c r="M500" i="3"/>
  <c r="M501" i="3"/>
  <c r="M502" i="3"/>
  <c r="M503" i="3"/>
  <c r="M504" i="3"/>
  <c r="M505" i="3"/>
  <c r="M506" i="3"/>
  <c r="M507" i="3"/>
  <c r="M508" i="3"/>
  <c r="M509" i="3"/>
  <c r="M510" i="3"/>
  <c r="M511" i="3"/>
  <c r="M512" i="3"/>
  <c r="M513" i="3"/>
  <c r="M514" i="3"/>
  <c r="M515" i="3"/>
  <c r="M516" i="3"/>
  <c r="M517" i="3"/>
  <c r="M518" i="3"/>
  <c r="M519" i="3"/>
  <c r="M520" i="3"/>
  <c r="M521" i="3"/>
  <c r="M522" i="3"/>
  <c r="M523" i="3"/>
  <c r="M524" i="3"/>
  <c r="M525" i="3"/>
  <c r="M526" i="3"/>
  <c r="M527" i="3"/>
  <c r="M528" i="3"/>
  <c r="M529" i="3"/>
  <c r="M530" i="3"/>
  <c r="M531" i="3"/>
  <c r="M532" i="3"/>
  <c r="M533" i="3"/>
  <c r="M534" i="3"/>
  <c r="M535" i="3"/>
  <c r="M536" i="3"/>
  <c r="M537" i="3"/>
  <c r="M538" i="3"/>
  <c r="M539" i="3"/>
  <c r="M540" i="3"/>
  <c r="M541" i="3"/>
  <c r="M542" i="3"/>
  <c r="M543" i="3"/>
  <c r="M544" i="3"/>
  <c r="M545" i="3"/>
  <c r="M546" i="3"/>
  <c r="M547" i="3"/>
  <c r="M548" i="3"/>
  <c r="M549" i="3"/>
  <c r="M550" i="3"/>
  <c r="M551" i="3"/>
  <c r="M552" i="3"/>
  <c r="M553" i="3"/>
  <c r="M554" i="3"/>
  <c r="M555" i="3"/>
  <c r="M556" i="3"/>
  <c r="M557" i="3"/>
  <c r="M558" i="3"/>
  <c r="M559" i="3"/>
  <c r="M560" i="3"/>
  <c r="M561" i="3"/>
  <c r="M562" i="3"/>
  <c r="M563" i="3"/>
  <c r="M564" i="3"/>
  <c r="M565" i="3"/>
  <c r="M566" i="3"/>
  <c r="M567" i="3"/>
  <c r="M568" i="3"/>
  <c r="M569" i="3"/>
  <c r="M570" i="3"/>
  <c r="M571" i="3"/>
  <c r="M572" i="3"/>
  <c r="M573" i="3"/>
  <c r="M574" i="3"/>
  <c r="M575" i="3"/>
  <c r="M576" i="3"/>
  <c r="M577" i="3"/>
  <c r="M578" i="3"/>
  <c r="M579" i="3"/>
  <c r="M580" i="3"/>
  <c r="M581" i="3"/>
  <c r="M582" i="3"/>
  <c r="M583" i="3"/>
  <c r="M584" i="3"/>
  <c r="M585" i="3"/>
  <c r="M586" i="3"/>
  <c r="M587" i="3"/>
  <c r="M588" i="3"/>
  <c r="M589" i="3"/>
  <c r="M590" i="3"/>
  <c r="M591" i="3"/>
  <c r="M592" i="3"/>
  <c r="M593" i="3"/>
  <c r="M594" i="3"/>
  <c r="M595" i="3"/>
  <c r="M596" i="3"/>
  <c r="M597" i="3"/>
  <c r="M598" i="3"/>
  <c r="M599" i="3"/>
  <c r="M600" i="3"/>
  <c r="M601" i="3"/>
  <c r="M602" i="3"/>
  <c r="M603" i="3"/>
  <c r="M604" i="3"/>
  <c r="M605" i="3"/>
  <c r="M606" i="3"/>
  <c r="M607" i="3"/>
  <c r="M608" i="3"/>
  <c r="M609" i="3"/>
  <c r="M610" i="3"/>
  <c r="M611" i="3"/>
  <c r="M612" i="3"/>
  <c r="M613" i="3"/>
  <c r="M614" i="3"/>
  <c r="M615" i="3"/>
  <c r="M616" i="3"/>
  <c r="M617" i="3"/>
  <c r="M618" i="3"/>
  <c r="M619" i="3"/>
  <c r="M620" i="3"/>
  <c r="M621" i="3"/>
  <c r="M622" i="3"/>
  <c r="M623" i="3"/>
  <c r="M624" i="3"/>
  <c r="M625" i="3"/>
  <c r="M626" i="3"/>
  <c r="M627" i="3"/>
  <c r="M628" i="3"/>
  <c r="M629" i="3"/>
  <c r="M630" i="3"/>
  <c r="M631" i="3"/>
  <c r="M632" i="3"/>
  <c r="M633" i="3"/>
  <c r="M634" i="3"/>
  <c r="M635" i="3"/>
  <c r="M636" i="3"/>
  <c r="M637" i="3"/>
  <c r="M638" i="3"/>
  <c r="M639" i="3"/>
  <c r="M640" i="3"/>
  <c r="M641" i="3"/>
  <c r="M642" i="3"/>
  <c r="M643" i="3"/>
  <c r="M644" i="3"/>
  <c r="M645" i="3"/>
  <c r="M646" i="3"/>
  <c r="M647" i="3"/>
  <c r="M648" i="3"/>
  <c r="M649" i="3"/>
  <c r="M650" i="3"/>
  <c r="I654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318" i="3"/>
  <c r="M319" i="3"/>
  <c r="M320" i="3"/>
  <c r="M321" i="3"/>
  <c r="M322" i="3"/>
  <c r="M323" i="3"/>
  <c r="M324" i="3"/>
  <c r="M325" i="3"/>
  <c r="M326" i="3"/>
  <c r="M327" i="3"/>
  <c r="M328" i="3"/>
  <c r="M329" i="3"/>
  <c r="M330" i="3"/>
  <c r="M331" i="3"/>
  <c r="M332" i="3"/>
  <c r="M333" i="3"/>
  <c r="M334" i="3"/>
  <c r="M335" i="3"/>
  <c r="M336" i="3"/>
  <c r="M337" i="3"/>
  <c r="M338" i="3"/>
  <c r="M339" i="3"/>
  <c r="M340" i="3"/>
  <c r="M341" i="3"/>
  <c r="M342" i="3"/>
  <c r="M343" i="3"/>
  <c r="M344" i="3"/>
  <c r="M345" i="3"/>
  <c r="M346" i="3"/>
  <c r="M347" i="3"/>
  <c r="M348" i="3"/>
  <c r="M349" i="3"/>
  <c r="M350" i="3"/>
  <c r="M351" i="3"/>
  <c r="M352" i="3"/>
  <c r="M353" i="3"/>
  <c r="M354" i="3"/>
  <c r="M355" i="3"/>
  <c r="M356" i="3"/>
  <c r="M357" i="3"/>
  <c r="M358" i="3"/>
  <c r="M359" i="3"/>
  <c r="M360" i="3"/>
  <c r="M361" i="3"/>
  <c r="M362" i="3"/>
  <c r="M363" i="3"/>
  <c r="M364" i="3"/>
  <c r="M365" i="3"/>
  <c r="M366" i="3"/>
  <c r="M367" i="3"/>
  <c r="K4" i="3"/>
  <c r="M4" i="3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6" i="6"/>
  <c r="L7" i="6"/>
  <c r="L8" i="6"/>
  <c r="L5" i="6"/>
  <c r="G35" i="6"/>
  <c r="B35" i="6"/>
  <c r="G34" i="6"/>
  <c r="B34" i="6"/>
  <c r="G33" i="6"/>
  <c r="B33" i="6"/>
  <c r="G32" i="6"/>
  <c r="B32" i="6"/>
  <c r="G31" i="6"/>
  <c r="B31" i="6"/>
  <c r="G30" i="6"/>
  <c r="B30" i="6"/>
  <c r="G29" i="6"/>
  <c r="B29" i="6"/>
  <c r="G28" i="6"/>
  <c r="B28" i="6"/>
  <c r="G27" i="6"/>
  <c r="B27" i="6"/>
  <c r="G26" i="6"/>
  <c r="B26" i="6"/>
  <c r="G25" i="6"/>
  <c r="B25" i="6"/>
  <c r="G24" i="6"/>
  <c r="B24" i="6"/>
  <c r="G23" i="6"/>
  <c r="B23" i="6"/>
  <c r="G22" i="6"/>
  <c r="B22" i="6"/>
  <c r="G21" i="6"/>
  <c r="B21" i="6"/>
  <c r="G20" i="6"/>
  <c r="B20" i="6"/>
  <c r="A20" i="6"/>
  <c r="G19" i="6"/>
  <c r="B19" i="6"/>
  <c r="G18" i="6"/>
  <c r="B18" i="6"/>
  <c r="G17" i="6"/>
  <c r="B17" i="6"/>
  <c r="G16" i="6"/>
  <c r="B16" i="6"/>
  <c r="G15" i="6"/>
  <c r="B15" i="6"/>
  <c r="G14" i="6"/>
  <c r="B14" i="6"/>
  <c r="G13" i="6"/>
  <c r="B13" i="6"/>
  <c r="G12" i="6"/>
  <c r="B12" i="6"/>
  <c r="G11" i="6"/>
  <c r="B11" i="6"/>
  <c r="G10" i="6"/>
  <c r="B10" i="6"/>
  <c r="G9" i="6"/>
  <c r="B9" i="6"/>
  <c r="G8" i="6"/>
  <c r="B8" i="6"/>
  <c r="G7" i="6"/>
  <c r="B7" i="6"/>
  <c r="G6" i="6"/>
  <c r="B6" i="6"/>
  <c r="G5" i="6"/>
  <c r="B5" i="6"/>
  <c r="K666" i="3"/>
  <c r="J666" i="3"/>
  <c r="I666" i="3"/>
  <c r="L666" i="3" s="1"/>
  <c r="K665" i="3"/>
  <c r="J665" i="3"/>
  <c r="I665" i="3"/>
  <c r="L665" i="3" s="1"/>
  <c r="K664" i="3"/>
  <c r="J664" i="3"/>
  <c r="I664" i="3"/>
  <c r="L664" i="3" s="1"/>
  <c r="K663" i="3"/>
  <c r="J663" i="3"/>
  <c r="I663" i="3"/>
  <c r="L663" i="3" s="1"/>
  <c r="K662" i="3"/>
  <c r="J662" i="3"/>
  <c r="I662" i="3"/>
  <c r="L662" i="3" s="1"/>
  <c r="K661" i="3"/>
  <c r="J661" i="3"/>
  <c r="I661" i="3"/>
  <c r="L661" i="3" s="1"/>
  <c r="K660" i="3"/>
  <c r="J660" i="3"/>
  <c r="I660" i="3"/>
  <c r="L660" i="3" s="1"/>
  <c r="K659" i="3"/>
  <c r="J659" i="3"/>
  <c r="I659" i="3"/>
  <c r="L659" i="3" s="1"/>
  <c r="K658" i="3"/>
  <c r="J658" i="3"/>
  <c r="I658" i="3"/>
  <c r="L658" i="3" s="1"/>
  <c r="K657" i="3"/>
  <c r="J657" i="3"/>
  <c r="I657" i="3"/>
  <c r="L657" i="3" s="1"/>
  <c r="K656" i="3"/>
  <c r="J656" i="3"/>
  <c r="I656" i="3"/>
  <c r="L656" i="3" s="1"/>
  <c r="K655" i="3"/>
  <c r="J655" i="3"/>
  <c r="I655" i="3"/>
  <c r="L655" i="3" s="1"/>
  <c r="K654" i="3"/>
  <c r="K667" i="3" s="1"/>
  <c r="J654" i="3"/>
  <c r="J667" i="3" s="1"/>
  <c r="C666" i="3"/>
  <c r="C659" i="3"/>
  <c r="E666" i="3"/>
  <c r="D666" i="3"/>
  <c r="E665" i="3"/>
  <c r="D665" i="3"/>
  <c r="C665" i="3"/>
  <c r="F665" i="3" s="1"/>
  <c r="E664" i="3"/>
  <c r="D664" i="3"/>
  <c r="C664" i="3"/>
  <c r="F664" i="3" s="1"/>
  <c r="E663" i="3"/>
  <c r="D663" i="3"/>
  <c r="C663" i="3"/>
  <c r="F663" i="3" s="1"/>
  <c r="E662" i="3"/>
  <c r="D662" i="3"/>
  <c r="C662" i="3"/>
  <c r="F662" i="3" s="1"/>
  <c r="E661" i="3"/>
  <c r="D661" i="3"/>
  <c r="C661" i="3"/>
  <c r="F661" i="3" s="1"/>
  <c r="E660" i="3"/>
  <c r="D660" i="3"/>
  <c r="C660" i="3"/>
  <c r="F660" i="3" s="1"/>
  <c r="E659" i="3"/>
  <c r="D659" i="3"/>
  <c r="E658" i="3"/>
  <c r="D658" i="3"/>
  <c r="C658" i="3"/>
  <c r="F658" i="3" s="1"/>
  <c r="E657" i="3"/>
  <c r="D657" i="3"/>
  <c r="C657" i="3"/>
  <c r="F657" i="3" s="1"/>
  <c r="E656" i="3"/>
  <c r="D656" i="3"/>
  <c r="C656" i="3"/>
  <c r="F656" i="3" s="1"/>
  <c r="E655" i="3"/>
  <c r="D655" i="3"/>
  <c r="C655" i="3"/>
  <c r="F655" i="3" s="1"/>
  <c r="E654" i="3"/>
  <c r="E667" i="3" s="1"/>
  <c r="D654" i="3"/>
  <c r="D667" i="3" s="1"/>
  <c r="C654" i="3"/>
  <c r="H5" i="3"/>
  <c r="K5" i="3"/>
  <c r="L5" i="3"/>
  <c r="H6" i="3"/>
  <c r="K6" i="3"/>
  <c r="L6" i="3"/>
  <c r="H7" i="3"/>
  <c r="K7" i="3"/>
  <c r="L7" i="3"/>
  <c r="H8" i="3"/>
  <c r="K8" i="3"/>
  <c r="L8" i="3"/>
  <c r="H9" i="3"/>
  <c r="K9" i="3"/>
  <c r="L9" i="3"/>
  <c r="H10" i="3"/>
  <c r="K10" i="3"/>
  <c r="L10" i="3"/>
  <c r="H11" i="3"/>
  <c r="K11" i="3"/>
  <c r="L11" i="3"/>
  <c r="H12" i="3"/>
  <c r="K12" i="3"/>
  <c r="L12" i="3"/>
  <c r="H13" i="3"/>
  <c r="K13" i="3"/>
  <c r="L13" i="3"/>
  <c r="H14" i="3"/>
  <c r="K14" i="3"/>
  <c r="L14" i="3"/>
  <c r="H15" i="3"/>
  <c r="K15" i="3"/>
  <c r="L15" i="3"/>
  <c r="H16" i="3"/>
  <c r="K16" i="3"/>
  <c r="L16" i="3"/>
  <c r="H17" i="3"/>
  <c r="K17" i="3"/>
  <c r="L17" i="3"/>
  <c r="H18" i="3"/>
  <c r="K18" i="3"/>
  <c r="L18" i="3"/>
  <c r="H19" i="3"/>
  <c r="K19" i="3"/>
  <c r="L19" i="3"/>
  <c r="H20" i="3"/>
  <c r="K20" i="3"/>
  <c r="L20" i="3"/>
  <c r="H21" i="3"/>
  <c r="K21" i="3"/>
  <c r="L21" i="3"/>
  <c r="H22" i="3"/>
  <c r="K22" i="3"/>
  <c r="L22" i="3"/>
  <c r="H23" i="3"/>
  <c r="K23" i="3"/>
  <c r="L23" i="3"/>
  <c r="H24" i="3"/>
  <c r="K24" i="3"/>
  <c r="L24" i="3"/>
  <c r="H25" i="3"/>
  <c r="K25" i="3"/>
  <c r="L25" i="3"/>
  <c r="H26" i="3"/>
  <c r="K26" i="3"/>
  <c r="L26" i="3"/>
  <c r="H27" i="3"/>
  <c r="K27" i="3"/>
  <c r="L27" i="3"/>
  <c r="H28" i="3"/>
  <c r="K28" i="3"/>
  <c r="L28" i="3"/>
  <c r="H29" i="3"/>
  <c r="K29" i="3"/>
  <c r="L29" i="3"/>
  <c r="H30" i="3"/>
  <c r="K30" i="3"/>
  <c r="L30" i="3"/>
  <c r="H31" i="3"/>
  <c r="K31" i="3"/>
  <c r="L31" i="3"/>
  <c r="H32" i="3"/>
  <c r="K32" i="3"/>
  <c r="L32" i="3"/>
  <c r="H33" i="3"/>
  <c r="K33" i="3"/>
  <c r="L33" i="3"/>
  <c r="H34" i="3"/>
  <c r="K34" i="3"/>
  <c r="L34" i="3"/>
  <c r="H35" i="3"/>
  <c r="K35" i="3"/>
  <c r="L35" i="3"/>
  <c r="H36" i="3"/>
  <c r="K36" i="3"/>
  <c r="L36" i="3"/>
  <c r="H37" i="3"/>
  <c r="K37" i="3"/>
  <c r="L37" i="3"/>
  <c r="H38" i="3"/>
  <c r="K38" i="3"/>
  <c r="L38" i="3"/>
  <c r="H39" i="3"/>
  <c r="K39" i="3"/>
  <c r="L39" i="3"/>
  <c r="H40" i="3"/>
  <c r="K40" i="3"/>
  <c r="L40" i="3"/>
  <c r="H41" i="3"/>
  <c r="K41" i="3"/>
  <c r="L41" i="3"/>
  <c r="H42" i="3"/>
  <c r="K42" i="3"/>
  <c r="L42" i="3"/>
  <c r="H43" i="3"/>
  <c r="K43" i="3"/>
  <c r="L43" i="3"/>
  <c r="H44" i="3"/>
  <c r="K44" i="3"/>
  <c r="L44" i="3"/>
  <c r="H45" i="3"/>
  <c r="K45" i="3"/>
  <c r="L45" i="3"/>
  <c r="H46" i="3"/>
  <c r="K46" i="3"/>
  <c r="L46" i="3"/>
  <c r="H47" i="3"/>
  <c r="K47" i="3"/>
  <c r="L47" i="3"/>
  <c r="H48" i="3"/>
  <c r="K48" i="3"/>
  <c r="L48" i="3"/>
  <c r="H49" i="3"/>
  <c r="K49" i="3"/>
  <c r="L49" i="3"/>
  <c r="H50" i="3"/>
  <c r="K50" i="3"/>
  <c r="L50" i="3"/>
  <c r="H51" i="3"/>
  <c r="K51" i="3"/>
  <c r="L51" i="3"/>
  <c r="H52" i="3"/>
  <c r="K52" i="3"/>
  <c r="L52" i="3"/>
  <c r="H53" i="3"/>
  <c r="K53" i="3"/>
  <c r="L53" i="3"/>
  <c r="H54" i="3"/>
  <c r="K54" i="3"/>
  <c r="L54" i="3"/>
  <c r="H55" i="3"/>
  <c r="K55" i="3"/>
  <c r="L55" i="3"/>
  <c r="H56" i="3"/>
  <c r="K56" i="3"/>
  <c r="L56" i="3"/>
  <c r="H57" i="3"/>
  <c r="K57" i="3"/>
  <c r="L57" i="3"/>
  <c r="H58" i="3"/>
  <c r="K58" i="3"/>
  <c r="L58" i="3"/>
  <c r="H59" i="3"/>
  <c r="K59" i="3"/>
  <c r="L59" i="3"/>
  <c r="H60" i="3"/>
  <c r="K60" i="3"/>
  <c r="L60" i="3"/>
  <c r="H61" i="3"/>
  <c r="K61" i="3"/>
  <c r="L61" i="3"/>
  <c r="H62" i="3"/>
  <c r="K62" i="3"/>
  <c r="L62" i="3"/>
  <c r="H63" i="3"/>
  <c r="K63" i="3"/>
  <c r="L63" i="3"/>
  <c r="H64" i="3"/>
  <c r="K64" i="3"/>
  <c r="L64" i="3"/>
  <c r="H65" i="3"/>
  <c r="K65" i="3"/>
  <c r="L65" i="3"/>
  <c r="H66" i="3"/>
  <c r="K66" i="3"/>
  <c r="L66" i="3"/>
  <c r="H67" i="3"/>
  <c r="K67" i="3"/>
  <c r="L67" i="3"/>
  <c r="H68" i="3"/>
  <c r="K68" i="3"/>
  <c r="L68" i="3"/>
  <c r="H69" i="3"/>
  <c r="K69" i="3"/>
  <c r="L69" i="3"/>
  <c r="H70" i="3"/>
  <c r="K70" i="3"/>
  <c r="L70" i="3"/>
  <c r="H71" i="3"/>
  <c r="K71" i="3"/>
  <c r="L71" i="3"/>
  <c r="H72" i="3"/>
  <c r="K72" i="3"/>
  <c r="L72" i="3"/>
  <c r="H73" i="3"/>
  <c r="K73" i="3"/>
  <c r="L73" i="3"/>
  <c r="H74" i="3"/>
  <c r="K74" i="3"/>
  <c r="L74" i="3"/>
  <c r="H75" i="3"/>
  <c r="K75" i="3"/>
  <c r="L75" i="3"/>
  <c r="H76" i="3"/>
  <c r="K76" i="3"/>
  <c r="L76" i="3"/>
  <c r="H77" i="3"/>
  <c r="K77" i="3"/>
  <c r="L77" i="3"/>
  <c r="H78" i="3"/>
  <c r="K78" i="3"/>
  <c r="L78" i="3"/>
  <c r="H79" i="3"/>
  <c r="K79" i="3"/>
  <c r="L79" i="3"/>
  <c r="H80" i="3"/>
  <c r="K80" i="3"/>
  <c r="L80" i="3"/>
  <c r="H81" i="3"/>
  <c r="K81" i="3"/>
  <c r="L81" i="3"/>
  <c r="H82" i="3"/>
  <c r="K82" i="3"/>
  <c r="L82" i="3"/>
  <c r="H83" i="3"/>
  <c r="K83" i="3"/>
  <c r="L83" i="3"/>
  <c r="H84" i="3"/>
  <c r="K84" i="3"/>
  <c r="L84" i="3"/>
  <c r="H85" i="3"/>
  <c r="K85" i="3"/>
  <c r="L85" i="3"/>
  <c r="H86" i="3"/>
  <c r="K86" i="3"/>
  <c r="L86" i="3"/>
  <c r="H87" i="3"/>
  <c r="K87" i="3"/>
  <c r="L87" i="3"/>
  <c r="H88" i="3"/>
  <c r="K88" i="3"/>
  <c r="L88" i="3"/>
  <c r="H89" i="3"/>
  <c r="K89" i="3"/>
  <c r="L89" i="3"/>
  <c r="H90" i="3"/>
  <c r="K90" i="3"/>
  <c r="L90" i="3"/>
  <c r="H91" i="3"/>
  <c r="K91" i="3"/>
  <c r="L91" i="3"/>
  <c r="H92" i="3"/>
  <c r="K92" i="3"/>
  <c r="L92" i="3"/>
  <c r="H93" i="3"/>
  <c r="K93" i="3"/>
  <c r="L93" i="3"/>
  <c r="H94" i="3"/>
  <c r="K94" i="3"/>
  <c r="L94" i="3"/>
  <c r="H95" i="3"/>
  <c r="K95" i="3"/>
  <c r="L95" i="3"/>
  <c r="H96" i="3"/>
  <c r="K96" i="3"/>
  <c r="L96" i="3"/>
  <c r="H97" i="3"/>
  <c r="K97" i="3"/>
  <c r="L97" i="3"/>
  <c r="H98" i="3"/>
  <c r="K98" i="3"/>
  <c r="L98" i="3"/>
  <c r="H99" i="3"/>
  <c r="K99" i="3"/>
  <c r="L99" i="3"/>
  <c r="H100" i="3"/>
  <c r="K100" i="3"/>
  <c r="L100" i="3"/>
  <c r="H101" i="3"/>
  <c r="K101" i="3"/>
  <c r="L101" i="3"/>
  <c r="H102" i="3"/>
  <c r="K102" i="3"/>
  <c r="L102" i="3"/>
  <c r="H103" i="3"/>
  <c r="K103" i="3"/>
  <c r="L103" i="3"/>
  <c r="H104" i="3"/>
  <c r="K104" i="3"/>
  <c r="L104" i="3"/>
  <c r="H105" i="3"/>
  <c r="K105" i="3"/>
  <c r="L105" i="3"/>
  <c r="H106" i="3"/>
  <c r="K106" i="3"/>
  <c r="L106" i="3"/>
  <c r="H107" i="3"/>
  <c r="K107" i="3"/>
  <c r="L107" i="3"/>
  <c r="H108" i="3"/>
  <c r="K108" i="3"/>
  <c r="L108" i="3"/>
  <c r="H109" i="3"/>
  <c r="K109" i="3"/>
  <c r="L109" i="3"/>
  <c r="H110" i="3"/>
  <c r="K110" i="3"/>
  <c r="L110" i="3"/>
  <c r="H111" i="3"/>
  <c r="K111" i="3"/>
  <c r="L111" i="3"/>
  <c r="H112" i="3"/>
  <c r="K112" i="3"/>
  <c r="L112" i="3"/>
  <c r="H113" i="3"/>
  <c r="K113" i="3"/>
  <c r="L113" i="3"/>
  <c r="H114" i="3"/>
  <c r="K114" i="3"/>
  <c r="L114" i="3"/>
  <c r="H115" i="3"/>
  <c r="K115" i="3"/>
  <c r="L115" i="3"/>
  <c r="H116" i="3"/>
  <c r="K116" i="3"/>
  <c r="L116" i="3"/>
  <c r="H117" i="3"/>
  <c r="K117" i="3"/>
  <c r="L117" i="3"/>
  <c r="H118" i="3"/>
  <c r="K118" i="3"/>
  <c r="L118" i="3"/>
  <c r="H119" i="3"/>
  <c r="K119" i="3"/>
  <c r="L119" i="3"/>
  <c r="H120" i="3"/>
  <c r="K120" i="3"/>
  <c r="L120" i="3"/>
  <c r="H121" i="3"/>
  <c r="K121" i="3"/>
  <c r="L121" i="3"/>
  <c r="H122" i="3"/>
  <c r="K122" i="3"/>
  <c r="L122" i="3"/>
  <c r="H123" i="3"/>
  <c r="K123" i="3"/>
  <c r="L123" i="3"/>
  <c r="H124" i="3"/>
  <c r="K124" i="3"/>
  <c r="L124" i="3"/>
  <c r="H125" i="3"/>
  <c r="K125" i="3"/>
  <c r="L125" i="3"/>
  <c r="H126" i="3"/>
  <c r="K126" i="3"/>
  <c r="L126" i="3"/>
  <c r="H127" i="3"/>
  <c r="K127" i="3"/>
  <c r="L127" i="3"/>
  <c r="H128" i="3"/>
  <c r="K128" i="3"/>
  <c r="L128" i="3"/>
  <c r="H129" i="3"/>
  <c r="K129" i="3"/>
  <c r="L129" i="3"/>
  <c r="H130" i="3"/>
  <c r="K130" i="3"/>
  <c r="L130" i="3"/>
  <c r="H131" i="3"/>
  <c r="K131" i="3"/>
  <c r="L131" i="3"/>
  <c r="H132" i="3"/>
  <c r="K132" i="3"/>
  <c r="L132" i="3"/>
  <c r="H133" i="3"/>
  <c r="K133" i="3"/>
  <c r="L133" i="3"/>
  <c r="H134" i="3"/>
  <c r="K134" i="3"/>
  <c r="L134" i="3"/>
  <c r="H135" i="3"/>
  <c r="K135" i="3"/>
  <c r="L135" i="3"/>
  <c r="H136" i="3"/>
  <c r="K136" i="3"/>
  <c r="L136" i="3"/>
  <c r="H137" i="3"/>
  <c r="K137" i="3"/>
  <c r="L137" i="3"/>
  <c r="H138" i="3"/>
  <c r="K138" i="3"/>
  <c r="L138" i="3"/>
  <c r="H139" i="3"/>
  <c r="K139" i="3"/>
  <c r="L139" i="3"/>
  <c r="H140" i="3"/>
  <c r="K140" i="3"/>
  <c r="L140" i="3"/>
  <c r="H141" i="3"/>
  <c r="K141" i="3"/>
  <c r="L141" i="3"/>
  <c r="H142" i="3"/>
  <c r="K142" i="3"/>
  <c r="L142" i="3"/>
  <c r="H143" i="3"/>
  <c r="K143" i="3"/>
  <c r="L143" i="3"/>
  <c r="H144" i="3"/>
  <c r="K144" i="3"/>
  <c r="L144" i="3"/>
  <c r="H145" i="3"/>
  <c r="K145" i="3"/>
  <c r="L145" i="3"/>
  <c r="H146" i="3"/>
  <c r="K146" i="3"/>
  <c r="L146" i="3"/>
  <c r="H147" i="3"/>
  <c r="K147" i="3"/>
  <c r="L147" i="3"/>
  <c r="H148" i="3"/>
  <c r="K148" i="3"/>
  <c r="L148" i="3"/>
  <c r="H149" i="3"/>
  <c r="K149" i="3"/>
  <c r="L149" i="3"/>
  <c r="H150" i="3"/>
  <c r="K150" i="3"/>
  <c r="L150" i="3"/>
  <c r="H151" i="3"/>
  <c r="K151" i="3"/>
  <c r="L151" i="3"/>
  <c r="H152" i="3"/>
  <c r="K152" i="3"/>
  <c r="L152" i="3"/>
  <c r="H153" i="3"/>
  <c r="K153" i="3"/>
  <c r="L153" i="3"/>
  <c r="H154" i="3"/>
  <c r="K154" i="3"/>
  <c r="L154" i="3"/>
  <c r="H155" i="3"/>
  <c r="K155" i="3"/>
  <c r="L155" i="3"/>
  <c r="H156" i="3"/>
  <c r="K156" i="3"/>
  <c r="L156" i="3"/>
  <c r="H157" i="3"/>
  <c r="K157" i="3"/>
  <c r="L157" i="3"/>
  <c r="H158" i="3"/>
  <c r="K158" i="3"/>
  <c r="L158" i="3"/>
  <c r="H159" i="3"/>
  <c r="K159" i="3"/>
  <c r="L159" i="3"/>
  <c r="H160" i="3"/>
  <c r="K160" i="3"/>
  <c r="L160" i="3"/>
  <c r="H161" i="3"/>
  <c r="K161" i="3"/>
  <c r="L161" i="3"/>
  <c r="H162" i="3"/>
  <c r="K162" i="3"/>
  <c r="L162" i="3"/>
  <c r="H163" i="3"/>
  <c r="K163" i="3"/>
  <c r="L163" i="3"/>
  <c r="H164" i="3"/>
  <c r="K164" i="3"/>
  <c r="L164" i="3"/>
  <c r="H165" i="3"/>
  <c r="K165" i="3"/>
  <c r="L165" i="3"/>
  <c r="H166" i="3"/>
  <c r="K166" i="3"/>
  <c r="L166" i="3"/>
  <c r="H167" i="3"/>
  <c r="K167" i="3"/>
  <c r="L167" i="3"/>
  <c r="H168" i="3"/>
  <c r="K168" i="3"/>
  <c r="L168" i="3"/>
  <c r="H169" i="3"/>
  <c r="K169" i="3"/>
  <c r="L169" i="3"/>
  <c r="H170" i="3"/>
  <c r="K170" i="3"/>
  <c r="L170" i="3"/>
  <c r="H171" i="3"/>
  <c r="K171" i="3"/>
  <c r="L171" i="3"/>
  <c r="H172" i="3"/>
  <c r="K172" i="3"/>
  <c r="L172" i="3"/>
  <c r="H173" i="3"/>
  <c r="K173" i="3"/>
  <c r="L173" i="3"/>
  <c r="H174" i="3"/>
  <c r="K174" i="3"/>
  <c r="L174" i="3"/>
  <c r="H175" i="3"/>
  <c r="K175" i="3"/>
  <c r="L175" i="3"/>
  <c r="H176" i="3"/>
  <c r="K176" i="3"/>
  <c r="L176" i="3"/>
  <c r="H177" i="3"/>
  <c r="K177" i="3"/>
  <c r="L177" i="3"/>
  <c r="H178" i="3"/>
  <c r="K178" i="3"/>
  <c r="L178" i="3"/>
  <c r="H179" i="3"/>
  <c r="K179" i="3"/>
  <c r="L179" i="3"/>
  <c r="H180" i="3"/>
  <c r="K180" i="3"/>
  <c r="L180" i="3"/>
  <c r="H181" i="3"/>
  <c r="K181" i="3"/>
  <c r="L181" i="3"/>
  <c r="H182" i="3"/>
  <c r="K182" i="3"/>
  <c r="L182" i="3"/>
  <c r="H183" i="3"/>
  <c r="K183" i="3"/>
  <c r="L183" i="3"/>
  <c r="H184" i="3"/>
  <c r="K184" i="3"/>
  <c r="L184" i="3"/>
  <c r="H185" i="3"/>
  <c r="K185" i="3"/>
  <c r="L185" i="3"/>
  <c r="H186" i="3"/>
  <c r="K186" i="3"/>
  <c r="L186" i="3"/>
  <c r="H187" i="3"/>
  <c r="K187" i="3"/>
  <c r="L187" i="3"/>
  <c r="H188" i="3"/>
  <c r="K188" i="3"/>
  <c r="L188" i="3"/>
  <c r="H189" i="3"/>
  <c r="K189" i="3"/>
  <c r="L189" i="3"/>
  <c r="H190" i="3"/>
  <c r="K190" i="3"/>
  <c r="L190" i="3"/>
  <c r="H191" i="3"/>
  <c r="K191" i="3"/>
  <c r="L191" i="3"/>
  <c r="H192" i="3"/>
  <c r="K192" i="3"/>
  <c r="L192" i="3"/>
  <c r="H193" i="3"/>
  <c r="K193" i="3"/>
  <c r="L193" i="3"/>
  <c r="H194" i="3"/>
  <c r="K194" i="3"/>
  <c r="L194" i="3"/>
  <c r="H195" i="3"/>
  <c r="K195" i="3"/>
  <c r="L195" i="3"/>
  <c r="H196" i="3"/>
  <c r="K196" i="3"/>
  <c r="L196" i="3"/>
  <c r="H197" i="3"/>
  <c r="K197" i="3"/>
  <c r="L197" i="3"/>
  <c r="H198" i="3"/>
  <c r="K198" i="3"/>
  <c r="L198" i="3"/>
  <c r="H199" i="3"/>
  <c r="K199" i="3"/>
  <c r="L199" i="3"/>
  <c r="H200" i="3"/>
  <c r="K200" i="3"/>
  <c r="L200" i="3"/>
  <c r="H201" i="3"/>
  <c r="K201" i="3"/>
  <c r="L201" i="3"/>
  <c r="H202" i="3"/>
  <c r="K202" i="3"/>
  <c r="L202" i="3"/>
  <c r="H203" i="3"/>
  <c r="K203" i="3"/>
  <c r="L203" i="3"/>
  <c r="H204" i="3"/>
  <c r="K204" i="3"/>
  <c r="L204" i="3"/>
  <c r="H205" i="3"/>
  <c r="K205" i="3"/>
  <c r="L205" i="3"/>
  <c r="H206" i="3"/>
  <c r="K206" i="3"/>
  <c r="L206" i="3"/>
  <c r="H207" i="3"/>
  <c r="K207" i="3"/>
  <c r="L207" i="3"/>
  <c r="H208" i="3"/>
  <c r="K208" i="3"/>
  <c r="L208" i="3"/>
  <c r="H209" i="3"/>
  <c r="K209" i="3"/>
  <c r="L209" i="3"/>
  <c r="H210" i="3"/>
  <c r="K210" i="3"/>
  <c r="L210" i="3"/>
  <c r="H211" i="3"/>
  <c r="K211" i="3"/>
  <c r="L211" i="3"/>
  <c r="H212" i="3"/>
  <c r="K212" i="3"/>
  <c r="L212" i="3"/>
  <c r="H213" i="3"/>
  <c r="K213" i="3"/>
  <c r="L213" i="3"/>
  <c r="H214" i="3"/>
  <c r="K214" i="3"/>
  <c r="L214" i="3"/>
  <c r="H215" i="3"/>
  <c r="K215" i="3"/>
  <c r="L215" i="3"/>
  <c r="H216" i="3"/>
  <c r="K216" i="3"/>
  <c r="L216" i="3"/>
  <c r="H217" i="3"/>
  <c r="K217" i="3"/>
  <c r="L217" i="3"/>
  <c r="H218" i="3"/>
  <c r="K218" i="3"/>
  <c r="L218" i="3"/>
  <c r="H219" i="3"/>
  <c r="K219" i="3"/>
  <c r="L219" i="3"/>
  <c r="H220" i="3"/>
  <c r="K220" i="3"/>
  <c r="L220" i="3"/>
  <c r="H221" i="3"/>
  <c r="K221" i="3"/>
  <c r="L221" i="3"/>
  <c r="H222" i="3"/>
  <c r="K222" i="3"/>
  <c r="L222" i="3"/>
  <c r="H223" i="3"/>
  <c r="K223" i="3"/>
  <c r="L223" i="3"/>
  <c r="H224" i="3"/>
  <c r="K224" i="3"/>
  <c r="L224" i="3"/>
  <c r="H225" i="3"/>
  <c r="K225" i="3"/>
  <c r="L225" i="3"/>
  <c r="H226" i="3"/>
  <c r="K226" i="3"/>
  <c r="L226" i="3"/>
  <c r="H227" i="3"/>
  <c r="K227" i="3"/>
  <c r="L227" i="3"/>
  <c r="H228" i="3"/>
  <c r="K228" i="3"/>
  <c r="L228" i="3"/>
  <c r="H229" i="3"/>
  <c r="K229" i="3"/>
  <c r="L229" i="3"/>
  <c r="H230" i="3"/>
  <c r="K230" i="3"/>
  <c r="L230" i="3"/>
  <c r="H231" i="3"/>
  <c r="K231" i="3"/>
  <c r="L231" i="3"/>
  <c r="H232" i="3"/>
  <c r="K232" i="3"/>
  <c r="L232" i="3"/>
  <c r="H233" i="3"/>
  <c r="K233" i="3"/>
  <c r="L233" i="3"/>
  <c r="H234" i="3"/>
  <c r="K234" i="3"/>
  <c r="L234" i="3"/>
  <c r="H235" i="3"/>
  <c r="K235" i="3"/>
  <c r="L235" i="3"/>
  <c r="H236" i="3"/>
  <c r="K236" i="3"/>
  <c r="L236" i="3"/>
  <c r="H237" i="3"/>
  <c r="K237" i="3"/>
  <c r="L237" i="3"/>
  <c r="H238" i="3"/>
  <c r="K238" i="3"/>
  <c r="L238" i="3"/>
  <c r="H239" i="3"/>
  <c r="K239" i="3"/>
  <c r="L239" i="3"/>
  <c r="H240" i="3"/>
  <c r="K240" i="3"/>
  <c r="L240" i="3"/>
  <c r="H241" i="3"/>
  <c r="K241" i="3"/>
  <c r="L241" i="3"/>
  <c r="H242" i="3"/>
  <c r="K242" i="3"/>
  <c r="L242" i="3"/>
  <c r="H243" i="3"/>
  <c r="K243" i="3"/>
  <c r="L243" i="3"/>
  <c r="H244" i="3"/>
  <c r="K244" i="3"/>
  <c r="L244" i="3"/>
  <c r="H245" i="3"/>
  <c r="K245" i="3"/>
  <c r="L245" i="3"/>
  <c r="H246" i="3"/>
  <c r="K246" i="3"/>
  <c r="L246" i="3"/>
  <c r="H247" i="3"/>
  <c r="K247" i="3"/>
  <c r="L247" i="3"/>
  <c r="H248" i="3"/>
  <c r="K248" i="3"/>
  <c r="L248" i="3"/>
  <c r="H249" i="3"/>
  <c r="K249" i="3"/>
  <c r="L249" i="3"/>
  <c r="H250" i="3"/>
  <c r="K250" i="3"/>
  <c r="L250" i="3"/>
  <c r="H251" i="3"/>
  <c r="K251" i="3"/>
  <c r="L251" i="3"/>
  <c r="H252" i="3"/>
  <c r="K252" i="3"/>
  <c r="L252" i="3"/>
  <c r="H253" i="3"/>
  <c r="K253" i="3"/>
  <c r="L253" i="3"/>
  <c r="H254" i="3"/>
  <c r="K254" i="3"/>
  <c r="L254" i="3"/>
  <c r="H255" i="3"/>
  <c r="K255" i="3"/>
  <c r="L255" i="3"/>
  <c r="H256" i="3"/>
  <c r="K256" i="3"/>
  <c r="L256" i="3"/>
  <c r="H257" i="3"/>
  <c r="K257" i="3"/>
  <c r="L257" i="3"/>
  <c r="H258" i="3"/>
  <c r="K258" i="3"/>
  <c r="L258" i="3"/>
  <c r="H259" i="3"/>
  <c r="K259" i="3"/>
  <c r="L259" i="3"/>
  <c r="H260" i="3"/>
  <c r="K260" i="3"/>
  <c r="L260" i="3"/>
  <c r="H261" i="3"/>
  <c r="K261" i="3"/>
  <c r="L261" i="3"/>
  <c r="H262" i="3"/>
  <c r="K262" i="3"/>
  <c r="L262" i="3"/>
  <c r="H263" i="3"/>
  <c r="K263" i="3"/>
  <c r="L263" i="3"/>
  <c r="H264" i="3"/>
  <c r="K264" i="3"/>
  <c r="L264" i="3"/>
  <c r="H265" i="3"/>
  <c r="K265" i="3"/>
  <c r="L265" i="3"/>
  <c r="H266" i="3"/>
  <c r="K266" i="3"/>
  <c r="L266" i="3"/>
  <c r="H267" i="3"/>
  <c r="K267" i="3"/>
  <c r="L267" i="3"/>
  <c r="H268" i="3"/>
  <c r="K268" i="3"/>
  <c r="L268" i="3"/>
  <c r="H269" i="3"/>
  <c r="K269" i="3"/>
  <c r="L269" i="3"/>
  <c r="H270" i="3"/>
  <c r="K270" i="3"/>
  <c r="L270" i="3"/>
  <c r="H271" i="3"/>
  <c r="K271" i="3"/>
  <c r="L271" i="3"/>
  <c r="H272" i="3"/>
  <c r="K272" i="3"/>
  <c r="L272" i="3"/>
  <c r="H273" i="3"/>
  <c r="K273" i="3"/>
  <c r="L273" i="3"/>
  <c r="H274" i="3"/>
  <c r="K274" i="3"/>
  <c r="L274" i="3"/>
  <c r="H275" i="3"/>
  <c r="K275" i="3"/>
  <c r="L275" i="3"/>
  <c r="H276" i="3"/>
  <c r="K276" i="3"/>
  <c r="L276" i="3"/>
  <c r="H277" i="3"/>
  <c r="K277" i="3"/>
  <c r="L277" i="3"/>
  <c r="H278" i="3"/>
  <c r="K278" i="3"/>
  <c r="L278" i="3"/>
  <c r="H279" i="3"/>
  <c r="K279" i="3"/>
  <c r="L279" i="3"/>
  <c r="H280" i="3"/>
  <c r="K280" i="3"/>
  <c r="L280" i="3"/>
  <c r="H281" i="3"/>
  <c r="K281" i="3"/>
  <c r="L281" i="3"/>
  <c r="H282" i="3"/>
  <c r="K282" i="3"/>
  <c r="L282" i="3"/>
  <c r="H283" i="3"/>
  <c r="K283" i="3"/>
  <c r="L283" i="3"/>
  <c r="H284" i="3"/>
  <c r="K284" i="3"/>
  <c r="L284" i="3"/>
  <c r="H285" i="3"/>
  <c r="K285" i="3"/>
  <c r="L285" i="3"/>
  <c r="H286" i="3"/>
  <c r="K286" i="3"/>
  <c r="L286" i="3"/>
  <c r="H287" i="3"/>
  <c r="K287" i="3"/>
  <c r="L287" i="3"/>
  <c r="H288" i="3"/>
  <c r="K288" i="3"/>
  <c r="L288" i="3"/>
  <c r="H289" i="3"/>
  <c r="K289" i="3"/>
  <c r="L289" i="3"/>
  <c r="H290" i="3"/>
  <c r="K290" i="3"/>
  <c r="L290" i="3"/>
  <c r="H291" i="3"/>
  <c r="K291" i="3"/>
  <c r="L291" i="3"/>
  <c r="H292" i="3"/>
  <c r="K292" i="3"/>
  <c r="L292" i="3"/>
  <c r="H293" i="3"/>
  <c r="K293" i="3"/>
  <c r="L293" i="3"/>
  <c r="H294" i="3"/>
  <c r="K294" i="3"/>
  <c r="L294" i="3"/>
  <c r="H295" i="3"/>
  <c r="K295" i="3"/>
  <c r="L295" i="3"/>
  <c r="H296" i="3"/>
  <c r="K296" i="3"/>
  <c r="L296" i="3"/>
  <c r="H297" i="3"/>
  <c r="K297" i="3"/>
  <c r="L297" i="3"/>
  <c r="H298" i="3"/>
  <c r="K298" i="3"/>
  <c r="L298" i="3"/>
  <c r="H299" i="3"/>
  <c r="K299" i="3"/>
  <c r="L299" i="3"/>
  <c r="H300" i="3"/>
  <c r="K300" i="3"/>
  <c r="L300" i="3"/>
  <c r="H301" i="3"/>
  <c r="K301" i="3"/>
  <c r="L301" i="3"/>
  <c r="H302" i="3"/>
  <c r="K302" i="3"/>
  <c r="L302" i="3"/>
  <c r="H303" i="3"/>
  <c r="K303" i="3"/>
  <c r="L303" i="3"/>
  <c r="H304" i="3"/>
  <c r="K304" i="3"/>
  <c r="L304" i="3"/>
  <c r="H305" i="3"/>
  <c r="K305" i="3"/>
  <c r="L305" i="3"/>
  <c r="H306" i="3"/>
  <c r="K306" i="3"/>
  <c r="L306" i="3"/>
  <c r="H307" i="3"/>
  <c r="K307" i="3"/>
  <c r="L307" i="3"/>
  <c r="H308" i="3"/>
  <c r="K308" i="3"/>
  <c r="L308" i="3"/>
  <c r="H309" i="3"/>
  <c r="K309" i="3"/>
  <c r="L309" i="3"/>
  <c r="H310" i="3"/>
  <c r="K310" i="3"/>
  <c r="L310" i="3"/>
  <c r="H311" i="3"/>
  <c r="K311" i="3"/>
  <c r="L311" i="3"/>
  <c r="H312" i="3"/>
  <c r="K312" i="3"/>
  <c r="L312" i="3"/>
  <c r="H313" i="3"/>
  <c r="K313" i="3"/>
  <c r="L313" i="3"/>
  <c r="H314" i="3"/>
  <c r="K314" i="3"/>
  <c r="L314" i="3"/>
  <c r="H315" i="3"/>
  <c r="K315" i="3"/>
  <c r="L315" i="3"/>
  <c r="H316" i="3"/>
  <c r="K316" i="3"/>
  <c r="L316" i="3"/>
  <c r="H317" i="3"/>
  <c r="K317" i="3"/>
  <c r="L317" i="3"/>
  <c r="H318" i="3"/>
  <c r="K318" i="3"/>
  <c r="L318" i="3"/>
  <c r="H319" i="3"/>
  <c r="K319" i="3"/>
  <c r="L319" i="3"/>
  <c r="H320" i="3"/>
  <c r="K320" i="3"/>
  <c r="L320" i="3"/>
  <c r="H321" i="3"/>
  <c r="K321" i="3"/>
  <c r="L321" i="3"/>
  <c r="H322" i="3"/>
  <c r="K322" i="3"/>
  <c r="L322" i="3"/>
  <c r="H323" i="3"/>
  <c r="K323" i="3"/>
  <c r="L323" i="3"/>
  <c r="H324" i="3"/>
  <c r="K324" i="3"/>
  <c r="L324" i="3"/>
  <c r="H325" i="3"/>
  <c r="K325" i="3"/>
  <c r="L325" i="3"/>
  <c r="H326" i="3"/>
  <c r="K326" i="3"/>
  <c r="L326" i="3"/>
  <c r="H327" i="3"/>
  <c r="K327" i="3"/>
  <c r="L327" i="3"/>
  <c r="H328" i="3"/>
  <c r="K328" i="3"/>
  <c r="L328" i="3"/>
  <c r="H329" i="3"/>
  <c r="K329" i="3"/>
  <c r="L329" i="3"/>
  <c r="H330" i="3"/>
  <c r="K330" i="3"/>
  <c r="L330" i="3"/>
  <c r="H331" i="3"/>
  <c r="K331" i="3"/>
  <c r="L331" i="3"/>
  <c r="H332" i="3"/>
  <c r="K332" i="3"/>
  <c r="L332" i="3"/>
  <c r="H333" i="3"/>
  <c r="K333" i="3"/>
  <c r="L333" i="3"/>
  <c r="H334" i="3"/>
  <c r="K334" i="3"/>
  <c r="L334" i="3"/>
  <c r="H335" i="3"/>
  <c r="K335" i="3"/>
  <c r="L335" i="3"/>
  <c r="H336" i="3"/>
  <c r="K336" i="3"/>
  <c r="L336" i="3"/>
  <c r="H337" i="3"/>
  <c r="K337" i="3"/>
  <c r="L337" i="3"/>
  <c r="H338" i="3"/>
  <c r="K338" i="3"/>
  <c r="L338" i="3"/>
  <c r="H339" i="3"/>
  <c r="K339" i="3"/>
  <c r="L339" i="3"/>
  <c r="H340" i="3"/>
  <c r="K340" i="3"/>
  <c r="L340" i="3"/>
  <c r="H341" i="3"/>
  <c r="K341" i="3"/>
  <c r="L341" i="3"/>
  <c r="H342" i="3"/>
  <c r="K342" i="3"/>
  <c r="L342" i="3"/>
  <c r="H343" i="3"/>
  <c r="K343" i="3"/>
  <c r="L343" i="3"/>
  <c r="H344" i="3"/>
  <c r="K344" i="3"/>
  <c r="L344" i="3"/>
  <c r="H345" i="3"/>
  <c r="K345" i="3"/>
  <c r="L345" i="3"/>
  <c r="H346" i="3"/>
  <c r="K346" i="3"/>
  <c r="L346" i="3"/>
  <c r="H347" i="3"/>
  <c r="K347" i="3"/>
  <c r="L347" i="3"/>
  <c r="H348" i="3"/>
  <c r="K348" i="3"/>
  <c r="L348" i="3"/>
  <c r="H349" i="3"/>
  <c r="K349" i="3"/>
  <c r="L349" i="3"/>
  <c r="H350" i="3"/>
  <c r="K350" i="3"/>
  <c r="L350" i="3"/>
  <c r="H351" i="3"/>
  <c r="K351" i="3"/>
  <c r="L351" i="3"/>
  <c r="H352" i="3"/>
  <c r="K352" i="3"/>
  <c r="L352" i="3"/>
  <c r="H353" i="3"/>
  <c r="K353" i="3"/>
  <c r="L353" i="3"/>
  <c r="H354" i="3"/>
  <c r="K354" i="3"/>
  <c r="L354" i="3"/>
  <c r="H355" i="3"/>
  <c r="K355" i="3"/>
  <c r="L355" i="3"/>
  <c r="H356" i="3"/>
  <c r="K356" i="3"/>
  <c r="L356" i="3"/>
  <c r="H357" i="3"/>
  <c r="K357" i="3"/>
  <c r="L357" i="3"/>
  <c r="H358" i="3"/>
  <c r="K358" i="3"/>
  <c r="L358" i="3"/>
  <c r="H359" i="3"/>
  <c r="K359" i="3"/>
  <c r="L359" i="3"/>
  <c r="H360" i="3"/>
  <c r="K360" i="3"/>
  <c r="L360" i="3"/>
  <c r="H361" i="3"/>
  <c r="K361" i="3"/>
  <c r="L361" i="3"/>
  <c r="H362" i="3"/>
  <c r="K362" i="3"/>
  <c r="L362" i="3"/>
  <c r="H363" i="3"/>
  <c r="K363" i="3"/>
  <c r="L363" i="3"/>
  <c r="H364" i="3"/>
  <c r="K364" i="3"/>
  <c r="L364" i="3"/>
  <c r="H365" i="3"/>
  <c r="K365" i="3"/>
  <c r="L365" i="3"/>
  <c r="H366" i="3"/>
  <c r="K366" i="3"/>
  <c r="L366" i="3"/>
  <c r="H367" i="3"/>
  <c r="K367" i="3"/>
  <c r="L367" i="3"/>
  <c r="H368" i="3"/>
  <c r="K368" i="3"/>
  <c r="L368" i="3"/>
  <c r="H369" i="3"/>
  <c r="K369" i="3"/>
  <c r="L369" i="3"/>
  <c r="H370" i="3"/>
  <c r="K370" i="3"/>
  <c r="L370" i="3"/>
  <c r="H371" i="3"/>
  <c r="K371" i="3"/>
  <c r="L371" i="3"/>
  <c r="H372" i="3"/>
  <c r="K372" i="3"/>
  <c r="L372" i="3"/>
  <c r="H373" i="3"/>
  <c r="K373" i="3"/>
  <c r="L373" i="3"/>
  <c r="H374" i="3"/>
  <c r="K374" i="3"/>
  <c r="L374" i="3"/>
  <c r="H375" i="3"/>
  <c r="K375" i="3"/>
  <c r="L375" i="3"/>
  <c r="H376" i="3"/>
  <c r="K376" i="3"/>
  <c r="L376" i="3"/>
  <c r="H377" i="3"/>
  <c r="K377" i="3"/>
  <c r="L377" i="3"/>
  <c r="H378" i="3"/>
  <c r="K378" i="3"/>
  <c r="L378" i="3"/>
  <c r="H379" i="3"/>
  <c r="K379" i="3"/>
  <c r="L379" i="3"/>
  <c r="H380" i="3"/>
  <c r="K380" i="3"/>
  <c r="L380" i="3"/>
  <c r="H381" i="3"/>
  <c r="K381" i="3"/>
  <c r="L381" i="3"/>
  <c r="H382" i="3"/>
  <c r="K382" i="3"/>
  <c r="L382" i="3"/>
  <c r="H383" i="3"/>
  <c r="K383" i="3"/>
  <c r="L383" i="3"/>
  <c r="H384" i="3"/>
  <c r="K384" i="3"/>
  <c r="L384" i="3"/>
  <c r="H385" i="3"/>
  <c r="K385" i="3"/>
  <c r="L385" i="3"/>
  <c r="H386" i="3"/>
  <c r="K386" i="3"/>
  <c r="L386" i="3"/>
  <c r="H387" i="3"/>
  <c r="K387" i="3"/>
  <c r="L387" i="3"/>
  <c r="H388" i="3"/>
  <c r="K388" i="3"/>
  <c r="L388" i="3"/>
  <c r="H389" i="3"/>
  <c r="K389" i="3"/>
  <c r="L389" i="3"/>
  <c r="H390" i="3"/>
  <c r="K390" i="3"/>
  <c r="L390" i="3"/>
  <c r="H391" i="3"/>
  <c r="K391" i="3"/>
  <c r="L391" i="3"/>
  <c r="H392" i="3"/>
  <c r="K392" i="3"/>
  <c r="L392" i="3"/>
  <c r="H393" i="3"/>
  <c r="K393" i="3"/>
  <c r="L393" i="3"/>
  <c r="H394" i="3"/>
  <c r="K394" i="3"/>
  <c r="L394" i="3"/>
  <c r="H395" i="3"/>
  <c r="K395" i="3"/>
  <c r="L395" i="3"/>
  <c r="H396" i="3"/>
  <c r="K396" i="3"/>
  <c r="L396" i="3"/>
  <c r="H397" i="3"/>
  <c r="K397" i="3"/>
  <c r="L397" i="3"/>
  <c r="H398" i="3"/>
  <c r="K398" i="3"/>
  <c r="L398" i="3"/>
  <c r="H399" i="3"/>
  <c r="K399" i="3"/>
  <c r="L399" i="3"/>
  <c r="H400" i="3"/>
  <c r="K400" i="3"/>
  <c r="L400" i="3"/>
  <c r="H401" i="3"/>
  <c r="K401" i="3"/>
  <c r="L401" i="3"/>
  <c r="H402" i="3"/>
  <c r="K402" i="3"/>
  <c r="L402" i="3"/>
  <c r="H403" i="3"/>
  <c r="K403" i="3"/>
  <c r="L403" i="3"/>
  <c r="H404" i="3"/>
  <c r="K404" i="3"/>
  <c r="L404" i="3"/>
  <c r="H405" i="3"/>
  <c r="K405" i="3"/>
  <c r="L405" i="3"/>
  <c r="H406" i="3"/>
  <c r="K406" i="3"/>
  <c r="L406" i="3"/>
  <c r="H407" i="3"/>
  <c r="K407" i="3"/>
  <c r="L407" i="3"/>
  <c r="H408" i="3"/>
  <c r="K408" i="3"/>
  <c r="L408" i="3"/>
  <c r="H409" i="3"/>
  <c r="K409" i="3"/>
  <c r="L409" i="3"/>
  <c r="H410" i="3"/>
  <c r="K410" i="3"/>
  <c r="L410" i="3"/>
  <c r="H411" i="3"/>
  <c r="K411" i="3"/>
  <c r="L411" i="3"/>
  <c r="H412" i="3"/>
  <c r="K412" i="3"/>
  <c r="L412" i="3"/>
  <c r="H413" i="3"/>
  <c r="K413" i="3"/>
  <c r="L413" i="3"/>
  <c r="H414" i="3"/>
  <c r="K414" i="3"/>
  <c r="L414" i="3"/>
  <c r="H415" i="3"/>
  <c r="K415" i="3"/>
  <c r="L415" i="3"/>
  <c r="H416" i="3"/>
  <c r="K416" i="3"/>
  <c r="L416" i="3"/>
  <c r="H417" i="3"/>
  <c r="K417" i="3"/>
  <c r="L417" i="3"/>
  <c r="H418" i="3"/>
  <c r="K418" i="3"/>
  <c r="L418" i="3"/>
  <c r="H419" i="3"/>
  <c r="K419" i="3"/>
  <c r="L419" i="3"/>
  <c r="H420" i="3"/>
  <c r="K420" i="3"/>
  <c r="L420" i="3"/>
  <c r="H421" i="3"/>
  <c r="K421" i="3"/>
  <c r="L421" i="3"/>
  <c r="H422" i="3"/>
  <c r="K422" i="3"/>
  <c r="L422" i="3"/>
  <c r="H423" i="3"/>
  <c r="K423" i="3"/>
  <c r="L423" i="3"/>
  <c r="H424" i="3"/>
  <c r="K424" i="3"/>
  <c r="L424" i="3"/>
  <c r="H425" i="3"/>
  <c r="K425" i="3"/>
  <c r="L425" i="3"/>
  <c r="H426" i="3"/>
  <c r="K426" i="3"/>
  <c r="L426" i="3"/>
  <c r="H427" i="3"/>
  <c r="K427" i="3"/>
  <c r="L427" i="3"/>
  <c r="H428" i="3"/>
  <c r="K428" i="3"/>
  <c r="L428" i="3"/>
  <c r="H429" i="3"/>
  <c r="K429" i="3"/>
  <c r="L429" i="3"/>
  <c r="H430" i="3"/>
  <c r="K430" i="3"/>
  <c r="L430" i="3"/>
  <c r="H431" i="3"/>
  <c r="K431" i="3"/>
  <c r="L431" i="3"/>
  <c r="H432" i="3"/>
  <c r="K432" i="3"/>
  <c r="L432" i="3"/>
  <c r="H433" i="3"/>
  <c r="K433" i="3"/>
  <c r="L433" i="3"/>
  <c r="H434" i="3"/>
  <c r="K434" i="3"/>
  <c r="L434" i="3"/>
  <c r="H435" i="3"/>
  <c r="K435" i="3"/>
  <c r="L435" i="3"/>
  <c r="H436" i="3"/>
  <c r="K436" i="3"/>
  <c r="L436" i="3"/>
  <c r="H437" i="3"/>
  <c r="K437" i="3"/>
  <c r="L437" i="3"/>
  <c r="H438" i="3"/>
  <c r="K438" i="3"/>
  <c r="L438" i="3"/>
  <c r="H439" i="3"/>
  <c r="K439" i="3"/>
  <c r="L439" i="3"/>
  <c r="H440" i="3"/>
  <c r="K440" i="3"/>
  <c r="L440" i="3"/>
  <c r="H441" i="3"/>
  <c r="K441" i="3"/>
  <c r="L441" i="3"/>
  <c r="H442" i="3"/>
  <c r="K442" i="3"/>
  <c r="L442" i="3"/>
  <c r="H443" i="3"/>
  <c r="K443" i="3"/>
  <c r="L443" i="3"/>
  <c r="H444" i="3"/>
  <c r="K444" i="3"/>
  <c r="L444" i="3"/>
  <c r="H445" i="3"/>
  <c r="K445" i="3"/>
  <c r="L445" i="3"/>
  <c r="H446" i="3"/>
  <c r="K446" i="3"/>
  <c r="L446" i="3"/>
  <c r="H447" i="3"/>
  <c r="K447" i="3"/>
  <c r="L447" i="3"/>
  <c r="H448" i="3"/>
  <c r="K448" i="3"/>
  <c r="L448" i="3"/>
  <c r="H449" i="3"/>
  <c r="K449" i="3"/>
  <c r="L449" i="3"/>
  <c r="H450" i="3"/>
  <c r="K450" i="3"/>
  <c r="L450" i="3"/>
  <c r="H451" i="3"/>
  <c r="K451" i="3"/>
  <c r="L451" i="3"/>
  <c r="H452" i="3"/>
  <c r="K452" i="3"/>
  <c r="L452" i="3"/>
  <c r="H453" i="3"/>
  <c r="K453" i="3"/>
  <c r="L453" i="3"/>
  <c r="H454" i="3"/>
  <c r="K454" i="3"/>
  <c r="L454" i="3"/>
  <c r="H455" i="3"/>
  <c r="K455" i="3"/>
  <c r="L455" i="3"/>
  <c r="H456" i="3"/>
  <c r="K456" i="3"/>
  <c r="L456" i="3"/>
  <c r="H457" i="3"/>
  <c r="K457" i="3"/>
  <c r="L457" i="3"/>
  <c r="H458" i="3"/>
  <c r="K458" i="3"/>
  <c r="L458" i="3"/>
  <c r="H459" i="3"/>
  <c r="K459" i="3"/>
  <c r="L459" i="3"/>
  <c r="H460" i="3"/>
  <c r="K460" i="3"/>
  <c r="L460" i="3"/>
  <c r="H461" i="3"/>
  <c r="K461" i="3"/>
  <c r="L461" i="3"/>
  <c r="H462" i="3"/>
  <c r="K462" i="3"/>
  <c r="L462" i="3"/>
  <c r="H463" i="3"/>
  <c r="K463" i="3"/>
  <c r="L463" i="3"/>
  <c r="H464" i="3"/>
  <c r="K464" i="3"/>
  <c r="L464" i="3"/>
  <c r="H465" i="3"/>
  <c r="K465" i="3"/>
  <c r="L465" i="3"/>
  <c r="H466" i="3"/>
  <c r="K466" i="3"/>
  <c r="L466" i="3"/>
  <c r="H467" i="3"/>
  <c r="K467" i="3"/>
  <c r="L467" i="3"/>
  <c r="H468" i="3"/>
  <c r="K468" i="3"/>
  <c r="L468" i="3"/>
  <c r="H469" i="3"/>
  <c r="K469" i="3"/>
  <c r="L469" i="3"/>
  <c r="H470" i="3"/>
  <c r="K470" i="3"/>
  <c r="L470" i="3"/>
  <c r="H471" i="3"/>
  <c r="K471" i="3"/>
  <c r="L471" i="3"/>
  <c r="H472" i="3"/>
  <c r="K472" i="3"/>
  <c r="L472" i="3"/>
  <c r="H473" i="3"/>
  <c r="K473" i="3"/>
  <c r="L473" i="3"/>
  <c r="H474" i="3"/>
  <c r="K474" i="3"/>
  <c r="L474" i="3"/>
  <c r="H475" i="3"/>
  <c r="K475" i="3"/>
  <c r="L475" i="3"/>
  <c r="H476" i="3"/>
  <c r="K476" i="3"/>
  <c r="L476" i="3"/>
  <c r="H477" i="3"/>
  <c r="K477" i="3"/>
  <c r="L477" i="3"/>
  <c r="H478" i="3"/>
  <c r="K478" i="3"/>
  <c r="L478" i="3"/>
  <c r="H479" i="3"/>
  <c r="K479" i="3"/>
  <c r="L479" i="3"/>
  <c r="H480" i="3"/>
  <c r="K480" i="3"/>
  <c r="L480" i="3"/>
  <c r="H481" i="3"/>
  <c r="K481" i="3"/>
  <c r="L481" i="3"/>
  <c r="H482" i="3"/>
  <c r="K482" i="3"/>
  <c r="L482" i="3"/>
  <c r="H483" i="3"/>
  <c r="K483" i="3"/>
  <c r="L483" i="3"/>
  <c r="H484" i="3"/>
  <c r="K484" i="3"/>
  <c r="L484" i="3"/>
  <c r="H485" i="3"/>
  <c r="K485" i="3"/>
  <c r="L485" i="3"/>
  <c r="H486" i="3"/>
  <c r="K486" i="3"/>
  <c r="L486" i="3"/>
  <c r="H487" i="3"/>
  <c r="K487" i="3"/>
  <c r="L487" i="3"/>
  <c r="H488" i="3"/>
  <c r="K488" i="3"/>
  <c r="L488" i="3"/>
  <c r="H489" i="3"/>
  <c r="K489" i="3"/>
  <c r="L489" i="3"/>
  <c r="H490" i="3"/>
  <c r="K490" i="3"/>
  <c r="L490" i="3"/>
  <c r="H491" i="3"/>
  <c r="K491" i="3"/>
  <c r="L491" i="3"/>
  <c r="H492" i="3"/>
  <c r="K492" i="3"/>
  <c r="L492" i="3"/>
  <c r="H493" i="3"/>
  <c r="K493" i="3"/>
  <c r="L493" i="3"/>
  <c r="H494" i="3"/>
  <c r="K494" i="3"/>
  <c r="L494" i="3"/>
  <c r="H495" i="3"/>
  <c r="K495" i="3"/>
  <c r="L495" i="3"/>
  <c r="H496" i="3"/>
  <c r="K496" i="3"/>
  <c r="L496" i="3"/>
  <c r="H497" i="3"/>
  <c r="K497" i="3"/>
  <c r="L497" i="3"/>
  <c r="H498" i="3"/>
  <c r="K498" i="3"/>
  <c r="L498" i="3"/>
  <c r="H499" i="3"/>
  <c r="K499" i="3"/>
  <c r="L499" i="3"/>
  <c r="H500" i="3"/>
  <c r="K500" i="3"/>
  <c r="L500" i="3"/>
  <c r="H501" i="3"/>
  <c r="K501" i="3"/>
  <c r="L501" i="3"/>
  <c r="H502" i="3"/>
  <c r="K502" i="3"/>
  <c r="L502" i="3"/>
  <c r="H503" i="3"/>
  <c r="K503" i="3"/>
  <c r="L503" i="3"/>
  <c r="H504" i="3"/>
  <c r="K504" i="3"/>
  <c r="L504" i="3"/>
  <c r="H505" i="3"/>
  <c r="K505" i="3"/>
  <c r="L505" i="3"/>
  <c r="H506" i="3"/>
  <c r="K506" i="3"/>
  <c r="L506" i="3"/>
  <c r="H507" i="3"/>
  <c r="K507" i="3"/>
  <c r="L507" i="3"/>
  <c r="H508" i="3"/>
  <c r="K508" i="3"/>
  <c r="L508" i="3"/>
  <c r="H509" i="3"/>
  <c r="K509" i="3"/>
  <c r="L509" i="3"/>
  <c r="H510" i="3"/>
  <c r="K510" i="3"/>
  <c r="L510" i="3"/>
  <c r="H511" i="3"/>
  <c r="K511" i="3"/>
  <c r="L511" i="3"/>
  <c r="H512" i="3"/>
  <c r="K512" i="3"/>
  <c r="L512" i="3"/>
  <c r="H513" i="3"/>
  <c r="K513" i="3"/>
  <c r="L513" i="3"/>
  <c r="H514" i="3"/>
  <c r="K514" i="3"/>
  <c r="L514" i="3"/>
  <c r="H515" i="3"/>
  <c r="K515" i="3"/>
  <c r="L515" i="3"/>
  <c r="H516" i="3"/>
  <c r="K516" i="3"/>
  <c r="L516" i="3"/>
  <c r="H517" i="3"/>
  <c r="K517" i="3"/>
  <c r="L517" i="3"/>
  <c r="H518" i="3"/>
  <c r="K518" i="3"/>
  <c r="L518" i="3"/>
  <c r="H519" i="3"/>
  <c r="K519" i="3"/>
  <c r="L519" i="3"/>
  <c r="H520" i="3"/>
  <c r="K520" i="3"/>
  <c r="L520" i="3"/>
  <c r="H521" i="3"/>
  <c r="K521" i="3"/>
  <c r="L521" i="3"/>
  <c r="H522" i="3"/>
  <c r="K522" i="3"/>
  <c r="L522" i="3"/>
  <c r="H523" i="3"/>
  <c r="K523" i="3"/>
  <c r="L523" i="3"/>
  <c r="H524" i="3"/>
  <c r="K524" i="3"/>
  <c r="L524" i="3"/>
  <c r="H525" i="3"/>
  <c r="K525" i="3"/>
  <c r="L525" i="3"/>
  <c r="H526" i="3"/>
  <c r="K526" i="3"/>
  <c r="L526" i="3"/>
  <c r="H527" i="3"/>
  <c r="K527" i="3"/>
  <c r="L527" i="3"/>
  <c r="H528" i="3"/>
  <c r="K528" i="3"/>
  <c r="L528" i="3"/>
  <c r="H529" i="3"/>
  <c r="K529" i="3"/>
  <c r="L529" i="3"/>
  <c r="H530" i="3"/>
  <c r="K530" i="3"/>
  <c r="L530" i="3"/>
  <c r="H531" i="3"/>
  <c r="K531" i="3"/>
  <c r="L531" i="3"/>
  <c r="H532" i="3"/>
  <c r="K532" i="3"/>
  <c r="L532" i="3"/>
  <c r="H533" i="3"/>
  <c r="K533" i="3"/>
  <c r="L533" i="3"/>
  <c r="H534" i="3"/>
  <c r="K534" i="3"/>
  <c r="L534" i="3"/>
  <c r="H535" i="3"/>
  <c r="K535" i="3"/>
  <c r="L535" i="3"/>
  <c r="H536" i="3"/>
  <c r="K536" i="3"/>
  <c r="L536" i="3"/>
  <c r="H537" i="3"/>
  <c r="K537" i="3"/>
  <c r="L537" i="3"/>
  <c r="H538" i="3"/>
  <c r="K538" i="3"/>
  <c r="L538" i="3"/>
  <c r="H539" i="3"/>
  <c r="K539" i="3"/>
  <c r="L539" i="3"/>
  <c r="H540" i="3"/>
  <c r="K540" i="3"/>
  <c r="L540" i="3"/>
  <c r="H541" i="3"/>
  <c r="K541" i="3"/>
  <c r="L541" i="3"/>
  <c r="H542" i="3"/>
  <c r="K542" i="3"/>
  <c r="L542" i="3"/>
  <c r="H543" i="3"/>
  <c r="K543" i="3"/>
  <c r="L543" i="3"/>
  <c r="H544" i="3"/>
  <c r="K544" i="3"/>
  <c r="L544" i="3"/>
  <c r="H545" i="3"/>
  <c r="K545" i="3"/>
  <c r="L545" i="3"/>
  <c r="H546" i="3"/>
  <c r="K546" i="3"/>
  <c r="L546" i="3"/>
  <c r="H547" i="3"/>
  <c r="K547" i="3"/>
  <c r="L547" i="3"/>
  <c r="H548" i="3"/>
  <c r="K548" i="3"/>
  <c r="L548" i="3"/>
  <c r="H549" i="3"/>
  <c r="K549" i="3"/>
  <c r="L549" i="3"/>
  <c r="H550" i="3"/>
  <c r="K550" i="3"/>
  <c r="L550" i="3"/>
  <c r="H551" i="3"/>
  <c r="K551" i="3"/>
  <c r="L551" i="3"/>
  <c r="H552" i="3"/>
  <c r="K552" i="3"/>
  <c r="L552" i="3"/>
  <c r="H553" i="3"/>
  <c r="K553" i="3"/>
  <c r="L553" i="3"/>
  <c r="H554" i="3"/>
  <c r="K554" i="3"/>
  <c r="L554" i="3"/>
  <c r="H555" i="3"/>
  <c r="K555" i="3"/>
  <c r="L555" i="3"/>
  <c r="H556" i="3"/>
  <c r="K556" i="3"/>
  <c r="L556" i="3"/>
  <c r="H557" i="3"/>
  <c r="K557" i="3"/>
  <c r="L557" i="3"/>
  <c r="H558" i="3"/>
  <c r="K558" i="3"/>
  <c r="L558" i="3"/>
  <c r="H559" i="3"/>
  <c r="K559" i="3"/>
  <c r="L559" i="3"/>
  <c r="H560" i="3"/>
  <c r="K560" i="3"/>
  <c r="L560" i="3"/>
  <c r="H561" i="3"/>
  <c r="K561" i="3"/>
  <c r="L561" i="3"/>
  <c r="H562" i="3"/>
  <c r="K562" i="3"/>
  <c r="L562" i="3"/>
  <c r="H563" i="3"/>
  <c r="K563" i="3"/>
  <c r="L563" i="3"/>
  <c r="H564" i="3"/>
  <c r="K564" i="3"/>
  <c r="L564" i="3"/>
  <c r="H565" i="3"/>
  <c r="K565" i="3"/>
  <c r="L565" i="3"/>
  <c r="H566" i="3"/>
  <c r="K566" i="3"/>
  <c r="L566" i="3"/>
  <c r="H567" i="3"/>
  <c r="K567" i="3"/>
  <c r="L567" i="3"/>
  <c r="H568" i="3"/>
  <c r="K568" i="3"/>
  <c r="L568" i="3"/>
  <c r="H569" i="3"/>
  <c r="K569" i="3"/>
  <c r="L569" i="3"/>
  <c r="H570" i="3"/>
  <c r="K570" i="3"/>
  <c r="L570" i="3"/>
  <c r="H571" i="3"/>
  <c r="K571" i="3"/>
  <c r="L571" i="3"/>
  <c r="H572" i="3"/>
  <c r="K572" i="3"/>
  <c r="L572" i="3"/>
  <c r="H573" i="3"/>
  <c r="K573" i="3"/>
  <c r="L573" i="3"/>
  <c r="H574" i="3"/>
  <c r="K574" i="3"/>
  <c r="L574" i="3"/>
  <c r="H575" i="3"/>
  <c r="K575" i="3"/>
  <c r="L575" i="3"/>
  <c r="H576" i="3"/>
  <c r="K576" i="3"/>
  <c r="L576" i="3"/>
  <c r="H577" i="3"/>
  <c r="K577" i="3"/>
  <c r="L577" i="3"/>
  <c r="H578" i="3"/>
  <c r="K578" i="3"/>
  <c r="L578" i="3"/>
  <c r="H579" i="3"/>
  <c r="K579" i="3"/>
  <c r="L579" i="3"/>
  <c r="H580" i="3"/>
  <c r="K580" i="3"/>
  <c r="L580" i="3"/>
  <c r="H581" i="3"/>
  <c r="K581" i="3"/>
  <c r="L581" i="3"/>
  <c r="H582" i="3"/>
  <c r="K582" i="3"/>
  <c r="L582" i="3"/>
  <c r="H583" i="3"/>
  <c r="K583" i="3"/>
  <c r="L583" i="3"/>
  <c r="H584" i="3"/>
  <c r="K584" i="3"/>
  <c r="L584" i="3"/>
  <c r="H585" i="3"/>
  <c r="K585" i="3"/>
  <c r="L585" i="3"/>
  <c r="H586" i="3"/>
  <c r="K586" i="3"/>
  <c r="L586" i="3"/>
  <c r="H587" i="3"/>
  <c r="K587" i="3"/>
  <c r="L587" i="3"/>
  <c r="H588" i="3"/>
  <c r="K588" i="3"/>
  <c r="L588" i="3"/>
  <c r="H589" i="3"/>
  <c r="K589" i="3"/>
  <c r="L589" i="3"/>
  <c r="H590" i="3"/>
  <c r="K590" i="3"/>
  <c r="L590" i="3"/>
  <c r="H591" i="3"/>
  <c r="K591" i="3"/>
  <c r="L591" i="3"/>
  <c r="H592" i="3"/>
  <c r="K592" i="3"/>
  <c r="L592" i="3"/>
  <c r="H593" i="3"/>
  <c r="K593" i="3"/>
  <c r="L593" i="3"/>
  <c r="H594" i="3"/>
  <c r="K594" i="3"/>
  <c r="L594" i="3"/>
  <c r="H595" i="3"/>
  <c r="K595" i="3"/>
  <c r="L595" i="3"/>
  <c r="H596" i="3"/>
  <c r="K596" i="3"/>
  <c r="L596" i="3"/>
  <c r="H597" i="3"/>
  <c r="K597" i="3"/>
  <c r="L597" i="3"/>
  <c r="H598" i="3"/>
  <c r="K598" i="3"/>
  <c r="L598" i="3"/>
  <c r="H599" i="3"/>
  <c r="K599" i="3"/>
  <c r="L599" i="3"/>
  <c r="H600" i="3"/>
  <c r="K600" i="3"/>
  <c r="L600" i="3"/>
  <c r="H601" i="3"/>
  <c r="K601" i="3"/>
  <c r="L601" i="3"/>
  <c r="H602" i="3"/>
  <c r="K602" i="3"/>
  <c r="L602" i="3"/>
  <c r="H603" i="3"/>
  <c r="K603" i="3"/>
  <c r="L603" i="3"/>
  <c r="H604" i="3"/>
  <c r="K604" i="3"/>
  <c r="L604" i="3"/>
  <c r="H605" i="3"/>
  <c r="K605" i="3"/>
  <c r="L605" i="3"/>
  <c r="H606" i="3"/>
  <c r="K606" i="3"/>
  <c r="L606" i="3"/>
  <c r="H607" i="3"/>
  <c r="K607" i="3"/>
  <c r="L607" i="3"/>
  <c r="H608" i="3"/>
  <c r="K608" i="3"/>
  <c r="L608" i="3"/>
  <c r="H609" i="3"/>
  <c r="K609" i="3"/>
  <c r="L609" i="3"/>
  <c r="H610" i="3"/>
  <c r="K610" i="3"/>
  <c r="L610" i="3"/>
  <c r="H611" i="3"/>
  <c r="K611" i="3"/>
  <c r="L611" i="3"/>
  <c r="H612" i="3"/>
  <c r="K612" i="3"/>
  <c r="L612" i="3"/>
  <c r="H613" i="3"/>
  <c r="K613" i="3"/>
  <c r="L613" i="3"/>
  <c r="H614" i="3"/>
  <c r="K614" i="3"/>
  <c r="L614" i="3"/>
  <c r="H615" i="3"/>
  <c r="K615" i="3"/>
  <c r="L615" i="3"/>
  <c r="H616" i="3"/>
  <c r="K616" i="3"/>
  <c r="L616" i="3"/>
  <c r="H617" i="3"/>
  <c r="K617" i="3"/>
  <c r="L617" i="3"/>
  <c r="H618" i="3"/>
  <c r="K618" i="3"/>
  <c r="L618" i="3"/>
  <c r="H619" i="3"/>
  <c r="K619" i="3"/>
  <c r="L619" i="3"/>
  <c r="H620" i="3"/>
  <c r="K620" i="3"/>
  <c r="L620" i="3"/>
  <c r="H621" i="3"/>
  <c r="K621" i="3"/>
  <c r="L621" i="3"/>
  <c r="H622" i="3"/>
  <c r="K622" i="3"/>
  <c r="L622" i="3"/>
  <c r="H623" i="3"/>
  <c r="K623" i="3"/>
  <c r="L623" i="3"/>
  <c r="H624" i="3"/>
  <c r="K624" i="3"/>
  <c r="L624" i="3"/>
  <c r="H625" i="3"/>
  <c r="K625" i="3"/>
  <c r="L625" i="3"/>
  <c r="H626" i="3"/>
  <c r="K626" i="3"/>
  <c r="L626" i="3"/>
  <c r="H627" i="3"/>
  <c r="K627" i="3"/>
  <c r="L627" i="3"/>
  <c r="H628" i="3"/>
  <c r="K628" i="3"/>
  <c r="L628" i="3"/>
  <c r="H629" i="3"/>
  <c r="K629" i="3"/>
  <c r="L629" i="3"/>
  <c r="H630" i="3"/>
  <c r="K630" i="3"/>
  <c r="L630" i="3"/>
  <c r="H631" i="3"/>
  <c r="K631" i="3"/>
  <c r="L631" i="3"/>
  <c r="H632" i="3"/>
  <c r="K632" i="3"/>
  <c r="L632" i="3"/>
  <c r="H633" i="3"/>
  <c r="K633" i="3"/>
  <c r="L633" i="3"/>
  <c r="H634" i="3"/>
  <c r="K634" i="3"/>
  <c r="L634" i="3"/>
  <c r="H635" i="3"/>
  <c r="K635" i="3"/>
  <c r="L635" i="3"/>
  <c r="H636" i="3"/>
  <c r="K636" i="3"/>
  <c r="L636" i="3"/>
  <c r="H637" i="3"/>
  <c r="K637" i="3"/>
  <c r="L637" i="3"/>
  <c r="H638" i="3"/>
  <c r="K638" i="3"/>
  <c r="L638" i="3"/>
  <c r="H639" i="3"/>
  <c r="K639" i="3"/>
  <c r="L639" i="3"/>
  <c r="H640" i="3"/>
  <c r="K640" i="3"/>
  <c r="L640" i="3"/>
  <c r="H641" i="3"/>
  <c r="K641" i="3"/>
  <c r="L641" i="3"/>
  <c r="H642" i="3"/>
  <c r="K642" i="3"/>
  <c r="L642" i="3"/>
  <c r="H643" i="3"/>
  <c r="K643" i="3"/>
  <c r="L643" i="3"/>
  <c r="H644" i="3"/>
  <c r="K644" i="3"/>
  <c r="L644" i="3"/>
  <c r="H645" i="3"/>
  <c r="K645" i="3"/>
  <c r="L645" i="3"/>
  <c r="H646" i="3"/>
  <c r="K646" i="3"/>
  <c r="L646" i="3"/>
  <c r="H647" i="3"/>
  <c r="K647" i="3"/>
  <c r="L647" i="3"/>
  <c r="H648" i="3"/>
  <c r="K648" i="3"/>
  <c r="L648" i="3"/>
  <c r="H649" i="3"/>
  <c r="K649" i="3"/>
  <c r="L649" i="3"/>
  <c r="H650" i="3"/>
  <c r="K650" i="3"/>
  <c r="L650" i="3"/>
  <c r="S480" i="3"/>
  <c r="T480" i="3"/>
  <c r="S481" i="3"/>
  <c r="T481" i="3"/>
  <c r="S482" i="3"/>
  <c r="T482" i="3"/>
  <c r="S483" i="3"/>
  <c r="T483" i="3"/>
  <c r="S484" i="3"/>
  <c r="T484" i="3"/>
  <c r="S485" i="3"/>
  <c r="T485" i="3"/>
  <c r="S486" i="3"/>
  <c r="T486" i="3"/>
  <c r="S487" i="3"/>
  <c r="T487" i="3"/>
  <c r="S488" i="3"/>
  <c r="T488" i="3"/>
  <c r="S489" i="3"/>
  <c r="T489" i="3"/>
  <c r="S490" i="3"/>
  <c r="T490" i="3"/>
  <c r="S491" i="3"/>
  <c r="T491" i="3"/>
  <c r="S492" i="3"/>
  <c r="T492" i="3"/>
  <c r="S493" i="3"/>
  <c r="T493" i="3"/>
  <c r="S494" i="3"/>
  <c r="T494" i="3"/>
  <c r="S495" i="3"/>
  <c r="T495" i="3"/>
  <c r="S496" i="3"/>
  <c r="T496" i="3"/>
  <c r="S497" i="3"/>
  <c r="T497" i="3"/>
  <c r="S498" i="3"/>
  <c r="T498" i="3"/>
  <c r="S499" i="3"/>
  <c r="T499" i="3"/>
  <c r="S500" i="3"/>
  <c r="T500" i="3"/>
  <c r="S501" i="3"/>
  <c r="T501" i="3"/>
  <c r="S502" i="3"/>
  <c r="T502" i="3"/>
  <c r="S503" i="3"/>
  <c r="T503" i="3"/>
  <c r="S504" i="3"/>
  <c r="T504" i="3"/>
  <c r="S505" i="3"/>
  <c r="T505" i="3"/>
  <c r="S506" i="3"/>
  <c r="T506" i="3"/>
  <c r="S507" i="3"/>
  <c r="T507" i="3"/>
  <c r="S508" i="3"/>
  <c r="T508" i="3"/>
  <c r="S509" i="3"/>
  <c r="T509" i="3"/>
  <c r="S510" i="3"/>
  <c r="T510" i="3"/>
  <c r="S511" i="3"/>
  <c r="T511" i="3"/>
  <c r="S512" i="3"/>
  <c r="T512" i="3"/>
  <c r="S513" i="3"/>
  <c r="T513" i="3"/>
  <c r="S514" i="3"/>
  <c r="T514" i="3"/>
  <c r="S515" i="3"/>
  <c r="T515" i="3"/>
  <c r="S516" i="3"/>
  <c r="T516" i="3"/>
  <c r="S517" i="3"/>
  <c r="T517" i="3"/>
  <c r="S518" i="3"/>
  <c r="T518" i="3"/>
  <c r="S519" i="3"/>
  <c r="T519" i="3"/>
  <c r="S520" i="3"/>
  <c r="T520" i="3"/>
  <c r="S521" i="3"/>
  <c r="T521" i="3"/>
  <c r="S522" i="3"/>
  <c r="T522" i="3"/>
  <c r="S523" i="3"/>
  <c r="T523" i="3"/>
  <c r="S524" i="3"/>
  <c r="T524" i="3"/>
  <c r="S525" i="3"/>
  <c r="T525" i="3"/>
  <c r="S526" i="3"/>
  <c r="T526" i="3"/>
  <c r="S527" i="3"/>
  <c r="T527" i="3"/>
  <c r="S528" i="3"/>
  <c r="T528" i="3"/>
  <c r="S529" i="3"/>
  <c r="T529" i="3"/>
  <c r="S530" i="3"/>
  <c r="T530" i="3"/>
  <c r="S531" i="3"/>
  <c r="T531" i="3"/>
  <c r="S532" i="3"/>
  <c r="T532" i="3"/>
  <c r="S533" i="3"/>
  <c r="T533" i="3"/>
  <c r="S534" i="3"/>
  <c r="T534" i="3"/>
  <c r="S535" i="3"/>
  <c r="T535" i="3"/>
  <c r="S536" i="3"/>
  <c r="T536" i="3"/>
  <c r="S537" i="3"/>
  <c r="T537" i="3"/>
  <c r="S538" i="3"/>
  <c r="T538" i="3"/>
  <c r="S539" i="3"/>
  <c r="T539" i="3"/>
  <c r="S540" i="3"/>
  <c r="T540" i="3"/>
  <c r="S541" i="3"/>
  <c r="T541" i="3"/>
  <c r="S542" i="3"/>
  <c r="T542" i="3"/>
  <c r="S543" i="3"/>
  <c r="T543" i="3"/>
  <c r="S544" i="3"/>
  <c r="T544" i="3"/>
  <c r="S545" i="3"/>
  <c r="T545" i="3"/>
  <c r="S546" i="3"/>
  <c r="T546" i="3"/>
  <c r="S547" i="3"/>
  <c r="T547" i="3"/>
  <c r="S548" i="3"/>
  <c r="T548" i="3"/>
  <c r="S549" i="3"/>
  <c r="T549" i="3"/>
  <c r="S550" i="3"/>
  <c r="T550" i="3"/>
  <c r="S551" i="3"/>
  <c r="T551" i="3"/>
  <c r="S552" i="3"/>
  <c r="T552" i="3"/>
  <c r="S553" i="3"/>
  <c r="T553" i="3"/>
  <c r="S554" i="3"/>
  <c r="T554" i="3"/>
  <c r="S555" i="3"/>
  <c r="T555" i="3"/>
  <c r="S556" i="3"/>
  <c r="T556" i="3"/>
  <c r="S557" i="3"/>
  <c r="T557" i="3"/>
  <c r="S558" i="3"/>
  <c r="T558" i="3"/>
  <c r="S559" i="3"/>
  <c r="T559" i="3"/>
  <c r="S560" i="3"/>
  <c r="T560" i="3"/>
  <c r="S561" i="3"/>
  <c r="T561" i="3"/>
  <c r="S562" i="3"/>
  <c r="T562" i="3"/>
  <c r="S563" i="3"/>
  <c r="T563" i="3"/>
  <c r="S564" i="3"/>
  <c r="T564" i="3"/>
  <c r="S565" i="3"/>
  <c r="T565" i="3"/>
  <c r="S566" i="3"/>
  <c r="T566" i="3"/>
  <c r="S567" i="3"/>
  <c r="T567" i="3"/>
  <c r="S568" i="3"/>
  <c r="T568" i="3"/>
  <c r="S569" i="3"/>
  <c r="T569" i="3"/>
  <c r="S570" i="3"/>
  <c r="T570" i="3"/>
  <c r="S571" i="3"/>
  <c r="T571" i="3"/>
  <c r="S572" i="3"/>
  <c r="T572" i="3"/>
  <c r="S573" i="3"/>
  <c r="T573" i="3"/>
  <c r="S574" i="3"/>
  <c r="T574" i="3"/>
  <c r="S575" i="3"/>
  <c r="T575" i="3"/>
  <c r="S576" i="3"/>
  <c r="T576" i="3"/>
  <c r="S577" i="3"/>
  <c r="T577" i="3"/>
  <c r="S578" i="3"/>
  <c r="T578" i="3"/>
  <c r="S579" i="3"/>
  <c r="T579" i="3"/>
  <c r="S580" i="3"/>
  <c r="T580" i="3"/>
  <c r="S581" i="3"/>
  <c r="T581" i="3"/>
  <c r="S582" i="3"/>
  <c r="T582" i="3"/>
  <c r="S583" i="3"/>
  <c r="T583" i="3"/>
  <c r="S584" i="3"/>
  <c r="T584" i="3"/>
  <c r="S585" i="3"/>
  <c r="T585" i="3"/>
  <c r="S586" i="3"/>
  <c r="T586" i="3"/>
  <c r="S587" i="3"/>
  <c r="T587" i="3"/>
  <c r="S588" i="3"/>
  <c r="T588" i="3"/>
  <c r="S589" i="3"/>
  <c r="T589" i="3"/>
  <c r="S590" i="3"/>
  <c r="T590" i="3"/>
  <c r="S591" i="3"/>
  <c r="T591" i="3"/>
  <c r="S592" i="3"/>
  <c r="T592" i="3"/>
  <c r="S593" i="3"/>
  <c r="T593" i="3"/>
  <c r="S594" i="3"/>
  <c r="T594" i="3"/>
  <c r="S595" i="3"/>
  <c r="T595" i="3"/>
  <c r="S596" i="3"/>
  <c r="T596" i="3"/>
  <c r="S597" i="3"/>
  <c r="T597" i="3"/>
  <c r="S598" i="3"/>
  <c r="T598" i="3"/>
  <c r="S599" i="3"/>
  <c r="T599" i="3"/>
  <c r="S600" i="3"/>
  <c r="T600" i="3"/>
  <c r="S601" i="3"/>
  <c r="T601" i="3"/>
  <c r="S602" i="3"/>
  <c r="T602" i="3"/>
  <c r="S603" i="3"/>
  <c r="T603" i="3"/>
  <c r="S604" i="3"/>
  <c r="T604" i="3"/>
  <c r="S605" i="3"/>
  <c r="T605" i="3"/>
  <c r="S606" i="3"/>
  <c r="T606" i="3"/>
  <c r="S607" i="3"/>
  <c r="T607" i="3"/>
  <c r="S608" i="3"/>
  <c r="T608" i="3"/>
  <c r="S609" i="3"/>
  <c r="T609" i="3"/>
  <c r="S610" i="3"/>
  <c r="T610" i="3"/>
  <c r="S611" i="3"/>
  <c r="T611" i="3"/>
  <c r="S612" i="3"/>
  <c r="T612" i="3"/>
  <c r="S613" i="3"/>
  <c r="T613" i="3"/>
  <c r="S614" i="3"/>
  <c r="T614" i="3"/>
  <c r="S615" i="3"/>
  <c r="T615" i="3"/>
  <c r="S616" i="3"/>
  <c r="T616" i="3"/>
  <c r="S617" i="3"/>
  <c r="T617" i="3"/>
  <c r="S618" i="3"/>
  <c r="T618" i="3"/>
  <c r="S619" i="3"/>
  <c r="T619" i="3"/>
  <c r="S620" i="3"/>
  <c r="T620" i="3"/>
  <c r="S621" i="3"/>
  <c r="T621" i="3"/>
  <c r="S622" i="3"/>
  <c r="T622" i="3"/>
  <c r="S623" i="3"/>
  <c r="T623" i="3"/>
  <c r="S624" i="3"/>
  <c r="T624" i="3"/>
  <c r="S625" i="3"/>
  <c r="T625" i="3"/>
  <c r="S626" i="3"/>
  <c r="T626" i="3"/>
  <c r="S627" i="3"/>
  <c r="T627" i="3"/>
  <c r="S628" i="3"/>
  <c r="T628" i="3"/>
  <c r="S629" i="3"/>
  <c r="T629" i="3"/>
  <c r="S630" i="3"/>
  <c r="T630" i="3"/>
  <c r="S631" i="3"/>
  <c r="T631" i="3"/>
  <c r="S632" i="3"/>
  <c r="T632" i="3"/>
  <c r="S633" i="3"/>
  <c r="T633" i="3"/>
  <c r="S634" i="3"/>
  <c r="T634" i="3"/>
  <c r="S635" i="3"/>
  <c r="T635" i="3"/>
  <c r="S636" i="3"/>
  <c r="T636" i="3"/>
  <c r="S637" i="3"/>
  <c r="T637" i="3"/>
  <c r="S638" i="3"/>
  <c r="T638" i="3"/>
  <c r="S639" i="3"/>
  <c r="T639" i="3"/>
  <c r="S640" i="3"/>
  <c r="T640" i="3"/>
  <c r="S641" i="3"/>
  <c r="T641" i="3"/>
  <c r="S642" i="3"/>
  <c r="T642" i="3"/>
  <c r="S643" i="3"/>
  <c r="T643" i="3"/>
  <c r="S644" i="3"/>
  <c r="T644" i="3"/>
  <c r="S645" i="3"/>
  <c r="T645" i="3"/>
  <c r="S646" i="3"/>
  <c r="T646" i="3"/>
  <c r="S647" i="3"/>
  <c r="T647" i="3"/>
  <c r="S648" i="3"/>
  <c r="T648" i="3"/>
  <c r="S649" i="3"/>
  <c r="T649" i="3"/>
  <c r="S650" i="3"/>
  <c r="T650" i="3"/>
  <c r="S5" i="3"/>
  <c r="T5" i="3"/>
  <c r="S6" i="3"/>
  <c r="T6" i="3"/>
  <c r="S7" i="3"/>
  <c r="T7" i="3"/>
  <c r="S8" i="3"/>
  <c r="T8" i="3"/>
  <c r="S9" i="3"/>
  <c r="T9" i="3"/>
  <c r="S10" i="3"/>
  <c r="T10" i="3"/>
  <c r="S11" i="3"/>
  <c r="T11" i="3"/>
  <c r="S12" i="3"/>
  <c r="T12" i="3"/>
  <c r="S13" i="3"/>
  <c r="T13" i="3"/>
  <c r="S14" i="3"/>
  <c r="T14" i="3"/>
  <c r="S15" i="3"/>
  <c r="T15" i="3"/>
  <c r="S16" i="3"/>
  <c r="T16" i="3"/>
  <c r="S17" i="3"/>
  <c r="T17" i="3"/>
  <c r="S18" i="3"/>
  <c r="T18" i="3"/>
  <c r="S19" i="3"/>
  <c r="T19" i="3"/>
  <c r="S20" i="3"/>
  <c r="T20" i="3"/>
  <c r="S21" i="3"/>
  <c r="T21" i="3"/>
  <c r="S22" i="3"/>
  <c r="T22" i="3"/>
  <c r="S23" i="3"/>
  <c r="T23" i="3"/>
  <c r="S24" i="3"/>
  <c r="T24" i="3"/>
  <c r="S25" i="3"/>
  <c r="T25" i="3"/>
  <c r="S26" i="3"/>
  <c r="T26" i="3"/>
  <c r="S27" i="3"/>
  <c r="T27" i="3"/>
  <c r="S28" i="3"/>
  <c r="T28" i="3"/>
  <c r="S29" i="3"/>
  <c r="T29" i="3"/>
  <c r="S30" i="3"/>
  <c r="T30" i="3"/>
  <c r="S31" i="3"/>
  <c r="T31" i="3"/>
  <c r="S32" i="3"/>
  <c r="T32" i="3"/>
  <c r="S33" i="3"/>
  <c r="T33" i="3"/>
  <c r="S34" i="3"/>
  <c r="T34" i="3"/>
  <c r="S35" i="3"/>
  <c r="T35" i="3"/>
  <c r="S36" i="3"/>
  <c r="T36" i="3"/>
  <c r="S37" i="3"/>
  <c r="T37" i="3"/>
  <c r="S38" i="3"/>
  <c r="T38" i="3"/>
  <c r="S39" i="3"/>
  <c r="T39" i="3"/>
  <c r="S40" i="3"/>
  <c r="T40" i="3"/>
  <c r="S41" i="3"/>
  <c r="T41" i="3"/>
  <c r="S42" i="3"/>
  <c r="T42" i="3"/>
  <c r="S43" i="3"/>
  <c r="T43" i="3"/>
  <c r="S44" i="3"/>
  <c r="T44" i="3"/>
  <c r="S45" i="3"/>
  <c r="T45" i="3"/>
  <c r="S46" i="3"/>
  <c r="T46" i="3"/>
  <c r="S47" i="3"/>
  <c r="T47" i="3"/>
  <c r="S48" i="3"/>
  <c r="T48" i="3"/>
  <c r="S49" i="3"/>
  <c r="T49" i="3"/>
  <c r="S50" i="3"/>
  <c r="T50" i="3"/>
  <c r="S51" i="3"/>
  <c r="T51" i="3"/>
  <c r="S52" i="3"/>
  <c r="T52" i="3"/>
  <c r="S53" i="3"/>
  <c r="T53" i="3"/>
  <c r="S54" i="3"/>
  <c r="T54" i="3"/>
  <c r="S55" i="3"/>
  <c r="T55" i="3"/>
  <c r="S56" i="3"/>
  <c r="T56" i="3"/>
  <c r="S57" i="3"/>
  <c r="T57" i="3"/>
  <c r="S58" i="3"/>
  <c r="T58" i="3"/>
  <c r="S59" i="3"/>
  <c r="T59" i="3"/>
  <c r="S60" i="3"/>
  <c r="T60" i="3"/>
  <c r="S61" i="3"/>
  <c r="T61" i="3"/>
  <c r="S62" i="3"/>
  <c r="T62" i="3"/>
  <c r="S63" i="3"/>
  <c r="T63" i="3"/>
  <c r="S64" i="3"/>
  <c r="T64" i="3"/>
  <c r="S65" i="3"/>
  <c r="T65" i="3"/>
  <c r="S66" i="3"/>
  <c r="T66" i="3"/>
  <c r="S67" i="3"/>
  <c r="T67" i="3"/>
  <c r="S68" i="3"/>
  <c r="T68" i="3"/>
  <c r="S69" i="3"/>
  <c r="T69" i="3"/>
  <c r="S70" i="3"/>
  <c r="T70" i="3"/>
  <c r="S71" i="3"/>
  <c r="T71" i="3"/>
  <c r="S72" i="3"/>
  <c r="T72" i="3"/>
  <c r="S73" i="3"/>
  <c r="T73" i="3"/>
  <c r="S74" i="3"/>
  <c r="T74" i="3"/>
  <c r="S75" i="3"/>
  <c r="T75" i="3"/>
  <c r="S76" i="3"/>
  <c r="T76" i="3"/>
  <c r="S77" i="3"/>
  <c r="T77" i="3"/>
  <c r="S78" i="3"/>
  <c r="T78" i="3"/>
  <c r="S79" i="3"/>
  <c r="T79" i="3"/>
  <c r="S80" i="3"/>
  <c r="T80" i="3"/>
  <c r="S81" i="3"/>
  <c r="T81" i="3"/>
  <c r="S82" i="3"/>
  <c r="T82" i="3"/>
  <c r="S83" i="3"/>
  <c r="T83" i="3"/>
  <c r="S84" i="3"/>
  <c r="T84" i="3"/>
  <c r="S85" i="3"/>
  <c r="T85" i="3"/>
  <c r="S86" i="3"/>
  <c r="T86" i="3"/>
  <c r="S87" i="3"/>
  <c r="T87" i="3"/>
  <c r="S88" i="3"/>
  <c r="T88" i="3"/>
  <c r="S89" i="3"/>
  <c r="T89" i="3"/>
  <c r="S90" i="3"/>
  <c r="T90" i="3"/>
  <c r="S91" i="3"/>
  <c r="T91" i="3"/>
  <c r="S92" i="3"/>
  <c r="T92" i="3"/>
  <c r="S93" i="3"/>
  <c r="T93" i="3"/>
  <c r="S94" i="3"/>
  <c r="T94" i="3"/>
  <c r="S95" i="3"/>
  <c r="T95" i="3"/>
  <c r="S96" i="3"/>
  <c r="T96" i="3"/>
  <c r="S97" i="3"/>
  <c r="T97" i="3"/>
  <c r="S98" i="3"/>
  <c r="T98" i="3"/>
  <c r="S99" i="3"/>
  <c r="T99" i="3"/>
  <c r="S100" i="3"/>
  <c r="T100" i="3"/>
  <c r="S101" i="3"/>
  <c r="T101" i="3"/>
  <c r="S102" i="3"/>
  <c r="T102" i="3"/>
  <c r="S103" i="3"/>
  <c r="T103" i="3"/>
  <c r="S104" i="3"/>
  <c r="T104" i="3"/>
  <c r="S105" i="3"/>
  <c r="T105" i="3"/>
  <c r="S106" i="3"/>
  <c r="T106" i="3"/>
  <c r="S107" i="3"/>
  <c r="T107" i="3"/>
  <c r="S108" i="3"/>
  <c r="T108" i="3"/>
  <c r="S109" i="3"/>
  <c r="T109" i="3"/>
  <c r="S110" i="3"/>
  <c r="T110" i="3"/>
  <c r="S111" i="3"/>
  <c r="T111" i="3"/>
  <c r="S112" i="3"/>
  <c r="T112" i="3"/>
  <c r="S113" i="3"/>
  <c r="T113" i="3"/>
  <c r="S114" i="3"/>
  <c r="T114" i="3"/>
  <c r="S115" i="3"/>
  <c r="T115" i="3"/>
  <c r="S116" i="3"/>
  <c r="T116" i="3"/>
  <c r="S117" i="3"/>
  <c r="T117" i="3"/>
  <c r="S118" i="3"/>
  <c r="T118" i="3"/>
  <c r="S119" i="3"/>
  <c r="T119" i="3"/>
  <c r="S120" i="3"/>
  <c r="T120" i="3"/>
  <c r="S121" i="3"/>
  <c r="T121" i="3"/>
  <c r="S122" i="3"/>
  <c r="T122" i="3"/>
  <c r="S123" i="3"/>
  <c r="T123" i="3"/>
  <c r="S124" i="3"/>
  <c r="T124" i="3"/>
  <c r="S125" i="3"/>
  <c r="T125" i="3"/>
  <c r="S126" i="3"/>
  <c r="T126" i="3"/>
  <c r="S127" i="3"/>
  <c r="T127" i="3"/>
  <c r="S128" i="3"/>
  <c r="T128" i="3"/>
  <c r="S129" i="3"/>
  <c r="T129" i="3"/>
  <c r="S130" i="3"/>
  <c r="T130" i="3"/>
  <c r="S131" i="3"/>
  <c r="T131" i="3"/>
  <c r="S132" i="3"/>
  <c r="T132" i="3"/>
  <c r="S133" i="3"/>
  <c r="T133" i="3"/>
  <c r="S134" i="3"/>
  <c r="T134" i="3"/>
  <c r="S135" i="3"/>
  <c r="T135" i="3"/>
  <c r="S136" i="3"/>
  <c r="T136" i="3"/>
  <c r="S137" i="3"/>
  <c r="T137" i="3"/>
  <c r="S138" i="3"/>
  <c r="T138" i="3"/>
  <c r="S139" i="3"/>
  <c r="T139" i="3"/>
  <c r="S140" i="3"/>
  <c r="T140" i="3"/>
  <c r="S141" i="3"/>
  <c r="T141" i="3"/>
  <c r="S142" i="3"/>
  <c r="T142" i="3"/>
  <c r="S143" i="3"/>
  <c r="T143" i="3"/>
  <c r="S144" i="3"/>
  <c r="T144" i="3"/>
  <c r="S145" i="3"/>
  <c r="T145" i="3"/>
  <c r="S146" i="3"/>
  <c r="T146" i="3"/>
  <c r="S147" i="3"/>
  <c r="T147" i="3"/>
  <c r="S148" i="3"/>
  <c r="T148" i="3"/>
  <c r="S149" i="3"/>
  <c r="T149" i="3"/>
  <c r="S150" i="3"/>
  <c r="T150" i="3"/>
  <c r="S151" i="3"/>
  <c r="T151" i="3"/>
  <c r="S152" i="3"/>
  <c r="T152" i="3"/>
  <c r="S153" i="3"/>
  <c r="T153" i="3"/>
  <c r="S154" i="3"/>
  <c r="T154" i="3"/>
  <c r="S155" i="3"/>
  <c r="T155" i="3"/>
  <c r="S156" i="3"/>
  <c r="T156" i="3"/>
  <c r="S157" i="3"/>
  <c r="T157" i="3"/>
  <c r="S158" i="3"/>
  <c r="T158" i="3"/>
  <c r="S159" i="3"/>
  <c r="T159" i="3"/>
  <c r="S160" i="3"/>
  <c r="T160" i="3"/>
  <c r="S161" i="3"/>
  <c r="T161" i="3"/>
  <c r="S162" i="3"/>
  <c r="T162" i="3"/>
  <c r="S163" i="3"/>
  <c r="T163" i="3"/>
  <c r="S164" i="3"/>
  <c r="T164" i="3"/>
  <c r="S165" i="3"/>
  <c r="T165" i="3"/>
  <c r="S166" i="3"/>
  <c r="T166" i="3"/>
  <c r="S167" i="3"/>
  <c r="T167" i="3"/>
  <c r="S168" i="3"/>
  <c r="T168" i="3"/>
  <c r="S169" i="3"/>
  <c r="T169" i="3"/>
  <c r="S170" i="3"/>
  <c r="T170" i="3"/>
  <c r="S171" i="3"/>
  <c r="T171" i="3"/>
  <c r="S172" i="3"/>
  <c r="T172" i="3"/>
  <c r="S173" i="3"/>
  <c r="T173" i="3"/>
  <c r="S174" i="3"/>
  <c r="T174" i="3"/>
  <c r="S175" i="3"/>
  <c r="T175" i="3"/>
  <c r="S176" i="3"/>
  <c r="T176" i="3"/>
  <c r="S177" i="3"/>
  <c r="T177" i="3"/>
  <c r="S178" i="3"/>
  <c r="T178" i="3"/>
  <c r="S179" i="3"/>
  <c r="T179" i="3"/>
  <c r="S180" i="3"/>
  <c r="T180" i="3"/>
  <c r="S181" i="3"/>
  <c r="T181" i="3"/>
  <c r="S182" i="3"/>
  <c r="T182" i="3"/>
  <c r="S183" i="3"/>
  <c r="T183" i="3"/>
  <c r="S184" i="3"/>
  <c r="T184" i="3"/>
  <c r="S185" i="3"/>
  <c r="T185" i="3"/>
  <c r="S186" i="3"/>
  <c r="T186" i="3"/>
  <c r="S187" i="3"/>
  <c r="T187" i="3"/>
  <c r="S188" i="3"/>
  <c r="T188" i="3"/>
  <c r="S189" i="3"/>
  <c r="T189" i="3"/>
  <c r="S190" i="3"/>
  <c r="T190" i="3"/>
  <c r="S191" i="3"/>
  <c r="T191" i="3"/>
  <c r="S192" i="3"/>
  <c r="T192" i="3"/>
  <c r="S193" i="3"/>
  <c r="T193" i="3"/>
  <c r="S194" i="3"/>
  <c r="T194" i="3"/>
  <c r="S195" i="3"/>
  <c r="T195" i="3"/>
  <c r="S196" i="3"/>
  <c r="T196" i="3"/>
  <c r="S197" i="3"/>
  <c r="T197" i="3"/>
  <c r="S198" i="3"/>
  <c r="T198" i="3"/>
  <c r="S199" i="3"/>
  <c r="T199" i="3"/>
  <c r="S200" i="3"/>
  <c r="T200" i="3"/>
  <c r="S201" i="3"/>
  <c r="T201" i="3"/>
  <c r="S202" i="3"/>
  <c r="T202" i="3"/>
  <c r="S203" i="3"/>
  <c r="T203" i="3"/>
  <c r="S204" i="3"/>
  <c r="T204" i="3"/>
  <c r="S205" i="3"/>
  <c r="T205" i="3"/>
  <c r="S206" i="3"/>
  <c r="T206" i="3"/>
  <c r="S207" i="3"/>
  <c r="T207" i="3"/>
  <c r="S208" i="3"/>
  <c r="T208" i="3"/>
  <c r="S209" i="3"/>
  <c r="T209" i="3"/>
  <c r="S210" i="3"/>
  <c r="T210" i="3"/>
  <c r="S211" i="3"/>
  <c r="T211" i="3"/>
  <c r="S212" i="3"/>
  <c r="T212" i="3"/>
  <c r="S213" i="3"/>
  <c r="T213" i="3"/>
  <c r="S214" i="3"/>
  <c r="T214" i="3"/>
  <c r="S215" i="3"/>
  <c r="T215" i="3"/>
  <c r="S216" i="3"/>
  <c r="T216" i="3"/>
  <c r="S217" i="3"/>
  <c r="T217" i="3"/>
  <c r="S218" i="3"/>
  <c r="T218" i="3"/>
  <c r="S219" i="3"/>
  <c r="T219" i="3"/>
  <c r="S220" i="3"/>
  <c r="T220" i="3"/>
  <c r="S221" i="3"/>
  <c r="T221" i="3"/>
  <c r="S222" i="3"/>
  <c r="T222" i="3"/>
  <c r="S223" i="3"/>
  <c r="T223" i="3"/>
  <c r="S224" i="3"/>
  <c r="T224" i="3"/>
  <c r="S225" i="3"/>
  <c r="T225" i="3"/>
  <c r="S226" i="3"/>
  <c r="T226" i="3"/>
  <c r="S227" i="3"/>
  <c r="T227" i="3"/>
  <c r="S228" i="3"/>
  <c r="T228" i="3"/>
  <c r="S229" i="3"/>
  <c r="T229" i="3"/>
  <c r="S230" i="3"/>
  <c r="T230" i="3"/>
  <c r="S231" i="3"/>
  <c r="T231" i="3"/>
  <c r="S232" i="3"/>
  <c r="T232" i="3"/>
  <c r="S233" i="3"/>
  <c r="T233" i="3"/>
  <c r="S234" i="3"/>
  <c r="T234" i="3"/>
  <c r="S235" i="3"/>
  <c r="T235" i="3"/>
  <c r="S236" i="3"/>
  <c r="T236" i="3"/>
  <c r="S237" i="3"/>
  <c r="T237" i="3"/>
  <c r="S238" i="3"/>
  <c r="T238" i="3"/>
  <c r="S239" i="3"/>
  <c r="T239" i="3"/>
  <c r="S240" i="3"/>
  <c r="T240" i="3"/>
  <c r="S241" i="3"/>
  <c r="T241" i="3"/>
  <c r="S242" i="3"/>
  <c r="T242" i="3"/>
  <c r="S243" i="3"/>
  <c r="T243" i="3"/>
  <c r="S244" i="3"/>
  <c r="T244" i="3"/>
  <c r="S245" i="3"/>
  <c r="T245" i="3"/>
  <c r="S246" i="3"/>
  <c r="T246" i="3"/>
  <c r="S247" i="3"/>
  <c r="T247" i="3"/>
  <c r="S248" i="3"/>
  <c r="T248" i="3"/>
  <c r="S249" i="3"/>
  <c r="T249" i="3"/>
  <c r="S250" i="3"/>
  <c r="T250" i="3"/>
  <c r="S251" i="3"/>
  <c r="T251" i="3"/>
  <c r="S252" i="3"/>
  <c r="T252" i="3"/>
  <c r="S253" i="3"/>
  <c r="T253" i="3"/>
  <c r="S254" i="3"/>
  <c r="T254" i="3"/>
  <c r="S255" i="3"/>
  <c r="T255" i="3"/>
  <c r="S256" i="3"/>
  <c r="T256" i="3"/>
  <c r="S257" i="3"/>
  <c r="T257" i="3"/>
  <c r="S258" i="3"/>
  <c r="T258" i="3"/>
  <c r="S259" i="3"/>
  <c r="T259" i="3"/>
  <c r="S260" i="3"/>
  <c r="T260" i="3"/>
  <c r="S261" i="3"/>
  <c r="T261" i="3"/>
  <c r="S262" i="3"/>
  <c r="T262" i="3"/>
  <c r="S263" i="3"/>
  <c r="T263" i="3"/>
  <c r="S264" i="3"/>
  <c r="T264" i="3"/>
  <c r="S265" i="3"/>
  <c r="T265" i="3"/>
  <c r="S266" i="3"/>
  <c r="T266" i="3"/>
  <c r="S267" i="3"/>
  <c r="T267" i="3"/>
  <c r="S268" i="3"/>
  <c r="T268" i="3"/>
  <c r="S269" i="3"/>
  <c r="T269" i="3"/>
  <c r="S270" i="3"/>
  <c r="T270" i="3"/>
  <c r="S271" i="3"/>
  <c r="T271" i="3"/>
  <c r="S272" i="3"/>
  <c r="T272" i="3"/>
  <c r="S273" i="3"/>
  <c r="T273" i="3"/>
  <c r="S274" i="3"/>
  <c r="T274" i="3"/>
  <c r="S275" i="3"/>
  <c r="T275" i="3"/>
  <c r="S276" i="3"/>
  <c r="T276" i="3"/>
  <c r="S277" i="3"/>
  <c r="T277" i="3"/>
  <c r="S278" i="3"/>
  <c r="T278" i="3"/>
  <c r="S279" i="3"/>
  <c r="T279" i="3"/>
  <c r="S280" i="3"/>
  <c r="T280" i="3"/>
  <c r="S281" i="3"/>
  <c r="T281" i="3"/>
  <c r="S282" i="3"/>
  <c r="T282" i="3"/>
  <c r="S283" i="3"/>
  <c r="T283" i="3"/>
  <c r="S284" i="3"/>
  <c r="T284" i="3"/>
  <c r="S285" i="3"/>
  <c r="T285" i="3"/>
  <c r="S286" i="3"/>
  <c r="T286" i="3"/>
  <c r="S287" i="3"/>
  <c r="T287" i="3"/>
  <c r="S288" i="3"/>
  <c r="T288" i="3"/>
  <c r="S289" i="3"/>
  <c r="T289" i="3"/>
  <c r="S290" i="3"/>
  <c r="T290" i="3"/>
  <c r="S291" i="3"/>
  <c r="T291" i="3"/>
  <c r="S292" i="3"/>
  <c r="T292" i="3"/>
  <c r="S293" i="3"/>
  <c r="T293" i="3"/>
  <c r="S294" i="3"/>
  <c r="T294" i="3"/>
  <c r="S295" i="3"/>
  <c r="T295" i="3"/>
  <c r="S296" i="3"/>
  <c r="T296" i="3"/>
  <c r="S297" i="3"/>
  <c r="T297" i="3"/>
  <c r="S298" i="3"/>
  <c r="T298" i="3"/>
  <c r="S299" i="3"/>
  <c r="T299" i="3"/>
  <c r="S300" i="3"/>
  <c r="T300" i="3"/>
  <c r="S301" i="3"/>
  <c r="T301" i="3"/>
  <c r="S302" i="3"/>
  <c r="T302" i="3"/>
  <c r="S303" i="3"/>
  <c r="T303" i="3"/>
  <c r="S304" i="3"/>
  <c r="T304" i="3"/>
  <c r="S305" i="3"/>
  <c r="T305" i="3"/>
  <c r="S306" i="3"/>
  <c r="T306" i="3"/>
  <c r="S307" i="3"/>
  <c r="T307" i="3"/>
  <c r="S308" i="3"/>
  <c r="T308" i="3"/>
  <c r="S309" i="3"/>
  <c r="T309" i="3"/>
  <c r="S310" i="3"/>
  <c r="T310" i="3"/>
  <c r="S311" i="3"/>
  <c r="T311" i="3"/>
  <c r="S312" i="3"/>
  <c r="T312" i="3"/>
  <c r="S313" i="3"/>
  <c r="T313" i="3"/>
  <c r="S314" i="3"/>
  <c r="T314" i="3"/>
  <c r="S315" i="3"/>
  <c r="T315" i="3"/>
  <c r="S316" i="3"/>
  <c r="T316" i="3"/>
  <c r="S317" i="3"/>
  <c r="T317" i="3"/>
  <c r="S318" i="3"/>
  <c r="T318" i="3"/>
  <c r="S319" i="3"/>
  <c r="T319" i="3"/>
  <c r="S320" i="3"/>
  <c r="T320" i="3"/>
  <c r="S321" i="3"/>
  <c r="T321" i="3"/>
  <c r="S322" i="3"/>
  <c r="T322" i="3"/>
  <c r="S323" i="3"/>
  <c r="T323" i="3"/>
  <c r="S324" i="3"/>
  <c r="T324" i="3"/>
  <c r="S325" i="3"/>
  <c r="T325" i="3"/>
  <c r="S326" i="3"/>
  <c r="T326" i="3"/>
  <c r="S327" i="3"/>
  <c r="T327" i="3"/>
  <c r="S328" i="3"/>
  <c r="T328" i="3"/>
  <c r="S329" i="3"/>
  <c r="T329" i="3"/>
  <c r="S330" i="3"/>
  <c r="T330" i="3"/>
  <c r="S331" i="3"/>
  <c r="T331" i="3"/>
  <c r="S332" i="3"/>
  <c r="T332" i="3"/>
  <c r="S333" i="3"/>
  <c r="T333" i="3"/>
  <c r="S334" i="3"/>
  <c r="T334" i="3"/>
  <c r="S335" i="3"/>
  <c r="T335" i="3"/>
  <c r="S336" i="3"/>
  <c r="T336" i="3"/>
  <c r="S337" i="3"/>
  <c r="T337" i="3"/>
  <c r="S338" i="3"/>
  <c r="T338" i="3"/>
  <c r="S339" i="3"/>
  <c r="T339" i="3"/>
  <c r="S340" i="3"/>
  <c r="T340" i="3"/>
  <c r="S341" i="3"/>
  <c r="T341" i="3"/>
  <c r="S342" i="3"/>
  <c r="T342" i="3"/>
  <c r="S343" i="3"/>
  <c r="T343" i="3"/>
  <c r="S344" i="3"/>
  <c r="T344" i="3"/>
  <c r="S345" i="3"/>
  <c r="T345" i="3"/>
  <c r="S346" i="3"/>
  <c r="T346" i="3"/>
  <c r="S347" i="3"/>
  <c r="T347" i="3"/>
  <c r="S348" i="3"/>
  <c r="T348" i="3"/>
  <c r="S349" i="3"/>
  <c r="T349" i="3"/>
  <c r="S350" i="3"/>
  <c r="T350" i="3"/>
  <c r="S351" i="3"/>
  <c r="T351" i="3"/>
  <c r="S352" i="3"/>
  <c r="T352" i="3"/>
  <c r="S353" i="3"/>
  <c r="T353" i="3"/>
  <c r="S354" i="3"/>
  <c r="T354" i="3"/>
  <c r="S355" i="3"/>
  <c r="T355" i="3"/>
  <c r="S356" i="3"/>
  <c r="T356" i="3"/>
  <c r="S357" i="3"/>
  <c r="T357" i="3"/>
  <c r="S358" i="3"/>
  <c r="T358" i="3"/>
  <c r="S359" i="3"/>
  <c r="T359" i="3"/>
  <c r="S360" i="3"/>
  <c r="T360" i="3"/>
  <c r="S361" i="3"/>
  <c r="T361" i="3"/>
  <c r="S362" i="3"/>
  <c r="T362" i="3"/>
  <c r="S363" i="3"/>
  <c r="T363" i="3"/>
  <c r="S364" i="3"/>
  <c r="T364" i="3"/>
  <c r="S365" i="3"/>
  <c r="T365" i="3"/>
  <c r="S366" i="3"/>
  <c r="T366" i="3"/>
  <c r="S367" i="3"/>
  <c r="T367" i="3"/>
  <c r="S368" i="3"/>
  <c r="T368" i="3"/>
  <c r="S369" i="3"/>
  <c r="T369" i="3"/>
  <c r="S370" i="3"/>
  <c r="T370" i="3"/>
  <c r="S371" i="3"/>
  <c r="T371" i="3"/>
  <c r="S372" i="3"/>
  <c r="T372" i="3"/>
  <c r="S373" i="3"/>
  <c r="T373" i="3"/>
  <c r="S374" i="3"/>
  <c r="T374" i="3"/>
  <c r="S375" i="3"/>
  <c r="T375" i="3"/>
  <c r="S376" i="3"/>
  <c r="T376" i="3"/>
  <c r="S377" i="3"/>
  <c r="T377" i="3"/>
  <c r="S378" i="3"/>
  <c r="T378" i="3"/>
  <c r="S379" i="3"/>
  <c r="T379" i="3"/>
  <c r="S380" i="3"/>
  <c r="T380" i="3"/>
  <c r="S381" i="3"/>
  <c r="T381" i="3"/>
  <c r="S382" i="3"/>
  <c r="T382" i="3"/>
  <c r="S383" i="3"/>
  <c r="T383" i="3"/>
  <c r="S384" i="3"/>
  <c r="T384" i="3"/>
  <c r="S385" i="3"/>
  <c r="T385" i="3"/>
  <c r="S386" i="3"/>
  <c r="T386" i="3"/>
  <c r="S387" i="3"/>
  <c r="T387" i="3"/>
  <c r="S388" i="3"/>
  <c r="T388" i="3"/>
  <c r="S389" i="3"/>
  <c r="T389" i="3"/>
  <c r="S390" i="3"/>
  <c r="T390" i="3"/>
  <c r="S391" i="3"/>
  <c r="T391" i="3"/>
  <c r="S392" i="3"/>
  <c r="T392" i="3"/>
  <c r="S393" i="3"/>
  <c r="T393" i="3"/>
  <c r="S394" i="3"/>
  <c r="T394" i="3"/>
  <c r="S395" i="3"/>
  <c r="T395" i="3"/>
  <c r="S396" i="3"/>
  <c r="T396" i="3"/>
  <c r="S397" i="3"/>
  <c r="T397" i="3"/>
  <c r="S398" i="3"/>
  <c r="T398" i="3"/>
  <c r="S399" i="3"/>
  <c r="T399" i="3"/>
  <c r="S400" i="3"/>
  <c r="T400" i="3"/>
  <c r="S401" i="3"/>
  <c r="T401" i="3"/>
  <c r="S402" i="3"/>
  <c r="T402" i="3"/>
  <c r="S403" i="3"/>
  <c r="T403" i="3"/>
  <c r="S404" i="3"/>
  <c r="T404" i="3"/>
  <c r="S405" i="3"/>
  <c r="T405" i="3"/>
  <c r="S406" i="3"/>
  <c r="T406" i="3"/>
  <c r="S407" i="3"/>
  <c r="T407" i="3"/>
  <c r="S408" i="3"/>
  <c r="T408" i="3"/>
  <c r="S409" i="3"/>
  <c r="T409" i="3"/>
  <c r="S410" i="3"/>
  <c r="T410" i="3"/>
  <c r="S411" i="3"/>
  <c r="T411" i="3"/>
  <c r="S412" i="3"/>
  <c r="T412" i="3"/>
  <c r="S413" i="3"/>
  <c r="T413" i="3"/>
  <c r="S414" i="3"/>
  <c r="T414" i="3"/>
  <c r="S415" i="3"/>
  <c r="T415" i="3"/>
  <c r="S416" i="3"/>
  <c r="T416" i="3"/>
  <c r="S417" i="3"/>
  <c r="T417" i="3"/>
  <c r="S418" i="3"/>
  <c r="T418" i="3"/>
  <c r="S419" i="3"/>
  <c r="T419" i="3"/>
  <c r="S420" i="3"/>
  <c r="T420" i="3"/>
  <c r="S421" i="3"/>
  <c r="T421" i="3"/>
  <c r="S422" i="3"/>
  <c r="T422" i="3"/>
  <c r="S423" i="3"/>
  <c r="T423" i="3"/>
  <c r="S424" i="3"/>
  <c r="T424" i="3"/>
  <c r="S425" i="3"/>
  <c r="T425" i="3"/>
  <c r="S426" i="3"/>
  <c r="T426" i="3"/>
  <c r="S427" i="3"/>
  <c r="T427" i="3"/>
  <c r="S428" i="3"/>
  <c r="T428" i="3"/>
  <c r="S429" i="3"/>
  <c r="T429" i="3"/>
  <c r="S430" i="3"/>
  <c r="T430" i="3"/>
  <c r="S431" i="3"/>
  <c r="T431" i="3"/>
  <c r="S432" i="3"/>
  <c r="T432" i="3"/>
  <c r="S433" i="3"/>
  <c r="T433" i="3"/>
  <c r="S434" i="3"/>
  <c r="T434" i="3"/>
  <c r="S435" i="3"/>
  <c r="T435" i="3"/>
  <c r="S436" i="3"/>
  <c r="T436" i="3"/>
  <c r="S437" i="3"/>
  <c r="T437" i="3"/>
  <c r="S438" i="3"/>
  <c r="T438" i="3"/>
  <c r="S439" i="3"/>
  <c r="T439" i="3"/>
  <c r="S440" i="3"/>
  <c r="T440" i="3"/>
  <c r="S441" i="3"/>
  <c r="T441" i="3"/>
  <c r="S442" i="3"/>
  <c r="T442" i="3"/>
  <c r="S443" i="3"/>
  <c r="T443" i="3"/>
  <c r="S444" i="3"/>
  <c r="T444" i="3"/>
  <c r="S445" i="3"/>
  <c r="T445" i="3"/>
  <c r="S446" i="3"/>
  <c r="T446" i="3"/>
  <c r="S447" i="3"/>
  <c r="T447" i="3"/>
  <c r="S448" i="3"/>
  <c r="T448" i="3"/>
  <c r="S449" i="3"/>
  <c r="T449" i="3"/>
  <c r="S450" i="3"/>
  <c r="T450" i="3"/>
  <c r="S451" i="3"/>
  <c r="T451" i="3"/>
  <c r="S452" i="3"/>
  <c r="T452" i="3"/>
  <c r="S453" i="3"/>
  <c r="T453" i="3"/>
  <c r="S454" i="3"/>
  <c r="T454" i="3"/>
  <c r="S455" i="3"/>
  <c r="T455" i="3"/>
  <c r="S456" i="3"/>
  <c r="T456" i="3"/>
  <c r="S457" i="3"/>
  <c r="T457" i="3"/>
  <c r="S458" i="3"/>
  <c r="T458" i="3"/>
  <c r="S459" i="3"/>
  <c r="T459" i="3"/>
  <c r="S460" i="3"/>
  <c r="T460" i="3"/>
  <c r="S461" i="3"/>
  <c r="T461" i="3"/>
  <c r="S462" i="3"/>
  <c r="T462" i="3"/>
  <c r="S463" i="3"/>
  <c r="T463" i="3"/>
  <c r="S464" i="3"/>
  <c r="T464" i="3"/>
  <c r="S465" i="3"/>
  <c r="T465" i="3"/>
  <c r="S466" i="3"/>
  <c r="T466" i="3"/>
  <c r="S467" i="3"/>
  <c r="T467" i="3"/>
  <c r="S468" i="3"/>
  <c r="T468" i="3"/>
  <c r="S469" i="3"/>
  <c r="T469" i="3"/>
  <c r="S470" i="3"/>
  <c r="T470" i="3"/>
  <c r="S471" i="3"/>
  <c r="T471" i="3"/>
  <c r="S472" i="3"/>
  <c r="T472" i="3"/>
  <c r="S473" i="3"/>
  <c r="T473" i="3"/>
  <c r="S474" i="3"/>
  <c r="T474" i="3"/>
  <c r="S475" i="3"/>
  <c r="T475" i="3"/>
  <c r="S476" i="3"/>
  <c r="T476" i="3"/>
  <c r="S477" i="3"/>
  <c r="T477" i="3"/>
  <c r="S478" i="3"/>
  <c r="T478" i="3"/>
  <c r="S479" i="3"/>
  <c r="T479" i="3"/>
  <c r="S4" i="3"/>
  <c r="H4" i="3"/>
  <c r="N4" i="3" s="1"/>
  <c r="L4" i="3"/>
  <c r="E10" i="5"/>
  <c r="D17" i="5"/>
  <c r="G22" i="2"/>
  <c r="BJ13" i="2"/>
  <c r="D8" i="5"/>
  <c r="Q6" i="2"/>
  <c r="A20" i="1"/>
  <c r="BJ35" i="2"/>
  <c r="BE35" i="2"/>
  <c r="AZ35" i="2"/>
  <c r="AU35" i="2"/>
  <c r="AP35" i="2"/>
  <c r="AK35" i="2"/>
  <c r="AF35" i="2"/>
  <c r="AA35" i="2"/>
  <c r="V35" i="2"/>
  <c r="Q35" i="2"/>
  <c r="L35" i="2"/>
  <c r="G35" i="2"/>
  <c r="B35" i="2"/>
  <c r="D16" i="5"/>
  <c r="D15" i="5"/>
  <c r="D11" i="5"/>
  <c r="D9" i="5"/>
  <c r="D6" i="5"/>
  <c r="D5" i="5"/>
  <c r="T4" i="3"/>
  <c r="BJ34" i="2"/>
  <c r="BE34" i="2"/>
  <c r="AZ34" i="2"/>
  <c r="AU34" i="2"/>
  <c r="AP34" i="2"/>
  <c r="AK34" i="2"/>
  <c r="AF34" i="2"/>
  <c r="AA34" i="2"/>
  <c r="V34" i="2"/>
  <c r="Q34" i="2"/>
  <c r="L34" i="2"/>
  <c r="G34" i="2"/>
  <c r="B34" i="2"/>
  <c r="BJ33" i="2"/>
  <c r="BE33" i="2"/>
  <c r="AZ33" i="2"/>
  <c r="AU33" i="2"/>
  <c r="AP33" i="2"/>
  <c r="AK33" i="2"/>
  <c r="AF33" i="2"/>
  <c r="AA33" i="2"/>
  <c r="V33" i="2"/>
  <c r="Q33" i="2"/>
  <c r="L33" i="2"/>
  <c r="G33" i="2"/>
  <c r="B33" i="2"/>
  <c r="BJ32" i="2"/>
  <c r="BE32" i="2"/>
  <c r="AZ32" i="2"/>
  <c r="AU32" i="2"/>
  <c r="AP32" i="2"/>
  <c r="AK32" i="2"/>
  <c r="AF32" i="2"/>
  <c r="AA32" i="2"/>
  <c r="V32" i="2"/>
  <c r="Q32" i="2"/>
  <c r="L32" i="2"/>
  <c r="G32" i="2"/>
  <c r="B32" i="2"/>
  <c r="BJ31" i="2"/>
  <c r="BE31" i="2"/>
  <c r="AZ31" i="2"/>
  <c r="AU31" i="2"/>
  <c r="AP31" i="2"/>
  <c r="AK31" i="2"/>
  <c r="AF31" i="2"/>
  <c r="AA31" i="2"/>
  <c r="V31" i="2"/>
  <c r="Q31" i="2"/>
  <c r="L31" i="2"/>
  <c r="G31" i="2"/>
  <c r="B31" i="2"/>
  <c r="BJ30" i="2"/>
  <c r="BE30" i="2"/>
  <c r="AZ30" i="2"/>
  <c r="AU30" i="2"/>
  <c r="AP30" i="2"/>
  <c r="AK30" i="2"/>
  <c r="AF30" i="2"/>
  <c r="AA30" i="2"/>
  <c r="V30" i="2"/>
  <c r="Q30" i="2"/>
  <c r="L30" i="2"/>
  <c r="G30" i="2"/>
  <c r="B30" i="2"/>
  <c r="BJ29" i="2"/>
  <c r="BE29" i="2"/>
  <c r="AZ29" i="2"/>
  <c r="AU29" i="2"/>
  <c r="AP29" i="2"/>
  <c r="AK29" i="2"/>
  <c r="AF29" i="2"/>
  <c r="AA29" i="2"/>
  <c r="V29" i="2"/>
  <c r="Q29" i="2"/>
  <c r="L29" i="2"/>
  <c r="G29" i="2"/>
  <c r="B29" i="2"/>
  <c r="BJ28" i="2"/>
  <c r="BE28" i="2"/>
  <c r="AZ28" i="2"/>
  <c r="AU28" i="2"/>
  <c r="AP28" i="2"/>
  <c r="AK28" i="2"/>
  <c r="AF28" i="2"/>
  <c r="AA28" i="2"/>
  <c r="V28" i="2"/>
  <c r="Q28" i="2"/>
  <c r="L28" i="2"/>
  <c r="G28" i="2"/>
  <c r="B28" i="2"/>
  <c r="BJ27" i="2"/>
  <c r="BE27" i="2"/>
  <c r="AZ27" i="2"/>
  <c r="AU27" i="2"/>
  <c r="AP27" i="2"/>
  <c r="AK27" i="2"/>
  <c r="AF27" i="2"/>
  <c r="AA27" i="2"/>
  <c r="V27" i="2"/>
  <c r="Q27" i="2"/>
  <c r="L27" i="2"/>
  <c r="G27" i="2"/>
  <c r="B27" i="2"/>
  <c r="BJ26" i="2"/>
  <c r="BE26" i="2"/>
  <c r="AZ26" i="2"/>
  <c r="AU26" i="2"/>
  <c r="AP26" i="2"/>
  <c r="AK26" i="2"/>
  <c r="AF26" i="2"/>
  <c r="AA26" i="2"/>
  <c r="V26" i="2"/>
  <c r="Q26" i="2"/>
  <c r="L26" i="2"/>
  <c r="G26" i="2"/>
  <c r="B26" i="2"/>
  <c r="BJ25" i="2"/>
  <c r="BE25" i="2"/>
  <c r="AZ25" i="2"/>
  <c r="AU25" i="2"/>
  <c r="AP25" i="2"/>
  <c r="AK25" i="2"/>
  <c r="AF25" i="2"/>
  <c r="AA25" i="2"/>
  <c r="V25" i="2"/>
  <c r="Q25" i="2"/>
  <c r="L25" i="2"/>
  <c r="G25" i="2"/>
  <c r="B25" i="2"/>
  <c r="BJ24" i="2"/>
  <c r="BE24" i="2"/>
  <c r="AZ24" i="2"/>
  <c r="AU24" i="2"/>
  <c r="AP24" i="2"/>
  <c r="AK24" i="2"/>
  <c r="AF24" i="2"/>
  <c r="AA24" i="2"/>
  <c r="V24" i="2"/>
  <c r="Q24" i="2"/>
  <c r="L24" i="2"/>
  <c r="G24" i="2"/>
  <c r="B24" i="2"/>
  <c r="BJ23" i="2"/>
  <c r="BE23" i="2"/>
  <c r="AZ23" i="2"/>
  <c r="AU23" i="2"/>
  <c r="AP23" i="2"/>
  <c r="AK23" i="2"/>
  <c r="AF23" i="2"/>
  <c r="AA23" i="2"/>
  <c r="V23" i="2"/>
  <c r="Q23" i="2"/>
  <c r="L23" i="2"/>
  <c r="G23" i="2"/>
  <c r="B23" i="2"/>
  <c r="BJ22" i="2"/>
  <c r="BE22" i="2"/>
  <c r="AZ22" i="2"/>
  <c r="AU22" i="2"/>
  <c r="AP22" i="2"/>
  <c r="AK22" i="2"/>
  <c r="AF22" i="2"/>
  <c r="AA22" i="2"/>
  <c r="V22" i="2"/>
  <c r="Q22" i="2"/>
  <c r="L22" i="2"/>
  <c r="B22" i="2"/>
  <c r="BJ21" i="2"/>
  <c r="BE21" i="2"/>
  <c r="AZ21" i="2"/>
  <c r="AU21" i="2"/>
  <c r="AP21" i="2"/>
  <c r="AK21" i="2"/>
  <c r="AF21" i="2"/>
  <c r="AA21" i="2"/>
  <c r="V21" i="2"/>
  <c r="Q21" i="2"/>
  <c r="L21" i="2"/>
  <c r="G21" i="2"/>
  <c r="B21" i="2"/>
  <c r="BJ20" i="2"/>
  <c r="BE20" i="2"/>
  <c r="AZ20" i="2"/>
  <c r="AU20" i="2"/>
  <c r="AP20" i="2"/>
  <c r="AK20" i="2"/>
  <c r="AF20" i="2"/>
  <c r="AA20" i="2"/>
  <c r="V20" i="2"/>
  <c r="Q20" i="2"/>
  <c r="L20" i="2"/>
  <c r="G20" i="2"/>
  <c r="B20" i="2"/>
  <c r="BJ19" i="2"/>
  <c r="BE19" i="2"/>
  <c r="AZ19" i="2"/>
  <c r="AU19" i="2"/>
  <c r="AP19" i="2"/>
  <c r="AK19" i="2"/>
  <c r="AF19" i="2"/>
  <c r="AA19" i="2"/>
  <c r="V19" i="2"/>
  <c r="Q19" i="2"/>
  <c r="L19" i="2"/>
  <c r="G19" i="2"/>
  <c r="B19" i="2"/>
  <c r="BJ18" i="2"/>
  <c r="BE18" i="2"/>
  <c r="AZ18" i="2"/>
  <c r="AU18" i="2"/>
  <c r="AP18" i="2"/>
  <c r="AK18" i="2"/>
  <c r="AF18" i="2"/>
  <c r="AA18" i="2"/>
  <c r="V18" i="2"/>
  <c r="Q18" i="2"/>
  <c r="L18" i="2"/>
  <c r="G18" i="2"/>
  <c r="B18" i="2"/>
  <c r="BJ17" i="2"/>
  <c r="BE17" i="2"/>
  <c r="AZ17" i="2"/>
  <c r="AU17" i="2"/>
  <c r="AP17" i="2"/>
  <c r="AK17" i="2"/>
  <c r="AF17" i="2"/>
  <c r="AA17" i="2"/>
  <c r="V17" i="2"/>
  <c r="Q17" i="2"/>
  <c r="L17" i="2"/>
  <c r="G17" i="2"/>
  <c r="B17" i="2"/>
  <c r="BJ16" i="2"/>
  <c r="BE16" i="2"/>
  <c r="AZ16" i="2"/>
  <c r="AU16" i="2"/>
  <c r="AP16" i="2"/>
  <c r="AK16" i="2"/>
  <c r="AF16" i="2"/>
  <c r="AA16" i="2"/>
  <c r="V16" i="2"/>
  <c r="Q16" i="2"/>
  <c r="L16" i="2"/>
  <c r="G16" i="2"/>
  <c r="B16" i="2"/>
  <c r="BJ15" i="2"/>
  <c r="BE15" i="2"/>
  <c r="AZ15" i="2"/>
  <c r="AU15" i="2"/>
  <c r="AP15" i="2"/>
  <c r="AK15" i="2"/>
  <c r="AF15" i="2"/>
  <c r="AA15" i="2"/>
  <c r="V15" i="2"/>
  <c r="Q15" i="2"/>
  <c r="L15" i="2"/>
  <c r="G15" i="2"/>
  <c r="B15" i="2"/>
  <c r="BJ14" i="2"/>
  <c r="BE14" i="2"/>
  <c r="AZ14" i="2"/>
  <c r="AU14" i="2"/>
  <c r="AP14" i="2"/>
  <c r="AK14" i="2"/>
  <c r="AF14" i="2"/>
  <c r="AA14" i="2"/>
  <c r="V14" i="2"/>
  <c r="Q14" i="2"/>
  <c r="L14" i="2"/>
  <c r="G14" i="2"/>
  <c r="B14" i="2"/>
  <c r="BE13" i="2"/>
  <c r="AZ13" i="2"/>
  <c r="AU13" i="2"/>
  <c r="AP13" i="2"/>
  <c r="AK13" i="2"/>
  <c r="AF13" i="2"/>
  <c r="AA13" i="2"/>
  <c r="V13" i="2"/>
  <c r="Q13" i="2"/>
  <c r="L13" i="2"/>
  <c r="G13" i="2"/>
  <c r="B13" i="2"/>
  <c r="BJ12" i="2"/>
  <c r="BE12" i="2"/>
  <c r="AZ12" i="2"/>
  <c r="AU12" i="2"/>
  <c r="AP12" i="2"/>
  <c r="AK12" i="2"/>
  <c r="AF12" i="2"/>
  <c r="AA12" i="2"/>
  <c r="V12" i="2"/>
  <c r="Q12" i="2"/>
  <c r="L12" i="2"/>
  <c r="G12" i="2"/>
  <c r="B12" i="2"/>
  <c r="BJ11" i="2"/>
  <c r="BE11" i="2"/>
  <c r="AZ11" i="2"/>
  <c r="AU11" i="2"/>
  <c r="AP11" i="2"/>
  <c r="AK11" i="2"/>
  <c r="AF11" i="2"/>
  <c r="AA11" i="2"/>
  <c r="V11" i="2"/>
  <c r="Q11" i="2"/>
  <c r="L11" i="2"/>
  <c r="G11" i="2"/>
  <c r="B11" i="2"/>
  <c r="BJ10" i="2"/>
  <c r="BE10" i="2"/>
  <c r="AZ10" i="2"/>
  <c r="AU10" i="2"/>
  <c r="AP10" i="2"/>
  <c r="AK10" i="2"/>
  <c r="AF10" i="2"/>
  <c r="AA10" i="2"/>
  <c r="V10" i="2"/>
  <c r="Q10" i="2"/>
  <c r="L10" i="2"/>
  <c r="G10" i="2"/>
  <c r="B10" i="2"/>
  <c r="BJ9" i="2"/>
  <c r="BE9" i="2"/>
  <c r="AZ9" i="2"/>
  <c r="AU9" i="2"/>
  <c r="AP9" i="2"/>
  <c r="AK9" i="2"/>
  <c r="AF9" i="2"/>
  <c r="AA9" i="2"/>
  <c r="V9" i="2"/>
  <c r="Q9" i="2"/>
  <c r="L9" i="2"/>
  <c r="G9" i="2"/>
  <c r="B9" i="2"/>
  <c r="BJ8" i="2"/>
  <c r="BE8" i="2"/>
  <c r="AZ8" i="2"/>
  <c r="AU8" i="2"/>
  <c r="AP8" i="2"/>
  <c r="AK8" i="2"/>
  <c r="AF8" i="2"/>
  <c r="AA8" i="2"/>
  <c r="V8" i="2"/>
  <c r="Q8" i="2"/>
  <c r="L8" i="2"/>
  <c r="G8" i="2"/>
  <c r="B8" i="2"/>
  <c r="BJ7" i="2"/>
  <c r="BE7" i="2"/>
  <c r="AZ7" i="2"/>
  <c r="AU7" i="2"/>
  <c r="AP7" i="2"/>
  <c r="AK7" i="2"/>
  <c r="AF7" i="2"/>
  <c r="AA7" i="2"/>
  <c r="V7" i="2"/>
  <c r="Q7" i="2"/>
  <c r="L7" i="2"/>
  <c r="G7" i="2"/>
  <c r="B7" i="2"/>
  <c r="BJ6" i="2"/>
  <c r="BE6" i="2"/>
  <c r="AZ6" i="2"/>
  <c r="AU6" i="2"/>
  <c r="AP6" i="2"/>
  <c r="AK6" i="2"/>
  <c r="AA6" i="2"/>
  <c r="V6" i="2"/>
  <c r="L6" i="2"/>
  <c r="G6" i="2"/>
  <c r="B6" i="2"/>
  <c r="BJ5" i="2"/>
  <c r="BE5" i="2"/>
  <c r="AZ5" i="2"/>
  <c r="AU5" i="2"/>
  <c r="AP5" i="2"/>
  <c r="AK5" i="2"/>
  <c r="AF5" i="2"/>
  <c r="AA5" i="2"/>
  <c r="V5" i="2"/>
  <c r="Q5" i="2"/>
  <c r="L5" i="2"/>
  <c r="G5" i="2"/>
  <c r="B5" i="2"/>
  <c r="G35" i="1"/>
  <c r="B35" i="1"/>
  <c r="G34" i="1"/>
  <c r="B34" i="1"/>
  <c r="G33" i="1"/>
  <c r="B33" i="1"/>
  <c r="G32" i="1"/>
  <c r="B32" i="1"/>
  <c r="G31" i="1"/>
  <c r="B31" i="1"/>
  <c r="G30" i="1"/>
  <c r="B30" i="1"/>
  <c r="G29" i="1"/>
  <c r="B29" i="1"/>
  <c r="G28" i="1"/>
  <c r="B28" i="1"/>
  <c r="G27" i="1"/>
  <c r="B27" i="1"/>
  <c r="G26" i="1"/>
  <c r="B26" i="1"/>
  <c r="G25" i="1"/>
  <c r="B25" i="1"/>
  <c r="G24" i="1"/>
  <c r="B24" i="1"/>
  <c r="G23" i="1"/>
  <c r="B23" i="1"/>
  <c r="G22" i="1"/>
  <c r="B22" i="1"/>
  <c r="G21" i="1"/>
  <c r="B21" i="1"/>
  <c r="G20" i="1"/>
  <c r="B20" i="1"/>
  <c r="G19" i="1"/>
  <c r="B19" i="1"/>
  <c r="G18" i="1"/>
  <c r="B18" i="1"/>
  <c r="G17" i="1"/>
  <c r="B17" i="1"/>
  <c r="G16" i="1"/>
  <c r="B16" i="1"/>
  <c r="G15" i="1"/>
  <c r="B15" i="1"/>
  <c r="G14" i="1"/>
  <c r="B14" i="1"/>
  <c r="G13" i="1"/>
  <c r="B13" i="1"/>
  <c r="G12" i="1"/>
  <c r="B12" i="1"/>
  <c r="G11" i="1"/>
  <c r="B11" i="1"/>
  <c r="G10" i="1"/>
  <c r="B10" i="1"/>
  <c r="G9" i="1"/>
  <c r="B9" i="1"/>
  <c r="G8" i="1"/>
  <c r="B8" i="1"/>
  <c r="G7" i="1"/>
  <c r="B7" i="1"/>
  <c r="G6" i="1"/>
  <c r="B6" i="1"/>
  <c r="G5" i="1"/>
  <c r="B5" i="1"/>
  <c r="I667" i="3" l="1"/>
  <c r="L654" i="3"/>
  <c r="L667" i="3" s="1"/>
  <c r="C667" i="3"/>
  <c r="F654" i="3"/>
  <c r="F659" i="3"/>
  <c r="F666" i="3"/>
  <c r="N625" i="3"/>
  <c r="N169" i="3"/>
  <c r="O169" i="3" s="1"/>
  <c r="N548" i="3"/>
  <c r="O548" i="3" s="1"/>
  <c r="N178" i="3"/>
  <c r="O178" i="3" s="1"/>
  <c r="P178" i="3" s="1"/>
  <c r="U178" i="3" s="1"/>
  <c r="N177" i="3"/>
  <c r="O177" i="3" s="1"/>
  <c r="P177" i="3" s="1"/>
  <c r="U177" i="3" s="1"/>
  <c r="N176" i="3"/>
  <c r="O176" i="3" s="1"/>
  <c r="P176" i="3" s="1"/>
  <c r="U176" i="3" s="1"/>
  <c r="N175" i="3"/>
  <c r="O175" i="3" s="1"/>
  <c r="P175" i="3" s="1"/>
  <c r="U175" i="3" s="1"/>
  <c r="N174" i="3"/>
  <c r="O174" i="3" s="1"/>
  <c r="P174" i="3" s="1"/>
  <c r="U174" i="3" s="1"/>
  <c r="N173" i="3"/>
  <c r="O173" i="3" s="1"/>
  <c r="P173" i="3" s="1"/>
  <c r="U173" i="3" s="1"/>
  <c r="N172" i="3"/>
  <c r="O172" i="3" s="1"/>
  <c r="P172" i="3" s="1"/>
  <c r="U172" i="3" s="1"/>
  <c r="N171" i="3"/>
  <c r="O171" i="3" s="1"/>
  <c r="P171" i="3" s="1"/>
  <c r="U171" i="3" s="1"/>
  <c r="N170" i="3"/>
  <c r="O170" i="3" s="1"/>
  <c r="P170" i="3" s="1"/>
  <c r="U170" i="3" s="1"/>
  <c r="N168" i="3"/>
  <c r="O168" i="3" s="1"/>
  <c r="N167" i="3"/>
  <c r="O167" i="3" s="1"/>
  <c r="P167" i="3" s="1"/>
  <c r="U167" i="3" s="1"/>
  <c r="N166" i="3"/>
  <c r="O166" i="3" s="1"/>
  <c r="P166" i="3" s="1"/>
  <c r="U166" i="3" s="1"/>
  <c r="N165" i="3"/>
  <c r="O165" i="3" s="1"/>
  <c r="P165" i="3" s="1"/>
  <c r="U165" i="3" s="1"/>
  <c r="N163" i="3"/>
  <c r="O163" i="3" s="1"/>
  <c r="P163" i="3" s="1"/>
  <c r="U163" i="3" s="1"/>
  <c r="N162" i="3"/>
  <c r="O162" i="3" s="1"/>
  <c r="P162" i="3" s="1"/>
  <c r="U162" i="3" s="1"/>
  <c r="N161" i="3"/>
  <c r="O161" i="3" s="1"/>
  <c r="P161" i="3" s="1"/>
  <c r="U161" i="3" s="1"/>
  <c r="N160" i="3"/>
  <c r="O160" i="3" s="1"/>
  <c r="P160" i="3" s="1"/>
  <c r="U160" i="3" s="1"/>
  <c r="N159" i="3"/>
  <c r="O159" i="3" s="1"/>
  <c r="N158" i="3"/>
  <c r="O158" i="3" s="1"/>
  <c r="N157" i="3"/>
  <c r="O157" i="3" s="1"/>
  <c r="N156" i="3"/>
  <c r="O156" i="3" s="1"/>
  <c r="P156" i="3" s="1"/>
  <c r="U156" i="3" s="1"/>
  <c r="N155" i="3"/>
  <c r="O155" i="3" s="1"/>
  <c r="P155" i="3" s="1"/>
  <c r="U155" i="3" s="1"/>
  <c r="N154" i="3"/>
  <c r="O154" i="3" s="1"/>
  <c r="P154" i="3" s="1"/>
  <c r="U154" i="3" s="1"/>
  <c r="N153" i="3"/>
  <c r="O153" i="3" s="1"/>
  <c r="P153" i="3" s="1"/>
  <c r="U153" i="3" s="1"/>
  <c r="N152" i="3"/>
  <c r="O152" i="3" s="1"/>
  <c r="P152" i="3" s="1"/>
  <c r="U152" i="3" s="1"/>
  <c r="N151" i="3"/>
  <c r="O151" i="3" s="1"/>
  <c r="P151" i="3" s="1"/>
  <c r="U151" i="3" s="1"/>
  <c r="N150" i="3"/>
  <c r="O150" i="3" s="1"/>
  <c r="P150" i="3" s="1"/>
  <c r="U150" i="3" s="1"/>
  <c r="N149" i="3"/>
  <c r="O149" i="3" s="1"/>
  <c r="P149" i="3" s="1"/>
  <c r="U149" i="3" s="1"/>
  <c r="N148" i="3"/>
  <c r="O148" i="3" s="1"/>
  <c r="P148" i="3" s="1"/>
  <c r="U148" i="3" s="1"/>
  <c r="N147" i="3"/>
  <c r="O147" i="3" s="1"/>
  <c r="P147" i="3" s="1"/>
  <c r="U147" i="3" s="1"/>
  <c r="N146" i="3"/>
  <c r="O146" i="3" s="1"/>
  <c r="P146" i="3" s="1"/>
  <c r="U146" i="3" s="1"/>
  <c r="N145" i="3"/>
  <c r="O145" i="3" s="1"/>
  <c r="P145" i="3" s="1"/>
  <c r="U145" i="3" s="1"/>
  <c r="N144" i="3"/>
  <c r="O144" i="3" s="1"/>
  <c r="N143" i="3"/>
  <c r="O143" i="3" s="1"/>
  <c r="N142" i="3"/>
  <c r="O142" i="3" s="1"/>
  <c r="P142" i="3" s="1"/>
  <c r="U142" i="3" s="1"/>
  <c r="N141" i="3"/>
  <c r="O141" i="3" s="1"/>
  <c r="P141" i="3" s="1"/>
  <c r="U141" i="3" s="1"/>
  <c r="N140" i="3"/>
  <c r="O140" i="3" s="1"/>
  <c r="P140" i="3" s="1"/>
  <c r="U140" i="3" s="1"/>
  <c r="N139" i="3"/>
  <c r="O139" i="3" s="1"/>
  <c r="P139" i="3" s="1"/>
  <c r="U139" i="3" s="1"/>
  <c r="N138" i="3"/>
  <c r="O138" i="3" s="1"/>
  <c r="P138" i="3" s="1"/>
  <c r="U138" i="3" s="1"/>
  <c r="N137" i="3"/>
  <c r="O137" i="3" s="1"/>
  <c r="P137" i="3" s="1"/>
  <c r="U137" i="3" s="1"/>
  <c r="N136" i="3"/>
  <c r="O136" i="3" s="1"/>
  <c r="N135" i="3"/>
  <c r="O135" i="3" s="1"/>
  <c r="N134" i="3"/>
  <c r="O134" i="3" s="1"/>
  <c r="P134" i="3" s="1"/>
  <c r="U134" i="3" s="1"/>
  <c r="N133" i="3"/>
  <c r="O133" i="3" s="1"/>
  <c r="P133" i="3" s="1"/>
  <c r="U133" i="3" s="1"/>
  <c r="N132" i="3"/>
  <c r="O132" i="3" s="1"/>
  <c r="P132" i="3" s="1"/>
  <c r="U132" i="3" s="1"/>
  <c r="N131" i="3"/>
  <c r="O131" i="3" s="1"/>
  <c r="P131" i="3" s="1"/>
  <c r="U131" i="3" s="1"/>
  <c r="N130" i="3"/>
  <c r="O130" i="3" s="1"/>
  <c r="P130" i="3" s="1"/>
  <c r="U130" i="3" s="1"/>
  <c r="N129" i="3"/>
  <c r="O129" i="3" s="1"/>
  <c r="P129" i="3" s="1"/>
  <c r="U129" i="3" s="1"/>
  <c r="N128" i="3"/>
  <c r="O128" i="3" s="1"/>
  <c r="P128" i="3" s="1"/>
  <c r="U128" i="3" s="1"/>
  <c r="N127" i="3"/>
  <c r="O127" i="3" s="1"/>
  <c r="P127" i="3" s="1"/>
  <c r="U127" i="3" s="1"/>
  <c r="N126" i="3"/>
  <c r="O126" i="3" s="1"/>
  <c r="P126" i="3" s="1"/>
  <c r="U126" i="3" s="1"/>
  <c r="N125" i="3"/>
  <c r="O125" i="3" s="1"/>
  <c r="P125" i="3" s="1"/>
  <c r="U125" i="3" s="1"/>
  <c r="N124" i="3"/>
  <c r="O124" i="3" s="1"/>
  <c r="P124" i="3" s="1"/>
  <c r="U124" i="3" s="1"/>
  <c r="N123" i="3"/>
  <c r="O123" i="3" s="1"/>
  <c r="P123" i="3" s="1"/>
  <c r="U123" i="3" s="1"/>
  <c r="N122" i="3"/>
  <c r="O122" i="3" s="1"/>
  <c r="P122" i="3" s="1"/>
  <c r="U122" i="3" s="1"/>
  <c r="N121" i="3"/>
  <c r="O121" i="3" s="1"/>
  <c r="N120" i="3"/>
  <c r="O120" i="3" s="1"/>
  <c r="N119" i="3"/>
  <c r="O119" i="3" s="1"/>
  <c r="P119" i="3" s="1"/>
  <c r="U119" i="3" s="1"/>
  <c r="N118" i="3"/>
  <c r="O118" i="3" s="1"/>
  <c r="N117" i="3"/>
  <c r="O117" i="3" s="1"/>
  <c r="P117" i="3" s="1"/>
  <c r="U117" i="3" s="1"/>
  <c r="N116" i="3"/>
  <c r="O116" i="3" s="1"/>
  <c r="P116" i="3" s="1"/>
  <c r="U116" i="3" s="1"/>
  <c r="N115" i="3"/>
  <c r="O115" i="3" s="1"/>
  <c r="P115" i="3" s="1"/>
  <c r="U115" i="3" s="1"/>
  <c r="N114" i="3"/>
  <c r="O114" i="3" s="1"/>
  <c r="P114" i="3" s="1"/>
  <c r="U114" i="3" s="1"/>
  <c r="N113" i="3"/>
  <c r="O113" i="3" s="1"/>
  <c r="P113" i="3" s="1"/>
  <c r="U113" i="3" s="1"/>
  <c r="N112" i="3"/>
  <c r="O112" i="3" s="1"/>
  <c r="P112" i="3" s="1"/>
  <c r="U112" i="3" s="1"/>
  <c r="N111" i="3"/>
  <c r="O111" i="3" s="1"/>
  <c r="P111" i="3" s="1"/>
  <c r="U111" i="3" s="1"/>
  <c r="N110" i="3"/>
  <c r="O110" i="3" s="1"/>
  <c r="P110" i="3" s="1"/>
  <c r="U110" i="3" s="1"/>
  <c r="N109" i="3"/>
  <c r="O109" i="3" s="1"/>
  <c r="P109" i="3" s="1"/>
  <c r="U109" i="3" s="1"/>
  <c r="N108" i="3"/>
  <c r="O108" i="3" s="1"/>
  <c r="P108" i="3" s="1"/>
  <c r="U108" i="3" s="1"/>
  <c r="N107" i="3"/>
  <c r="O107" i="3" s="1"/>
  <c r="P107" i="3" s="1"/>
  <c r="U107" i="3" s="1"/>
  <c r="N106" i="3"/>
  <c r="O106" i="3" s="1"/>
  <c r="P106" i="3" s="1"/>
  <c r="U106" i="3" s="1"/>
  <c r="N105" i="3"/>
  <c r="O105" i="3" s="1"/>
  <c r="P105" i="3" s="1"/>
  <c r="U105" i="3" s="1"/>
  <c r="N104" i="3"/>
  <c r="O104" i="3" s="1"/>
  <c r="P104" i="3" s="1"/>
  <c r="U104" i="3" s="1"/>
  <c r="N103" i="3"/>
  <c r="O103" i="3" s="1"/>
  <c r="P103" i="3" s="1"/>
  <c r="U103" i="3" s="1"/>
  <c r="N102" i="3"/>
  <c r="O102" i="3" s="1"/>
  <c r="P102" i="3" s="1"/>
  <c r="U102" i="3" s="1"/>
  <c r="N101" i="3"/>
  <c r="O101" i="3" s="1"/>
  <c r="P101" i="3" s="1"/>
  <c r="U101" i="3" s="1"/>
  <c r="N100" i="3"/>
  <c r="O100" i="3" s="1"/>
  <c r="P100" i="3" s="1"/>
  <c r="U100" i="3" s="1"/>
  <c r="N99" i="3"/>
  <c r="O99" i="3" s="1"/>
  <c r="P99" i="3" s="1"/>
  <c r="U99" i="3" s="1"/>
  <c r="N98" i="3"/>
  <c r="O98" i="3" s="1"/>
  <c r="P98" i="3" s="1"/>
  <c r="U98" i="3" s="1"/>
  <c r="N97" i="3"/>
  <c r="O97" i="3" s="1"/>
  <c r="P97" i="3" s="1"/>
  <c r="U97" i="3" s="1"/>
  <c r="N96" i="3"/>
  <c r="O96" i="3" s="1"/>
  <c r="P96" i="3" s="1"/>
  <c r="U96" i="3" s="1"/>
  <c r="N95" i="3"/>
  <c r="O95" i="3" s="1"/>
  <c r="P95" i="3" s="1"/>
  <c r="U95" i="3" s="1"/>
  <c r="N94" i="3"/>
  <c r="O94" i="3" s="1"/>
  <c r="P94" i="3" s="1"/>
  <c r="U94" i="3" s="1"/>
  <c r="N93" i="3"/>
  <c r="O93" i="3" s="1"/>
  <c r="P93" i="3" s="1"/>
  <c r="U93" i="3" s="1"/>
  <c r="N92" i="3"/>
  <c r="O92" i="3" s="1"/>
  <c r="N91" i="3"/>
  <c r="O91" i="3" s="1"/>
  <c r="N90" i="3"/>
  <c r="O90" i="3" s="1"/>
  <c r="N89" i="3"/>
  <c r="O89" i="3" s="1"/>
  <c r="N88" i="3"/>
  <c r="O88" i="3" s="1"/>
  <c r="N87" i="3"/>
  <c r="O87" i="3" s="1"/>
  <c r="N86" i="3"/>
  <c r="O86" i="3" s="1"/>
  <c r="P86" i="3" s="1"/>
  <c r="U86" i="3" s="1"/>
  <c r="N85" i="3"/>
  <c r="O85" i="3" s="1"/>
  <c r="N84" i="3"/>
  <c r="O84" i="3" s="1"/>
  <c r="N83" i="3"/>
  <c r="O83" i="3" s="1"/>
  <c r="P83" i="3" s="1"/>
  <c r="U83" i="3" s="1"/>
  <c r="N82" i="3"/>
  <c r="O82" i="3" s="1"/>
  <c r="P82" i="3" s="1"/>
  <c r="U82" i="3" s="1"/>
  <c r="N81" i="3"/>
  <c r="O81" i="3" s="1"/>
  <c r="P81" i="3" s="1"/>
  <c r="U81" i="3" s="1"/>
  <c r="N80" i="3"/>
  <c r="O80" i="3" s="1"/>
  <c r="P80" i="3" s="1"/>
  <c r="U80" i="3" s="1"/>
  <c r="N79" i="3"/>
  <c r="O79" i="3" s="1"/>
  <c r="P79" i="3" s="1"/>
  <c r="U79" i="3" s="1"/>
  <c r="N78" i="3"/>
  <c r="O78" i="3" s="1"/>
  <c r="P78" i="3" s="1"/>
  <c r="U78" i="3" s="1"/>
  <c r="N77" i="3"/>
  <c r="O77" i="3" s="1"/>
  <c r="P77" i="3" s="1"/>
  <c r="U77" i="3" s="1"/>
  <c r="N76" i="3"/>
  <c r="O76" i="3" s="1"/>
  <c r="P76" i="3" s="1"/>
  <c r="U76" i="3" s="1"/>
  <c r="N75" i="3"/>
  <c r="O75" i="3" s="1"/>
  <c r="P75" i="3" s="1"/>
  <c r="U75" i="3" s="1"/>
  <c r="N74" i="3"/>
  <c r="O74" i="3" s="1"/>
  <c r="P74" i="3" s="1"/>
  <c r="U74" i="3" s="1"/>
  <c r="N73" i="3"/>
  <c r="O73" i="3" s="1"/>
  <c r="P73" i="3" s="1"/>
  <c r="U73" i="3" s="1"/>
  <c r="N72" i="3"/>
  <c r="O72" i="3" s="1"/>
  <c r="P72" i="3" s="1"/>
  <c r="U72" i="3" s="1"/>
  <c r="N71" i="3"/>
  <c r="O71" i="3" s="1"/>
  <c r="P71" i="3" s="1"/>
  <c r="U71" i="3" s="1"/>
  <c r="N70" i="3"/>
  <c r="O70" i="3" s="1"/>
  <c r="P70" i="3" s="1"/>
  <c r="U70" i="3" s="1"/>
  <c r="N69" i="3"/>
  <c r="O69" i="3" s="1"/>
  <c r="P69" i="3" s="1"/>
  <c r="U69" i="3" s="1"/>
  <c r="N68" i="3"/>
  <c r="O68" i="3" s="1"/>
  <c r="P68" i="3" s="1"/>
  <c r="U68" i="3" s="1"/>
  <c r="N67" i="3"/>
  <c r="O67" i="3" s="1"/>
  <c r="P67" i="3" s="1"/>
  <c r="U67" i="3" s="1"/>
  <c r="N66" i="3"/>
  <c r="O66" i="3" s="1"/>
  <c r="P66" i="3" s="1"/>
  <c r="U66" i="3" s="1"/>
  <c r="N65" i="3"/>
  <c r="O65" i="3" s="1"/>
  <c r="P65" i="3" s="1"/>
  <c r="U65" i="3" s="1"/>
  <c r="N64" i="3"/>
  <c r="O64" i="3" s="1"/>
  <c r="P64" i="3" s="1"/>
  <c r="U64" i="3" s="1"/>
  <c r="N63" i="3"/>
  <c r="O63" i="3" s="1"/>
  <c r="P63" i="3" s="1"/>
  <c r="U63" i="3" s="1"/>
  <c r="N62" i="3"/>
  <c r="O62" i="3" s="1"/>
  <c r="N61" i="3"/>
  <c r="O61" i="3" s="1"/>
  <c r="P61" i="3" s="1"/>
  <c r="U61" i="3" s="1"/>
  <c r="N60" i="3"/>
  <c r="O60" i="3" s="1"/>
  <c r="P60" i="3" s="1"/>
  <c r="U60" i="3" s="1"/>
  <c r="N59" i="3"/>
  <c r="O59" i="3" s="1"/>
  <c r="P59" i="3" s="1"/>
  <c r="U59" i="3" s="1"/>
  <c r="N58" i="3"/>
  <c r="O58" i="3" s="1"/>
  <c r="P58" i="3" s="1"/>
  <c r="U58" i="3" s="1"/>
  <c r="N57" i="3"/>
  <c r="O57" i="3" s="1"/>
  <c r="P57" i="3" s="1"/>
  <c r="U57" i="3" s="1"/>
  <c r="N56" i="3"/>
  <c r="O56" i="3" s="1"/>
  <c r="P56" i="3" s="1"/>
  <c r="U56" i="3" s="1"/>
  <c r="N55" i="3"/>
  <c r="O55" i="3" s="1"/>
  <c r="P55" i="3" s="1"/>
  <c r="U55" i="3" s="1"/>
  <c r="N54" i="3"/>
  <c r="O54" i="3" s="1"/>
  <c r="N53" i="3"/>
  <c r="O53" i="3" s="1"/>
  <c r="N52" i="3"/>
  <c r="O52" i="3" s="1"/>
  <c r="P52" i="3" s="1"/>
  <c r="U52" i="3" s="1"/>
  <c r="N51" i="3"/>
  <c r="O51" i="3" s="1"/>
  <c r="P51" i="3" s="1"/>
  <c r="U51" i="3" s="1"/>
  <c r="N50" i="3"/>
  <c r="O50" i="3" s="1"/>
  <c r="P50" i="3" s="1"/>
  <c r="U50" i="3" s="1"/>
  <c r="N49" i="3"/>
  <c r="O49" i="3" s="1"/>
  <c r="P49" i="3" s="1"/>
  <c r="U49" i="3" s="1"/>
  <c r="N48" i="3"/>
  <c r="O48" i="3" s="1"/>
  <c r="P48" i="3" s="1"/>
  <c r="U48" i="3" s="1"/>
  <c r="N47" i="3"/>
  <c r="O47" i="3" s="1"/>
  <c r="P47" i="3" s="1"/>
  <c r="U47" i="3" s="1"/>
  <c r="N46" i="3"/>
  <c r="O46" i="3" s="1"/>
  <c r="P46" i="3" s="1"/>
  <c r="U46" i="3" s="1"/>
  <c r="N45" i="3"/>
  <c r="O45" i="3" s="1"/>
  <c r="P45" i="3" s="1"/>
  <c r="U45" i="3" s="1"/>
  <c r="N44" i="3"/>
  <c r="O44" i="3" s="1"/>
  <c r="P44" i="3" s="1"/>
  <c r="U44" i="3" s="1"/>
  <c r="N43" i="3"/>
  <c r="O43" i="3" s="1"/>
  <c r="P43" i="3" s="1"/>
  <c r="U43" i="3" s="1"/>
  <c r="N42" i="3"/>
  <c r="O42" i="3" s="1"/>
  <c r="N41" i="3"/>
  <c r="O41" i="3" s="1"/>
  <c r="N40" i="3"/>
  <c r="O40" i="3" s="1"/>
  <c r="P40" i="3" s="1"/>
  <c r="U40" i="3" s="1"/>
  <c r="N39" i="3"/>
  <c r="O39" i="3" s="1"/>
  <c r="P39" i="3" s="1"/>
  <c r="U39" i="3" s="1"/>
  <c r="N38" i="3"/>
  <c r="O38" i="3" s="1"/>
  <c r="P38" i="3" s="1"/>
  <c r="U38" i="3" s="1"/>
  <c r="N37" i="3"/>
  <c r="O37" i="3" s="1"/>
  <c r="P37" i="3" s="1"/>
  <c r="U37" i="3" s="1"/>
  <c r="N36" i="3"/>
  <c r="O36" i="3" s="1"/>
  <c r="P36" i="3" s="1"/>
  <c r="U36" i="3" s="1"/>
  <c r="N35" i="3"/>
  <c r="O35" i="3" s="1"/>
  <c r="P35" i="3" s="1"/>
  <c r="U35" i="3" s="1"/>
  <c r="N34" i="3"/>
  <c r="O34" i="3" s="1"/>
  <c r="P34" i="3" s="1"/>
  <c r="U34" i="3" s="1"/>
  <c r="N33" i="3"/>
  <c r="O33" i="3" s="1"/>
  <c r="P33" i="3" s="1"/>
  <c r="U33" i="3" s="1"/>
  <c r="N32" i="3"/>
  <c r="O32" i="3" s="1"/>
  <c r="N31" i="3"/>
  <c r="O31" i="3" s="1"/>
  <c r="N30" i="3"/>
  <c r="O30" i="3" s="1"/>
  <c r="N29" i="3"/>
  <c r="O29" i="3" s="1"/>
  <c r="N28" i="3"/>
  <c r="O28" i="3" s="1"/>
  <c r="P28" i="3" s="1"/>
  <c r="U28" i="3" s="1"/>
  <c r="N27" i="3"/>
  <c r="O27" i="3" s="1"/>
  <c r="P27" i="3" s="1"/>
  <c r="U27" i="3" s="1"/>
  <c r="N26" i="3"/>
  <c r="O26" i="3" s="1"/>
  <c r="P26" i="3" s="1"/>
  <c r="U26" i="3" s="1"/>
  <c r="N25" i="3"/>
  <c r="O25" i="3" s="1"/>
  <c r="P25" i="3" s="1"/>
  <c r="U25" i="3" s="1"/>
  <c r="N24" i="3"/>
  <c r="O24" i="3" s="1"/>
  <c r="P24" i="3" s="1"/>
  <c r="U24" i="3" s="1"/>
  <c r="N23" i="3"/>
  <c r="O23" i="3" s="1"/>
  <c r="P23" i="3" s="1"/>
  <c r="U23" i="3" s="1"/>
  <c r="N22" i="3"/>
  <c r="O22" i="3" s="1"/>
  <c r="P22" i="3" s="1"/>
  <c r="U22" i="3" s="1"/>
  <c r="N21" i="3"/>
  <c r="O21" i="3" s="1"/>
  <c r="P21" i="3" s="1"/>
  <c r="U21" i="3" s="1"/>
  <c r="N20" i="3"/>
  <c r="O20" i="3" s="1"/>
  <c r="P20" i="3" s="1"/>
  <c r="U20" i="3" s="1"/>
  <c r="N19" i="3"/>
  <c r="O19" i="3" s="1"/>
  <c r="P19" i="3" s="1"/>
  <c r="U19" i="3" s="1"/>
  <c r="N18" i="3"/>
  <c r="O18" i="3" s="1"/>
  <c r="P18" i="3" s="1"/>
  <c r="U18" i="3" s="1"/>
  <c r="N17" i="3"/>
  <c r="O17" i="3" s="1"/>
  <c r="P17" i="3" s="1"/>
  <c r="U17" i="3" s="1"/>
  <c r="N16" i="3"/>
  <c r="O16" i="3" s="1"/>
  <c r="P16" i="3" s="1"/>
  <c r="U16" i="3" s="1"/>
  <c r="N15" i="3"/>
  <c r="O15" i="3" s="1"/>
  <c r="P15" i="3" s="1"/>
  <c r="U15" i="3" s="1"/>
  <c r="N14" i="3"/>
  <c r="O14" i="3" s="1"/>
  <c r="P14" i="3" s="1"/>
  <c r="U14" i="3" s="1"/>
  <c r="N13" i="3"/>
  <c r="O13" i="3" s="1"/>
  <c r="P13" i="3" s="1"/>
  <c r="U13" i="3" s="1"/>
  <c r="N12" i="3"/>
  <c r="O12" i="3" s="1"/>
  <c r="P12" i="3" s="1"/>
  <c r="U12" i="3" s="1"/>
  <c r="N11" i="3"/>
  <c r="O11" i="3" s="1"/>
  <c r="P11" i="3" s="1"/>
  <c r="U11" i="3" s="1"/>
  <c r="N10" i="3"/>
  <c r="O10" i="3" s="1"/>
  <c r="P10" i="3" s="1"/>
  <c r="U10" i="3" s="1"/>
  <c r="N9" i="3"/>
  <c r="O9" i="3" s="1"/>
  <c r="P9" i="3" s="1"/>
  <c r="U9" i="3" s="1"/>
  <c r="N8" i="3"/>
  <c r="O8" i="3" s="1"/>
  <c r="P8" i="3" s="1"/>
  <c r="U8" i="3" s="1"/>
  <c r="N7" i="3"/>
  <c r="O7" i="3" s="1"/>
  <c r="P7" i="3" s="1"/>
  <c r="U7" i="3" s="1"/>
  <c r="N6" i="3"/>
  <c r="O6" i="3" s="1"/>
  <c r="P6" i="3" s="1"/>
  <c r="U6" i="3" s="1"/>
  <c r="N5" i="3"/>
  <c r="O5" i="3" s="1"/>
  <c r="N179" i="3"/>
  <c r="O179" i="3" s="1"/>
  <c r="P179" i="3" s="1"/>
  <c r="U179" i="3" s="1"/>
  <c r="N180" i="3"/>
  <c r="O180" i="3" s="1"/>
  <c r="P180" i="3" s="1"/>
  <c r="U180" i="3" s="1"/>
  <c r="N181" i="3"/>
  <c r="O181" i="3" s="1"/>
  <c r="N182" i="3"/>
  <c r="O182" i="3" s="1"/>
  <c r="N183" i="3"/>
  <c r="O183" i="3" s="1"/>
  <c r="N184" i="3"/>
  <c r="O184" i="3" s="1"/>
  <c r="P184" i="3" s="1"/>
  <c r="U184" i="3" s="1"/>
  <c r="N185" i="3"/>
  <c r="O185" i="3" s="1"/>
  <c r="N186" i="3"/>
  <c r="O186" i="3" s="1"/>
  <c r="N187" i="3"/>
  <c r="O187" i="3" s="1"/>
  <c r="P187" i="3" s="1"/>
  <c r="U187" i="3" s="1"/>
  <c r="N188" i="3"/>
  <c r="O188" i="3" s="1"/>
  <c r="P188" i="3" s="1"/>
  <c r="U188" i="3" s="1"/>
  <c r="N189" i="3"/>
  <c r="O189" i="3" s="1"/>
  <c r="P189" i="3" s="1"/>
  <c r="U189" i="3" s="1"/>
  <c r="N190" i="3"/>
  <c r="O190" i="3" s="1"/>
  <c r="P190" i="3" s="1"/>
  <c r="U190" i="3" s="1"/>
  <c r="N191" i="3"/>
  <c r="O191" i="3" s="1"/>
  <c r="P191" i="3" s="1"/>
  <c r="U191" i="3" s="1"/>
  <c r="N192" i="3"/>
  <c r="O192" i="3" s="1"/>
  <c r="P192" i="3" s="1"/>
  <c r="U192" i="3" s="1"/>
  <c r="N193" i="3"/>
  <c r="O193" i="3" s="1"/>
  <c r="P193" i="3" s="1"/>
  <c r="U193" i="3" s="1"/>
  <c r="N194" i="3"/>
  <c r="O194" i="3" s="1"/>
  <c r="P194" i="3" s="1"/>
  <c r="U194" i="3" s="1"/>
  <c r="N195" i="3"/>
  <c r="O195" i="3" s="1"/>
  <c r="P195" i="3" s="1"/>
  <c r="U195" i="3" s="1"/>
  <c r="N196" i="3"/>
  <c r="O196" i="3" s="1"/>
  <c r="P196" i="3" s="1"/>
  <c r="U196" i="3" s="1"/>
  <c r="N197" i="3"/>
  <c r="O197" i="3" s="1"/>
  <c r="P197" i="3" s="1"/>
  <c r="U197" i="3" s="1"/>
  <c r="N198" i="3"/>
  <c r="O198" i="3" s="1"/>
  <c r="P198" i="3" s="1"/>
  <c r="U198" i="3" s="1"/>
  <c r="N199" i="3"/>
  <c r="O199" i="3" s="1"/>
  <c r="P199" i="3" s="1"/>
  <c r="U199" i="3" s="1"/>
  <c r="N200" i="3"/>
  <c r="O200" i="3" s="1"/>
  <c r="P200" i="3" s="1"/>
  <c r="U200" i="3" s="1"/>
  <c r="N201" i="3"/>
  <c r="O201" i="3" s="1"/>
  <c r="P201" i="3" s="1"/>
  <c r="U201" i="3" s="1"/>
  <c r="N202" i="3"/>
  <c r="O202" i="3" s="1"/>
  <c r="P202" i="3" s="1"/>
  <c r="U202" i="3" s="1"/>
  <c r="N203" i="3"/>
  <c r="O203" i="3" s="1"/>
  <c r="P203" i="3" s="1"/>
  <c r="U203" i="3" s="1"/>
  <c r="N204" i="3"/>
  <c r="O204" i="3" s="1"/>
  <c r="P204" i="3" s="1"/>
  <c r="U204" i="3" s="1"/>
  <c r="N205" i="3"/>
  <c r="O205" i="3" s="1"/>
  <c r="P205" i="3" s="1"/>
  <c r="U205" i="3" s="1"/>
  <c r="N206" i="3"/>
  <c r="O206" i="3" s="1"/>
  <c r="P206" i="3" s="1"/>
  <c r="U206" i="3" s="1"/>
  <c r="N207" i="3"/>
  <c r="O207" i="3" s="1"/>
  <c r="N208" i="3"/>
  <c r="O208" i="3" s="1"/>
  <c r="N209" i="3"/>
  <c r="O209" i="3" s="1"/>
  <c r="N210" i="3"/>
  <c r="O210" i="3" s="1"/>
  <c r="P210" i="3" s="1"/>
  <c r="U210" i="3" s="1"/>
  <c r="N211" i="3"/>
  <c r="O211" i="3" s="1"/>
  <c r="P211" i="3" s="1"/>
  <c r="U211" i="3" s="1"/>
  <c r="N212" i="3"/>
  <c r="O212" i="3" s="1"/>
  <c r="N213" i="3"/>
  <c r="O213" i="3" s="1"/>
  <c r="N214" i="3"/>
  <c r="O214" i="3" s="1"/>
  <c r="N215" i="3"/>
  <c r="O215" i="3" s="1"/>
  <c r="N216" i="3"/>
  <c r="O216" i="3" s="1"/>
  <c r="P216" i="3" s="1"/>
  <c r="U216" i="3" s="1"/>
  <c r="N217" i="3"/>
  <c r="O217" i="3" s="1"/>
  <c r="P217" i="3" s="1"/>
  <c r="U217" i="3" s="1"/>
  <c r="N218" i="3"/>
  <c r="O218" i="3" s="1"/>
  <c r="P218" i="3" s="1"/>
  <c r="U218" i="3" s="1"/>
  <c r="N219" i="3"/>
  <c r="O219" i="3" s="1"/>
  <c r="P219" i="3" s="1"/>
  <c r="U219" i="3" s="1"/>
  <c r="N220" i="3"/>
  <c r="O220" i="3" s="1"/>
  <c r="P220" i="3" s="1"/>
  <c r="U220" i="3" s="1"/>
  <c r="N221" i="3"/>
  <c r="O221" i="3" s="1"/>
  <c r="N222" i="3"/>
  <c r="O222" i="3" s="1"/>
  <c r="N223" i="3"/>
  <c r="O223" i="3" s="1"/>
  <c r="P223" i="3" s="1"/>
  <c r="U223" i="3" s="1"/>
  <c r="N224" i="3"/>
  <c r="O224" i="3" s="1"/>
  <c r="P224" i="3" s="1"/>
  <c r="U224" i="3" s="1"/>
  <c r="N225" i="3"/>
  <c r="O225" i="3" s="1"/>
  <c r="P225" i="3" s="1"/>
  <c r="U225" i="3" s="1"/>
  <c r="N226" i="3"/>
  <c r="O226" i="3" s="1"/>
  <c r="P226" i="3" s="1"/>
  <c r="U226" i="3" s="1"/>
  <c r="N227" i="3"/>
  <c r="O227" i="3" s="1"/>
  <c r="P227" i="3" s="1"/>
  <c r="U227" i="3" s="1"/>
  <c r="N228" i="3"/>
  <c r="O228" i="3" s="1"/>
  <c r="P228" i="3" s="1"/>
  <c r="U228" i="3" s="1"/>
  <c r="N229" i="3"/>
  <c r="O229" i="3" s="1"/>
  <c r="P229" i="3" s="1"/>
  <c r="U229" i="3" s="1"/>
  <c r="N230" i="3"/>
  <c r="O230" i="3" s="1"/>
  <c r="P230" i="3" s="1"/>
  <c r="U230" i="3" s="1"/>
  <c r="N231" i="3"/>
  <c r="O231" i="3" s="1"/>
  <c r="P231" i="3" s="1"/>
  <c r="U231" i="3" s="1"/>
  <c r="N232" i="3"/>
  <c r="O232" i="3" s="1"/>
  <c r="P232" i="3" s="1"/>
  <c r="U232" i="3" s="1"/>
  <c r="N233" i="3"/>
  <c r="O233" i="3" s="1"/>
  <c r="P233" i="3" s="1"/>
  <c r="U233" i="3" s="1"/>
  <c r="N234" i="3"/>
  <c r="O234" i="3" s="1"/>
  <c r="P234" i="3" s="1"/>
  <c r="U234" i="3" s="1"/>
  <c r="N235" i="3"/>
  <c r="O235" i="3" s="1"/>
  <c r="P235" i="3" s="1"/>
  <c r="U235" i="3" s="1"/>
  <c r="N236" i="3"/>
  <c r="O236" i="3" s="1"/>
  <c r="N237" i="3"/>
  <c r="O237" i="3" s="1"/>
  <c r="P237" i="3" s="1"/>
  <c r="U237" i="3" s="1"/>
  <c r="N238" i="3"/>
  <c r="O238" i="3" s="1"/>
  <c r="P238" i="3" s="1"/>
  <c r="U238" i="3" s="1"/>
  <c r="N239" i="3"/>
  <c r="O239" i="3" s="1"/>
  <c r="P239" i="3" s="1"/>
  <c r="U239" i="3" s="1"/>
  <c r="N240" i="3"/>
  <c r="O240" i="3" s="1"/>
  <c r="P240" i="3" s="1"/>
  <c r="U240" i="3" s="1"/>
  <c r="N241" i="3"/>
  <c r="O241" i="3" s="1"/>
  <c r="P241" i="3" s="1"/>
  <c r="U241" i="3" s="1"/>
  <c r="N242" i="3"/>
  <c r="O242" i="3" s="1"/>
  <c r="P242" i="3" s="1"/>
  <c r="U242" i="3" s="1"/>
  <c r="N243" i="3"/>
  <c r="O243" i="3" s="1"/>
  <c r="P243" i="3" s="1"/>
  <c r="U243" i="3" s="1"/>
  <c r="N244" i="3"/>
  <c r="O244" i="3" s="1"/>
  <c r="N245" i="3"/>
  <c r="O245" i="3" s="1"/>
  <c r="N246" i="3"/>
  <c r="O246" i="3" s="1"/>
  <c r="N247" i="3"/>
  <c r="O247" i="3" s="1"/>
  <c r="N248" i="3"/>
  <c r="O248" i="3" s="1"/>
  <c r="N249" i="3"/>
  <c r="O249" i="3" s="1"/>
  <c r="N250" i="3"/>
  <c r="O250" i="3" s="1"/>
  <c r="P250" i="3" s="1"/>
  <c r="U250" i="3" s="1"/>
  <c r="N251" i="3"/>
  <c r="O251" i="3" s="1"/>
  <c r="P251" i="3" s="1"/>
  <c r="U251" i="3" s="1"/>
  <c r="N252" i="3"/>
  <c r="O252" i="3" s="1"/>
  <c r="P252" i="3" s="1"/>
  <c r="U252" i="3" s="1"/>
  <c r="N253" i="3"/>
  <c r="O253" i="3" s="1"/>
  <c r="P253" i="3" s="1"/>
  <c r="U253" i="3" s="1"/>
  <c r="N254" i="3"/>
  <c r="O254" i="3" s="1"/>
  <c r="P254" i="3" s="1"/>
  <c r="U254" i="3" s="1"/>
  <c r="N255" i="3"/>
  <c r="O255" i="3" s="1"/>
  <c r="P255" i="3" s="1"/>
  <c r="U255" i="3" s="1"/>
  <c r="N256" i="3"/>
  <c r="O256" i="3" s="1"/>
  <c r="P256" i="3" s="1"/>
  <c r="U256" i="3" s="1"/>
  <c r="N257" i="3"/>
  <c r="O257" i="3" s="1"/>
  <c r="P257" i="3" s="1"/>
  <c r="U257" i="3" s="1"/>
  <c r="N258" i="3"/>
  <c r="O258" i="3" s="1"/>
  <c r="P258" i="3" s="1"/>
  <c r="U258" i="3" s="1"/>
  <c r="N259" i="3"/>
  <c r="O259" i="3" s="1"/>
  <c r="P259" i="3" s="1"/>
  <c r="U259" i="3" s="1"/>
  <c r="N260" i="3"/>
  <c r="O260" i="3" s="1"/>
  <c r="P260" i="3" s="1"/>
  <c r="U260" i="3" s="1"/>
  <c r="N261" i="3"/>
  <c r="O261" i="3" s="1"/>
  <c r="N262" i="3"/>
  <c r="O262" i="3" s="1"/>
  <c r="N263" i="3"/>
  <c r="O263" i="3" s="1"/>
  <c r="P263" i="3" s="1"/>
  <c r="U263" i="3" s="1"/>
  <c r="N264" i="3"/>
  <c r="O264" i="3" s="1"/>
  <c r="P264" i="3" s="1"/>
  <c r="U264" i="3" s="1"/>
  <c r="N265" i="3"/>
  <c r="O265" i="3" s="1"/>
  <c r="P265" i="3" s="1"/>
  <c r="U265" i="3" s="1"/>
  <c r="N266" i="3"/>
  <c r="O266" i="3" s="1"/>
  <c r="P266" i="3" s="1"/>
  <c r="U266" i="3" s="1"/>
  <c r="N267" i="3"/>
  <c r="O267" i="3" s="1"/>
  <c r="P267" i="3" s="1"/>
  <c r="U267" i="3" s="1"/>
  <c r="N268" i="3"/>
  <c r="O268" i="3" s="1"/>
  <c r="P268" i="3" s="1"/>
  <c r="U268" i="3" s="1"/>
  <c r="N269" i="3"/>
  <c r="O269" i="3" s="1"/>
  <c r="P269" i="3" s="1"/>
  <c r="U269" i="3" s="1"/>
  <c r="N270" i="3"/>
  <c r="O270" i="3" s="1"/>
  <c r="P270" i="3" s="1"/>
  <c r="U270" i="3" s="1"/>
  <c r="N271" i="3"/>
  <c r="O271" i="3" s="1"/>
  <c r="N272" i="3"/>
  <c r="O272" i="3" s="1"/>
  <c r="N273" i="3"/>
  <c r="O273" i="3" s="1"/>
  <c r="P273" i="3" s="1"/>
  <c r="U273" i="3" s="1"/>
  <c r="N274" i="3"/>
  <c r="O274" i="3" s="1"/>
  <c r="P274" i="3" s="1"/>
  <c r="U274" i="3" s="1"/>
  <c r="N275" i="3"/>
  <c r="O275" i="3" s="1"/>
  <c r="P275" i="3" s="1"/>
  <c r="U275" i="3" s="1"/>
  <c r="N276" i="3"/>
  <c r="O276" i="3" s="1"/>
  <c r="P276" i="3" s="1"/>
  <c r="U276" i="3" s="1"/>
  <c r="N277" i="3"/>
  <c r="O277" i="3" s="1"/>
  <c r="P277" i="3" s="1"/>
  <c r="U277" i="3" s="1"/>
  <c r="N278" i="3"/>
  <c r="O278" i="3" s="1"/>
  <c r="P278" i="3" s="1"/>
  <c r="U278" i="3" s="1"/>
  <c r="N279" i="3"/>
  <c r="O279" i="3" s="1"/>
  <c r="P279" i="3" s="1"/>
  <c r="U279" i="3" s="1"/>
  <c r="N280" i="3"/>
  <c r="O280" i="3" s="1"/>
  <c r="P280" i="3" s="1"/>
  <c r="U280" i="3" s="1"/>
  <c r="N281" i="3"/>
  <c r="O281" i="3" s="1"/>
  <c r="P281" i="3" s="1"/>
  <c r="U281" i="3" s="1"/>
  <c r="N282" i="3"/>
  <c r="O282" i="3" s="1"/>
  <c r="P282" i="3" s="1"/>
  <c r="U282" i="3" s="1"/>
  <c r="N283" i="3"/>
  <c r="O283" i="3" s="1"/>
  <c r="P283" i="3" s="1"/>
  <c r="U283" i="3" s="1"/>
  <c r="N284" i="3"/>
  <c r="O284" i="3" s="1"/>
  <c r="P284" i="3" s="1"/>
  <c r="U284" i="3" s="1"/>
  <c r="N285" i="3"/>
  <c r="O285" i="3" s="1"/>
  <c r="P285" i="3" s="1"/>
  <c r="U285" i="3" s="1"/>
  <c r="N286" i="3"/>
  <c r="O286" i="3" s="1"/>
  <c r="P286" i="3" s="1"/>
  <c r="U286" i="3" s="1"/>
  <c r="N287" i="3"/>
  <c r="O287" i="3" s="1"/>
  <c r="P287" i="3" s="1"/>
  <c r="U287" i="3" s="1"/>
  <c r="N288" i="3"/>
  <c r="O288" i="3" s="1"/>
  <c r="P288" i="3" s="1"/>
  <c r="U288" i="3" s="1"/>
  <c r="N289" i="3"/>
  <c r="O289" i="3" s="1"/>
  <c r="P289" i="3" s="1"/>
  <c r="U289" i="3" s="1"/>
  <c r="N290" i="3"/>
  <c r="O290" i="3" s="1"/>
  <c r="P290" i="3" s="1"/>
  <c r="U290" i="3" s="1"/>
  <c r="N291" i="3"/>
  <c r="O291" i="3" s="1"/>
  <c r="P291" i="3" s="1"/>
  <c r="U291" i="3" s="1"/>
  <c r="N292" i="3"/>
  <c r="O292" i="3" s="1"/>
  <c r="P292" i="3" s="1"/>
  <c r="U292" i="3" s="1"/>
  <c r="N293" i="3"/>
  <c r="O293" i="3" s="1"/>
  <c r="P293" i="3" s="1"/>
  <c r="U293" i="3" s="1"/>
  <c r="N294" i="3"/>
  <c r="O294" i="3" s="1"/>
  <c r="P294" i="3" s="1"/>
  <c r="U294" i="3" s="1"/>
  <c r="N295" i="3"/>
  <c r="O295" i="3" s="1"/>
  <c r="P295" i="3" s="1"/>
  <c r="U295" i="3" s="1"/>
  <c r="N296" i="3"/>
  <c r="O296" i="3" s="1"/>
  <c r="P296" i="3" s="1"/>
  <c r="U296" i="3" s="1"/>
  <c r="N297" i="3"/>
  <c r="O297" i="3" s="1"/>
  <c r="P297" i="3" s="1"/>
  <c r="U297" i="3" s="1"/>
  <c r="N298" i="3"/>
  <c r="O298" i="3" s="1"/>
  <c r="P298" i="3" s="1"/>
  <c r="U298" i="3" s="1"/>
  <c r="N299" i="3"/>
  <c r="O299" i="3" s="1"/>
  <c r="P299" i="3" s="1"/>
  <c r="U299" i="3" s="1"/>
  <c r="N300" i="3"/>
  <c r="O300" i="3" s="1"/>
  <c r="P300" i="3" s="1"/>
  <c r="U300" i="3" s="1"/>
  <c r="N301" i="3"/>
  <c r="O301" i="3" s="1"/>
  <c r="P301" i="3" s="1"/>
  <c r="U301" i="3" s="1"/>
  <c r="N302" i="3"/>
  <c r="O302" i="3" s="1"/>
  <c r="P302" i="3" s="1"/>
  <c r="U302" i="3" s="1"/>
  <c r="N303" i="3"/>
  <c r="O303" i="3" s="1"/>
  <c r="P303" i="3" s="1"/>
  <c r="U303" i="3" s="1"/>
  <c r="N304" i="3"/>
  <c r="O304" i="3" s="1"/>
  <c r="P304" i="3" s="1"/>
  <c r="U304" i="3" s="1"/>
  <c r="N305" i="3"/>
  <c r="O305" i="3" s="1"/>
  <c r="P305" i="3" s="1"/>
  <c r="U305" i="3" s="1"/>
  <c r="N306" i="3"/>
  <c r="O306" i="3" s="1"/>
  <c r="P306" i="3" s="1"/>
  <c r="U306" i="3" s="1"/>
  <c r="N307" i="3"/>
  <c r="O307" i="3" s="1"/>
  <c r="P307" i="3" s="1"/>
  <c r="U307" i="3" s="1"/>
  <c r="N308" i="3"/>
  <c r="O308" i="3" s="1"/>
  <c r="P308" i="3" s="1"/>
  <c r="U308" i="3" s="1"/>
  <c r="N309" i="3"/>
  <c r="O309" i="3" s="1"/>
  <c r="N310" i="3"/>
  <c r="O310" i="3" s="1"/>
  <c r="N311" i="3"/>
  <c r="O311" i="3" s="1"/>
  <c r="P311" i="3" s="1"/>
  <c r="U311" i="3" s="1"/>
  <c r="N312" i="3"/>
  <c r="O312" i="3" s="1"/>
  <c r="P312" i="3" s="1"/>
  <c r="U312" i="3" s="1"/>
  <c r="N313" i="3"/>
  <c r="O313" i="3" s="1"/>
  <c r="P313" i="3" s="1"/>
  <c r="U313" i="3" s="1"/>
  <c r="N314" i="3"/>
  <c r="O314" i="3" s="1"/>
  <c r="P314" i="3" s="1"/>
  <c r="U314" i="3" s="1"/>
  <c r="N315" i="3"/>
  <c r="O315" i="3" s="1"/>
  <c r="P315" i="3" s="1"/>
  <c r="U315" i="3" s="1"/>
  <c r="N316" i="3"/>
  <c r="O316" i="3" s="1"/>
  <c r="P316" i="3" s="1"/>
  <c r="U316" i="3" s="1"/>
  <c r="N317" i="3"/>
  <c r="O317" i="3" s="1"/>
  <c r="P317" i="3" s="1"/>
  <c r="U317" i="3" s="1"/>
  <c r="N318" i="3"/>
  <c r="O318" i="3" s="1"/>
  <c r="P318" i="3" s="1"/>
  <c r="U318" i="3" s="1"/>
  <c r="N319" i="3"/>
  <c r="O319" i="3" s="1"/>
  <c r="P319" i="3" s="1"/>
  <c r="U319" i="3" s="1"/>
  <c r="N320" i="3"/>
  <c r="O320" i="3" s="1"/>
  <c r="P320" i="3" s="1"/>
  <c r="U320" i="3" s="1"/>
  <c r="N321" i="3"/>
  <c r="O321" i="3" s="1"/>
  <c r="P321" i="3" s="1"/>
  <c r="U321" i="3" s="1"/>
  <c r="N322" i="3"/>
  <c r="O322" i="3" s="1"/>
  <c r="P322" i="3" s="1"/>
  <c r="U322" i="3" s="1"/>
  <c r="N323" i="3"/>
  <c r="O323" i="3" s="1"/>
  <c r="P323" i="3" s="1"/>
  <c r="U323" i="3" s="1"/>
  <c r="N324" i="3"/>
  <c r="O324" i="3" s="1"/>
  <c r="P324" i="3" s="1"/>
  <c r="U324" i="3" s="1"/>
  <c r="N325" i="3"/>
  <c r="O325" i="3" s="1"/>
  <c r="P325" i="3" s="1"/>
  <c r="U325" i="3" s="1"/>
  <c r="N326" i="3"/>
  <c r="O326" i="3" s="1"/>
  <c r="P326" i="3" s="1"/>
  <c r="U326" i="3" s="1"/>
  <c r="N327" i="3"/>
  <c r="O327" i="3" s="1"/>
  <c r="P327" i="3" s="1"/>
  <c r="U327" i="3" s="1"/>
  <c r="N328" i="3"/>
  <c r="O328" i="3" s="1"/>
  <c r="P328" i="3" s="1"/>
  <c r="U328" i="3" s="1"/>
  <c r="N329" i="3"/>
  <c r="O329" i="3" s="1"/>
  <c r="P329" i="3" s="1"/>
  <c r="U329" i="3" s="1"/>
  <c r="N330" i="3"/>
  <c r="O330" i="3" s="1"/>
  <c r="P330" i="3" s="1"/>
  <c r="U330" i="3" s="1"/>
  <c r="N331" i="3"/>
  <c r="O331" i="3" s="1"/>
  <c r="P331" i="3" s="1"/>
  <c r="U331" i="3" s="1"/>
  <c r="N332" i="3"/>
  <c r="O332" i="3" s="1"/>
  <c r="P332" i="3" s="1"/>
  <c r="U332" i="3" s="1"/>
  <c r="N333" i="3"/>
  <c r="O333" i="3" s="1"/>
  <c r="P333" i="3" s="1"/>
  <c r="U333" i="3" s="1"/>
  <c r="N334" i="3"/>
  <c r="O334" i="3" s="1"/>
  <c r="P334" i="3" s="1"/>
  <c r="U334" i="3" s="1"/>
  <c r="N335" i="3"/>
  <c r="O335" i="3" s="1"/>
  <c r="P335" i="3" s="1"/>
  <c r="U335" i="3" s="1"/>
  <c r="N336" i="3"/>
  <c r="O336" i="3" s="1"/>
  <c r="P336" i="3" s="1"/>
  <c r="U336" i="3" s="1"/>
  <c r="N337" i="3"/>
  <c r="O337" i="3" s="1"/>
  <c r="P337" i="3" s="1"/>
  <c r="U337" i="3" s="1"/>
  <c r="N338" i="3"/>
  <c r="O338" i="3" s="1"/>
  <c r="P338" i="3" s="1"/>
  <c r="U338" i="3" s="1"/>
  <c r="N339" i="3"/>
  <c r="O339" i="3" s="1"/>
  <c r="P339" i="3" s="1"/>
  <c r="U339" i="3" s="1"/>
  <c r="N340" i="3"/>
  <c r="O340" i="3" s="1"/>
  <c r="P340" i="3" s="1"/>
  <c r="U340" i="3" s="1"/>
  <c r="N341" i="3"/>
  <c r="O341" i="3" s="1"/>
  <c r="P341" i="3" s="1"/>
  <c r="U341" i="3" s="1"/>
  <c r="N342" i="3"/>
  <c r="O342" i="3" s="1"/>
  <c r="P342" i="3" s="1"/>
  <c r="U342" i="3" s="1"/>
  <c r="N343" i="3"/>
  <c r="O343" i="3" s="1"/>
  <c r="P343" i="3" s="1"/>
  <c r="U343" i="3" s="1"/>
  <c r="N344" i="3"/>
  <c r="O344" i="3" s="1"/>
  <c r="P344" i="3" s="1"/>
  <c r="U344" i="3" s="1"/>
  <c r="N345" i="3"/>
  <c r="O345" i="3" s="1"/>
  <c r="P345" i="3" s="1"/>
  <c r="U345" i="3" s="1"/>
  <c r="N346" i="3"/>
  <c r="O346" i="3" s="1"/>
  <c r="P346" i="3" s="1"/>
  <c r="U346" i="3" s="1"/>
  <c r="N347" i="3"/>
  <c r="O347" i="3" s="1"/>
  <c r="N348" i="3"/>
  <c r="O348" i="3" s="1"/>
  <c r="N349" i="3"/>
  <c r="O349" i="3" s="1"/>
  <c r="N350" i="3"/>
  <c r="O350" i="3" s="1"/>
  <c r="N351" i="3"/>
  <c r="O351" i="3" s="1"/>
  <c r="P351" i="3" s="1"/>
  <c r="U351" i="3" s="1"/>
  <c r="N352" i="3"/>
  <c r="O352" i="3" s="1"/>
  <c r="P352" i="3" s="1"/>
  <c r="U352" i="3" s="1"/>
  <c r="N353" i="3"/>
  <c r="O353" i="3" s="1"/>
  <c r="P353" i="3" s="1"/>
  <c r="U353" i="3" s="1"/>
  <c r="N354" i="3"/>
  <c r="O354" i="3" s="1"/>
  <c r="P354" i="3" s="1"/>
  <c r="U354" i="3" s="1"/>
  <c r="N355" i="3"/>
  <c r="O355" i="3" s="1"/>
  <c r="P355" i="3" s="1"/>
  <c r="U355" i="3" s="1"/>
  <c r="N356" i="3"/>
  <c r="O356" i="3" s="1"/>
  <c r="P356" i="3" s="1"/>
  <c r="U356" i="3" s="1"/>
  <c r="N357" i="3"/>
  <c r="O357" i="3" s="1"/>
  <c r="P357" i="3" s="1"/>
  <c r="U357" i="3" s="1"/>
  <c r="N358" i="3"/>
  <c r="O358" i="3" s="1"/>
  <c r="P358" i="3" s="1"/>
  <c r="U358" i="3" s="1"/>
  <c r="N359" i="3"/>
  <c r="O359" i="3" s="1"/>
  <c r="P359" i="3" s="1"/>
  <c r="U359" i="3" s="1"/>
  <c r="N360" i="3"/>
  <c r="O360" i="3" s="1"/>
  <c r="P360" i="3" s="1"/>
  <c r="U360" i="3" s="1"/>
  <c r="N361" i="3"/>
  <c r="O361" i="3" s="1"/>
  <c r="P361" i="3" s="1"/>
  <c r="U361" i="3" s="1"/>
  <c r="N362" i="3"/>
  <c r="O362" i="3" s="1"/>
  <c r="P362" i="3" s="1"/>
  <c r="U362" i="3" s="1"/>
  <c r="N363" i="3"/>
  <c r="O363" i="3" s="1"/>
  <c r="N364" i="3"/>
  <c r="O364" i="3" s="1"/>
  <c r="N365" i="3"/>
  <c r="O365" i="3" s="1"/>
  <c r="P365" i="3" s="1"/>
  <c r="U365" i="3" s="1"/>
  <c r="N366" i="3"/>
  <c r="O366" i="3" s="1"/>
  <c r="P366" i="3" s="1"/>
  <c r="U366" i="3" s="1"/>
  <c r="N367" i="3"/>
  <c r="O367" i="3" s="1"/>
  <c r="P367" i="3" s="1"/>
  <c r="U367" i="3" s="1"/>
  <c r="N368" i="3"/>
  <c r="O368" i="3" s="1"/>
  <c r="P368" i="3" s="1"/>
  <c r="U368" i="3" s="1"/>
  <c r="N369" i="3"/>
  <c r="O369" i="3" s="1"/>
  <c r="P369" i="3" s="1"/>
  <c r="U369" i="3" s="1"/>
  <c r="N370" i="3"/>
  <c r="O370" i="3" s="1"/>
  <c r="P370" i="3" s="1"/>
  <c r="U370" i="3" s="1"/>
  <c r="N371" i="3"/>
  <c r="O371" i="3" s="1"/>
  <c r="P371" i="3" s="1"/>
  <c r="U371" i="3" s="1"/>
  <c r="N372" i="3"/>
  <c r="O372" i="3" s="1"/>
  <c r="P372" i="3" s="1"/>
  <c r="U372" i="3" s="1"/>
  <c r="N373" i="3"/>
  <c r="O373" i="3" s="1"/>
  <c r="P373" i="3" s="1"/>
  <c r="U373" i="3" s="1"/>
  <c r="N374" i="3"/>
  <c r="O374" i="3" s="1"/>
  <c r="P374" i="3" s="1"/>
  <c r="U374" i="3" s="1"/>
  <c r="N375" i="3"/>
  <c r="O375" i="3" s="1"/>
  <c r="P375" i="3" s="1"/>
  <c r="U375" i="3" s="1"/>
  <c r="N376" i="3"/>
  <c r="O376" i="3" s="1"/>
  <c r="P376" i="3" s="1"/>
  <c r="U376" i="3" s="1"/>
  <c r="N377" i="3"/>
  <c r="O377" i="3" s="1"/>
  <c r="P377" i="3" s="1"/>
  <c r="U377" i="3" s="1"/>
  <c r="N378" i="3"/>
  <c r="O378" i="3" s="1"/>
  <c r="P378" i="3" s="1"/>
  <c r="U378" i="3" s="1"/>
  <c r="N379" i="3"/>
  <c r="O379" i="3" s="1"/>
  <c r="P379" i="3" s="1"/>
  <c r="U379" i="3" s="1"/>
  <c r="N380" i="3"/>
  <c r="O380" i="3" s="1"/>
  <c r="N381" i="3"/>
  <c r="O381" i="3" s="1"/>
  <c r="N382" i="3"/>
  <c r="O382" i="3" s="1"/>
  <c r="N383" i="3"/>
  <c r="O383" i="3" s="1"/>
  <c r="N384" i="3"/>
  <c r="O384" i="3" s="1"/>
  <c r="N385" i="3"/>
  <c r="O385" i="3" s="1"/>
  <c r="N386" i="3"/>
  <c r="O386" i="3" s="1"/>
  <c r="P386" i="3" s="1"/>
  <c r="U386" i="3" s="1"/>
  <c r="N387" i="3"/>
  <c r="O387" i="3" s="1"/>
  <c r="N388" i="3"/>
  <c r="O388" i="3" s="1"/>
  <c r="N389" i="3"/>
  <c r="O389" i="3" s="1"/>
  <c r="P389" i="3" s="1"/>
  <c r="U389" i="3" s="1"/>
  <c r="N390" i="3"/>
  <c r="O390" i="3" s="1"/>
  <c r="P390" i="3" s="1"/>
  <c r="U390" i="3" s="1"/>
  <c r="N391" i="3"/>
  <c r="O391" i="3" s="1"/>
  <c r="P391" i="3" s="1"/>
  <c r="U391" i="3" s="1"/>
  <c r="N392" i="3"/>
  <c r="O392" i="3" s="1"/>
  <c r="P392" i="3" s="1"/>
  <c r="U392" i="3" s="1"/>
  <c r="N393" i="3"/>
  <c r="O393" i="3" s="1"/>
  <c r="P393" i="3" s="1"/>
  <c r="U393" i="3" s="1"/>
  <c r="N394" i="3"/>
  <c r="O394" i="3" s="1"/>
  <c r="P394" i="3" s="1"/>
  <c r="U394" i="3" s="1"/>
  <c r="N395" i="3"/>
  <c r="O395" i="3" s="1"/>
  <c r="P395" i="3" s="1"/>
  <c r="U395" i="3" s="1"/>
  <c r="N396" i="3"/>
  <c r="O396" i="3" s="1"/>
  <c r="P396" i="3" s="1"/>
  <c r="U396" i="3" s="1"/>
  <c r="N397" i="3"/>
  <c r="O397" i="3" s="1"/>
  <c r="P397" i="3" s="1"/>
  <c r="U397" i="3" s="1"/>
  <c r="N398" i="3"/>
  <c r="O398" i="3" s="1"/>
  <c r="P398" i="3" s="1"/>
  <c r="U398" i="3" s="1"/>
  <c r="N399" i="3"/>
  <c r="O399" i="3" s="1"/>
  <c r="P399" i="3" s="1"/>
  <c r="U399" i="3" s="1"/>
  <c r="N400" i="3"/>
  <c r="O400" i="3" s="1"/>
  <c r="P400" i="3" s="1"/>
  <c r="U400" i="3" s="1"/>
  <c r="N401" i="3"/>
  <c r="O401" i="3" s="1"/>
  <c r="P401" i="3" s="1"/>
  <c r="U401" i="3" s="1"/>
  <c r="N402" i="3"/>
  <c r="O402" i="3" s="1"/>
  <c r="P402" i="3" s="1"/>
  <c r="U402" i="3" s="1"/>
  <c r="N403" i="3"/>
  <c r="O403" i="3" s="1"/>
  <c r="P403" i="3" s="1"/>
  <c r="U403" i="3" s="1"/>
  <c r="N404" i="3"/>
  <c r="O404" i="3" s="1"/>
  <c r="P404" i="3" s="1"/>
  <c r="U404" i="3" s="1"/>
  <c r="N405" i="3"/>
  <c r="O405" i="3" s="1"/>
  <c r="P405" i="3" s="1"/>
  <c r="U405" i="3" s="1"/>
  <c r="N406" i="3"/>
  <c r="O406" i="3" s="1"/>
  <c r="P406" i="3" s="1"/>
  <c r="U406" i="3" s="1"/>
  <c r="N407" i="3"/>
  <c r="O407" i="3" s="1"/>
  <c r="P407" i="3" s="1"/>
  <c r="U407" i="3" s="1"/>
  <c r="N408" i="3"/>
  <c r="O408" i="3" s="1"/>
  <c r="N409" i="3"/>
  <c r="O409" i="3" s="1"/>
  <c r="N410" i="3"/>
  <c r="O410" i="3" s="1"/>
  <c r="P410" i="3" s="1"/>
  <c r="U410" i="3" s="1"/>
  <c r="N411" i="3"/>
  <c r="O411" i="3" s="1"/>
  <c r="P411" i="3" s="1"/>
  <c r="U411" i="3" s="1"/>
  <c r="N412" i="3"/>
  <c r="O412" i="3" s="1"/>
  <c r="P412" i="3" s="1"/>
  <c r="U412" i="3" s="1"/>
  <c r="N413" i="3"/>
  <c r="O413" i="3" s="1"/>
  <c r="P413" i="3" s="1"/>
  <c r="U413" i="3" s="1"/>
  <c r="N414" i="3"/>
  <c r="O414" i="3" s="1"/>
  <c r="P414" i="3" s="1"/>
  <c r="U414" i="3" s="1"/>
  <c r="N415" i="3"/>
  <c r="O415" i="3" s="1"/>
  <c r="P415" i="3" s="1"/>
  <c r="U415" i="3" s="1"/>
  <c r="N416" i="3"/>
  <c r="O416" i="3" s="1"/>
  <c r="P416" i="3" s="1"/>
  <c r="U416" i="3" s="1"/>
  <c r="N417" i="3"/>
  <c r="O417" i="3" s="1"/>
  <c r="P417" i="3" s="1"/>
  <c r="U417" i="3" s="1"/>
  <c r="N418" i="3"/>
  <c r="O418" i="3" s="1"/>
  <c r="P418" i="3" s="1"/>
  <c r="U418" i="3" s="1"/>
  <c r="N419" i="3"/>
  <c r="O419" i="3" s="1"/>
  <c r="P419" i="3" s="1"/>
  <c r="U419" i="3" s="1"/>
  <c r="N420" i="3"/>
  <c r="O420" i="3" s="1"/>
  <c r="P420" i="3" s="1"/>
  <c r="U420" i="3" s="1"/>
  <c r="N421" i="3"/>
  <c r="O421" i="3" s="1"/>
  <c r="P421" i="3" s="1"/>
  <c r="U421" i="3" s="1"/>
  <c r="N422" i="3"/>
  <c r="O422" i="3" s="1"/>
  <c r="P422" i="3" s="1"/>
  <c r="U422" i="3" s="1"/>
  <c r="N423" i="3"/>
  <c r="O423" i="3" s="1"/>
  <c r="P423" i="3" s="1"/>
  <c r="U423" i="3" s="1"/>
  <c r="N424" i="3"/>
  <c r="O424" i="3" s="1"/>
  <c r="P424" i="3" s="1"/>
  <c r="U424" i="3" s="1"/>
  <c r="N425" i="3"/>
  <c r="O425" i="3" s="1"/>
  <c r="N426" i="3"/>
  <c r="O426" i="3" s="1"/>
  <c r="N427" i="3"/>
  <c r="O427" i="3" s="1"/>
  <c r="P427" i="3" s="1"/>
  <c r="U427" i="3" s="1"/>
  <c r="N428" i="3"/>
  <c r="O428" i="3" s="1"/>
  <c r="P428" i="3" s="1"/>
  <c r="U428" i="3" s="1"/>
  <c r="N429" i="3"/>
  <c r="O429" i="3" s="1"/>
  <c r="P429" i="3" s="1"/>
  <c r="U429" i="3" s="1"/>
  <c r="N430" i="3"/>
  <c r="O430" i="3" s="1"/>
  <c r="P430" i="3" s="1"/>
  <c r="U430" i="3" s="1"/>
  <c r="N431" i="3"/>
  <c r="O431" i="3" s="1"/>
  <c r="N432" i="3"/>
  <c r="O432" i="3" s="1"/>
  <c r="N433" i="3"/>
  <c r="O433" i="3" s="1"/>
  <c r="N434" i="3"/>
  <c r="O434" i="3" s="1"/>
  <c r="N435" i="3"/>
  <c r="O435" i="3" s="1"/>
  <c r="P435" i="3" s="1"/>
  <c r="U435" i="3" s="1"/>
  <c r="N436" i="3"/>
  <c r="O436" i="3" s="1"/>
  <c r="P436" i="3" s="1"/>
  <c r="U436" i="3" s="1"/>
  <c r="N437" i="3"/>
  <c r="O437" i="3" s="1"/>
  <c r="P437" i="3" s="1"/>
  <c r="U437" i="3" s="1"/>
  <c r="N438" i="3"/>
  <c r="O438" i="3" s="1"/>
  <c r="P438" i="3" s="1"/>
  <c r="U438" i="3" s="1"/>
  <c r="N439" i="3"/>
  <c r="O439" i="3" s="1"/>
  <c r="P439" i="3" s="1"/>
  <c r="U439" i="3" s="1"/>
  <c r="N440" i="3"/>
  <c r="O440" i="3" s="1"/>
  <c r="P440" i="3" s="1"/>
  <c r="U440" i="3" s="1"/>
  <c r="N441" i="3"/>
  <c r="O441" i="3" s="1"/>
  <c r="P441" i="3" s="1"/>
  <c r="U441" i="3" s="1"/>
  <c r="N442" i="3"/>
  <c r="O442" i="3" s="1"/>
  <c r="P442" i="3" s="1"/>
  <c r="U442" i="3" s="1"/>
  <c r="N443" i="3"/>
  <c r="O443" i="3" s="1"/>
  <c r="N444" i="3"/>
  <c r="O444" i="3" s="1"/>
  <c r="N445" i="3"/>
  <c r="O445" i="3" s="1"/>
  <c r="N446" i="3"/>
  <c r="O446" i="3" s="1"/>
  <c r="N447" i="3"/>
  <c r="O447" i="3" s="1"/>
  <c r="P447" i="3" s="1"/>
  <c r="U447" i="3" s="1"/>
  <c r="N448" i="3"/>
  <c r="O448" i="3" s="1"/>
  <c r="N449" i="3"/>
  <c r="O449" i="3" s="1"/>
  <c r="N450" i="3"/>
  <c r="O450" i="3" s="1"/>
  <c r="P450" i="3" s="1"/>
  <c r="U450" i="3" s="1"/>
  <c r="N451" i="3"/>
  <c r="O451" i="3" s="1"/>
  <c r="P451" i="3" s="1"/>
  <c r="U451" i="3" s="1"/>
  <c r="N452" i="3"/>
  <c r="O452" i="3" s="1"/>
  <c r="P452" i="3" s="1"/>
  <c r="U452" i="3" s="1"/>
  <c r="N453" i="3"/>
  <c r="O453" i="3" s="1"/>
  <c r="P453" i="3" s="1"/>
  <c r="U453" i="3" s="1"/>
  <c r="N454" i="3"/>
  <c r="O454" i="3" s="1"/>
  <c r="P454" i="3" s="1"/>
  <c r="U454" i="3" s="1"/>
  <c r="N455" i="3"/>
  <c r="O455" i="3" s="1"/>
  <c r="P455" i="3" s="1"/>
  <c r="U455" i="3" s="1"/>
  <c r="N456" i="3"/>
  <c r="O456" i="3" s="1"/>
  <c r="N457" i="3"/>
  <c r="O457" i="3" s="1"/>
  <c r="N458" i="3"/>
  <c r="O458" i="3" s="1"/>
  <c r="P458" i="3" s="1"/>
  <c r="U458" i="3" s="1"/>
  <c r="N459" i="3"/>
  <c r="O459" i="3" s="1"/>
  <c r="P459" i="3" s="1"/>
  <c r="U459" i="3" s="1"/>
  <c r="N460" i="3"/>
  <c r="O460" i="3" s="1"/>
  <c r="P460" i="3" s="1"/>
  <c r="U460" i="3" s="1"/>
  <c r="N461" i="3"/>
  <c r="O461" i="3" s="1"/>
  <c r="P461" i="3" s="1"/>
  <c r="U461" i="3" s="1"/>
  <c r="N462" i="3"/>
  <c r="O462" i="3" s="1"/>
  <c r="P462" i="3" s="1"/>
  <c r="U462" i="3" s="1"/>
  <c r="N463" i="3"/>
  <c r="O463" i="3" s="1"/>
  <c r="P463" i="3" s="1"/>
  <c r="U463" i="3" s="1"/>
  <c r="N464" i="3"/>
  <c r="O464" i="3" s="1"/>
  <c r="P464" i="3" s="1"/>
  <c r="U464" i="3" s="1"/>
  <c r="N465" i="3"/>
  <c r="O465" i="3" s="1"/>
  <c r="P465" i="3" s="1"/>
  <c r="U465" i="3" s="1"/>
  <c r="N466" i="3"/>
  <c r="O466" i="3" s="1"/>
  <c r="P466" i="3" s="1"/>
  <c r="U466" i="3" s="1"/>
  <c r="N467" i="3"/>
  <c r="O467" i="3" s="1"/>
  <c r="P467" i="3" s="1"/>
  <c r="U467" i="3" s="1"/>
  <c r="N468" i="3"/>
  <c r="O468" i="3" s="1"/>
  <c r="P468" i="3" s="1"/>
  <c r="U468" i="3" s="1"/>
  <c r="N469" i="3"/>
  <c r="O469" i="3" s="1"/>
  <c r="P469" i="3" s="1"/>
  <c r="U469" i="3" s="1"/>
  <c r="N470" i="3"/>
  <c r="O470" i="3" s="1"/>
  <c r="P470" i="3" s="1"/>
  <c r="U470" i="3" s="1"/>
  <c r="N471" i="3"/>
  <c r="O471" i="3" s="1"/>
  <c r="P471" i="3" s="1"/>
  <c r="U471" i="3" s="1"/>
  <c r="N472" i="3"/>
  <c r="O472" i="3" s="1"/>
  <c r="N473" i="3"/>
  <c r="O473" i="3" s="1"/>
  <c r="N474" i="3"/>
  <c r="O474" i="3" s="1"/>
  <c r="N475" i="3"/>
  <c r="O475" i="3" s="1"/>
  <c r="N476" i="3"/>
  <c r="O476" i="3" s="1"/>
  <c r="N477" i="3"/>
  <c r="O477" i="3" s="1"/>
  <c r="N478" i="3"/>
  <c r="O478" i="3" s="1"/>
  <c r="P478" i="3" s="1"/>
  <c r="U478" i="3" s="1"/>
  <c r="N479" i="3"/>
  <c r="O479" i="3" s="1"/>
  <c r="P479" i="3" s="1"/>
  <c r="U479" i="3" s="1"/>
  <c r="N480" i="3"/>
  <c r="O480" i="3" s="1"/>
  <c r="P480" i="3" s="1"/>
  <c r="U480" i="3" s="1"/>
  <c r="N481" i="3"/>
  <c r="O481" i="3" s="1"/>
  <c r="P481" i="3" s="1"/>
  <c r="U481" i="3" s="1"/>
  <c r="N482" i="3"/>
  <c r="O482" i="3" s="1"/>
  <c r="P482" i="3" s="1"/>
  <c r="U482" i="3" s="1"/>
  <c r="N483" i="3"/>
  <c r="O483" i="3" s="1"/>
  <c r="P483" i="3" s="1"/>
  <c r="U483" i="3" s="1"/>
  <c r="N484" i="3"/>
  <c r="O484" i="3" s="1"/>
  <c r="P484" i="3" s="1"/>
  <c r="U484" i="3" s="1"/>
  <c r="N485" i="3"/>
  <c r="O485" i="3" s="1"/>
  <c r="P485" i="3" s="1"/>
  <c r="U485" i="3" s="1"/>
  <c r="N486" i="3"/>
  <c r="O486" i="3" s="1"/>
  <c r="P486" i="3" s="1"/>
  <c r="U486" i="3" s="1"/>
  <c r="N487" i="3"/>
  <c r="O487" i="3" s="1"/>
  <c r="P487" i="3" s="1"/>
  <c r="U487" i="3" s="1"/>
  <c r="N488" i="3"/>
  <c r="O488" i="3" s="1"/>
  <c r="P488" i="3" s="1"/>
  <c r="U488" i="3" s="1"/>
  <c r="N489" i="3"/>
  <c r="O489" i="3" s="1"/>
  <c r="P489" i="3" s="1"/>
  <c r="U489" i="3" s="1"/>
  <c r="N490" i="3"/>
  <c r="O490" i="3" s="1"/>
  <c r="P490" i="3" s="1"/>
  <c r="U490" i="3" s="1"/>
  <c r="N491" i="3"/>
  <c r="O491" i="3" s="1"/>
  <c r="P491" i="3" s="1"/>
  <c r="U491" i="3" s="1"/>
  <c r="N492" i="3"/>
  <c r="O492" i="3" s="1"/>
  <c r="P492" i="3" s="1"/>
  <c r="U492" i="3" s="1"/>
  <c r="N493" i="3"/>
  <c r="O493" i="3" s="1"/>
  <c r="P493" i="3" s="1"/>
  <c r="U493" i="3" s="1"/>
  <c r="N494" i="3"/>
  <c r="O494" i="3" s="1"/>
  <c r="P494" i="3" s="1"/>
  <c r="U494" i="3" s="1"/>
  <c r="N495" i="3"/>
  <c r="O495" i="3" s="1"/>
  <c r="P495" i="3" s="1"/>
  <c r="U495" i="3" s="1"/>
  <c r="N496" i="3"/>
  <c r="O496" i="3" s="1"/>
  <c r="P496" i="3" s="1"/>
  <c r="U496" i="3" s="1"/>
  <c r="N497" i="3"/>
  <c r="O497" i="3" s="1"/>
  <c r="P497" i="3" s="1"/>
  <c r="U497" i="3" s="1"/>
  <c r="N498" i="3"/>
  <c r="O498" i="3" s="1"/>
  <c r="P498" i="3" s="1"/>
  <c r="U498" i="3" s="1"/>
  <c r="N499" i="3"/>
  <c r="O499" i="3" s="1"/>
  <c r="P499" i="3" s="1"/>
  <c r="U499" i="3" s="1"/>
  <c r="N500" i="3"/>
  <c r="O500" i="3" s="1"/>
  <c r="P500" i="3" s="1"/>
  <c r="U500" i="3" s="1"/>
  <c r="N501" i="3"/>
  <c r="O501" i="3" s="1"/>
  <c r="P501" i="3" s="1"/>
  <c r="U501" i="3" s="1"/>
  <c r="N502" i="3"/>
  <c r="O502" i="3" s="1"/>
  <c r="P502" i="3" s="1"/>
  <c r="U502" i="3" s="1"/>
  <c r="N503" i="3"/>
  <c r="O503" i="3" s="1"/>
  <c r="P503" i="3" s="1"/>
  <c r="U503" i="3" s="1"/>
  <c r="N504" i="3"/>
  <c r="O504" i="3" s="1"/>
  <c r="P504" i="3" s="1"/>
  <c r="U504" i="3" s="1"/>
  <c r="N505" i="3"/>
  <c r="O505" i="3" s="1"/>
  <c r="P505" i="3" s="1"/>
  <c r="U505" i="3" s="1"/>
  <c r="N506" i="3"/>
  <c r="O506" i="3" s="1"/>
  <c r="P506" i="3" s="1"/>
  <c r="U506" i="3" s="1"/>
  <c r="N507" i="3"/>
  <c r="O507" i="3" s="1"/>
  <c r="P507" i="3" s="1"/>
  <c r="U507" i="3" s="1"/>
  <c r="N508" i="3"/>
  <c r="O508" i="3" s="1"/>
  <c r="P508" i="3" s="1"/>
  <c r="U508" i="3" s="1"/>
  <c r="N509" i="3"/>
  <c r="O509" i="3" s="1"/>
  <c r="P509" i="3" s="1"/>
  <c r="U509" i="3" s="1"/>
  <c r="N510" i="3"/>
  <c r="O510" i="3" s="1"/>
  <c r="P510" i="3" s="1"/>
  <c r="U510" i="3" s="1"/>
  <c r="N511" i="3"/>
  <c r="O511" i="3" s="1"/>
  <c r="P511" i="3" s="1"/>
  <c r="U511" i="3" s="1"/>
  <c r="N512" i="3"/>
  <c r="O512" i="3" s="1"/>
  <c r="P512" i="3" s="1"/>
  <c r="U512" i="3" s="1"/>
  <c r="N513" i="3"/>
  <c r="O513" i="3" s="1"/>
  <c r="N514" i="3"/>
  <c r="O514" i="3" s="1"/>
  <c r="N515" i="3"/>
  <c r="O515" i="3" s="1"/>
  <c r="P515" i="3" s="1"/>
  <c r="U515" i="3" s="1"/>
  <c r="N516" i="3"/>
  <c r="O516" i="3" s="1"/>
  <c r="P516" i="3" s="1"/>
  <c r="U516" i="3" s="1"/>
  <c r="N517" i="3"/>
  <c r="O517" i="3" s="1"/>
  <c r="P517" i="3" s="1"/>
  <c r="U517" i="3" s="1"/>
  <c r="N518" i="3"/>
  <c r="O518" i="3" s="1"/>
  <c r="P518" i="3" s="1"/>
  <c r="U518" i="3" s="1"/>
  <c r="N519" i="3"/>
  <c r="O519" i="3" s="1"/>
  <c r="P519" i="3" s="1"/>
  <c r="U519" i="3" s="1"/>
  <c r="N520" i="3"/>
  <c r="O520" i="3" s="1"/>
  <c r="P520" i="3" s="1"/>
  <c r="U520" i="3" s="1"/>
  <c r="N521" i="3"/>
  <c r="O521" i="3" s="1"/>
  <c r="P521" i="3" s="1"/>
  <c r="U521" i="3" s="1"/>
  <c r="N522" i="3"/>
  <c r="O522" i="3" s="1"/>
  <c r="P522" i="3" s="1"/>
  <c r="U522" i="3" s="1"/>
  <c r="N523" i="3"/>
  <c r="O523" i="3" s="1"/>
  <c r="P523" i="3" s="1"/>
  <c r="U523" i="3" s="1"/>
  <c r="N524" i="3"/>
  <c r="O524" i="3" s="1"/>
  <c r="P524" i="3" s="1"/>
  <c r="U524" i="3" s="1"/>
  <c r="N525" i="3"/>
  <c r="O525" i="3" s="1"/>
  <c r="P525" i="3" s="1"/>
  <c r="U525" i="3" s="1"/>
  <c r="N526" i="3"/>
  <c r="O526" i="3" s="1"/>
  <c r="P526" i="3" s="1"/>
  <c r="U526" i="3" s="1"/>
  <c r="N527" i="3"/>
  <c r="O527" i="3" s="1"/>
  <c r="P527" i="3" s="1"/>
  <c r="U527" i="3" s="1"/>
  <c r="N528" i="3"/>
  <c r="O528" i="3" s="1"/>
  <c r="P528" i="3" s="1"/>
  <c r="U528" i="3" s="1"/>
  <c r="N529" i="3"/>
  <c r="O529" i="3" s="1"/>
  <c r="P529" i="3" s="1"/>
  <c r="U529" i="3" s="1"/>
  <c r="N530" i="3"/>
  <c r="O530" i="3" s="1"/>
  <c r="P530" i="3" s="1"/>
  <c r="U530" i="3" s="1"/>
  <c r="N531" i="3"/>
  <c r="O531" i="3" s="1"/>
  <c r="P531" i="3" s="1"/>
  <c r="U531" i="3" s="1"/>
  <c r="N532" i="3"/>
  <c r="O532" i="3" s="1"/>
  <c r="P532" i="3" s="1"/>
  <c r="U532" i="3" s="1"/>
  <c r="N533" i="3"/>
  <c r="O533" i="3" s="1"/>
  <c r="P533" i="3" s="1"/>
  <c r="U533" i="3" s="1"/>
  <c r="N534" i="3"/>
  <c r="O534" i="3" s="1"/>
  <c r="P534" i="3" s="1"/>
  <c r="U534" i="3" s="1"/>
  <c r="N535" i="3"/>
  <c r="O535" i="3" s="1"/>
  <c r="P535" i="3" s="1"/>
  <c r="U535" i="3" s="1"/>
  <c r="N536" i="3"/>
  <c r="O536" i="3" s="1"/>
  <c r="P536" i="3" s="1"/>
  <c r="U536" i="3" s="1"/>
  <c r="N537" i="3"/>
  <c r="O537" i="3" s="1"/>
  <c r="P537" i="3" s="1"/>
  <c r="U537" i="3" s="1"/>
  <c r="N538" i="3"/>
  <c r="O538" i="3" s="1"/>
  <c r="P538" i="3" s="1"/>
  <c r="U538" i="3" s="1"/>
  <c r="N539" i="3"/>
  <c r="O539" i="3" s="1"/>
  <c r="P539" i="3" s="1"/>
  <c r="U539" i="3" s="1"/>
  <c r="N540" i="3"/>
  <c r="O540" i="3" s="1"/>
  <c r="N541" i="3"/>
  <c r="O541" i="3" s="1"/>
  <c r="N542" i="3"/>
  <c r="O542" i="3" s="1"/>
  <c r="N543" i="3"/>
  <c r="O543" i="3" s="1"/>
  <c r="P543" i="3" s="1"/>
  <c r="U543" i="3" s="1"/>
  <c r="N544" i="3"/>
  <c r="O544" i="3" s="1"/>
  <c r="P544" i="3" s="1"/>
  <c r="U544" i="3" s="1"/>
  <c r="N545" i="3"/>
  <c r="O545" i="3" s="1"/>
  <c r="P545" i="3" s="1"/>
  <c r="U545" i="3" s="1"/>
  <c r="N546" i="3"/>
  <c r="O546" i="3" s="1"/>
  <c r="P546" i="3" s="1"/>
  <c r="U546" i="3" s="1"/>
  <c r="N547" i="3"/>
  <c r="O547" i="3" s="1"/>
  <c r="P547" i="3" s="1"/>
  <c r="U547" i="3" s="1"/>
  <c r="N549" i="3"/>
  <c r="O549" i="3" s="1"/>
  <c r="P549" i="3" s="1"/>
  <c r="U549" i="3" s="1"/>
  <c r="N550" i="3"/>
  <c r="O550" i="3" s="1"/>
  <c r="P550" i="3" s="1"/>
  <c r="U550" i="3" s="1"/>
  <c r="N551" i="3"/>
  <c r="O551" i="3" s="1"/>
  <c r="P551" i="3" s="1"/>
  <c r="U551" i="3" s="1"/>
  <c r="N552" i="3"/>
  <c r="O552" i="3" s="1"/>
  <c r="P552" i="3" s="1"/>
  <c r="U552" i="3" s="1"/>
  <c r="N553" i="3"/>
  <c r="O553" i="3" s="1"/>
  <c r="P553" i="3" s="1"/>
  <c r="U553" i="3" s="1"/>
  <c r="N554" i="3"/>
  <c r="O554" i="3" s="1"/>
  <c r="P554" i="3" s="1"/>
  <c r="U554" i="3" s="1"/>
  <c r="N555" i="3"/>
  <c r="O555" i="3" s="1"/>
  <c r="P555" i="3" s="1"/>
  <c r="U555" i="3" s="1"/>
  <c r="N556" i="3"/>
  <c r="O556" i="3" s="1"/>
  <c r="P556" i="3" s="1"/>
  <c r="U556" i="3" s="1"/>
  <c r="N557" i="3"/>
  <c r="O557" i="3" s="1"/>
  <c r="P557" i="3" s="1"/>
  <c r="U557" i="3" s="1"/>
  <c r="N558" i="3"/>
  <c r="O558" i="3" s="1"/>
  <c r="P558" i="3" s="1"/>
  <c r="U558" i="3" s="1"/>
  <c r="N559" i="3"/>
  <c r="O559" i="3" s="1"/>
  <c r="P559" i="3" s="1"/>
  <c r="U559" i="3" s="1"/>
  <c r="N560" i="3"/>
  <c r="O560" i="3" s="1"/>
  <c r="P560" i="3" s="1"/>
  <c r="U560" i="3" s="1"/>
  <c r="N561" i="3"/>
  <c r="O561" i="3" s="1"/>
  <c r="P561" i="3" s="1"/>
  <c r="U561" i="3" s="1"/>
  <c r="N562" i="3"/>
  <c r="O562" i="3" s="1"/>
  <c r="P562" i="3" s="1"/>
  <c r="U562" i="3" s="1"/>
  <c r="N563" i="3"/>
  <c r="O563" i="3" s="1"/>
  <c r="P563" i="3" s="1"/>
  <c r="U563" i="3" s="1"/>
  <c r="N564" i="3"/>
  <c r="O564" i="3" s="1"/>
  <c r="P564" i="3" s="1"/>
  <c r="U564" i="3" s="1"/>
  <c r="N565" i="3"/>
  <c r="O565" i="3" s="1"/>
  <c r="P565" i="3" s="1"/>
  <c r="U565" i="3" s="1"/>
  <c r="N566" i="3"/>
  <c r="O566" i="3" s="1"/>
  <c r="P566" i="3" s="1"/>
  <c r="U566" i="3" s="1"/>
  <c r="N567" i="3"/>
  <c r="O567" i="3" s="1"/>
  <c r="P567" i="3" s="1"/>
  <c r="U567" i="3" s="1"/>
  <c r="N568" i="3"/>
  <c r="O568" i="3" s="1"/>
  <c r="P568" i="3" s="1"/>
  <c r="U568" i="3" s="1"/>
  <c r="N569" i="3"/>
  <c r="O569" i="3" s="1"/>
  <c r="P569" i="3" s="1"/>
  <c r="U569" i="3" s="1"/>
  <c r="N570" i="3"/>
  <c r="O570" i="3" s="1"/>
  <c r="P570" i="3" s="1"/>
  <c r="U570" i="3" s="1"/>
  <c r="N571" i="3"/>
  <c r="O571" i="3" s="1"/>
  <c r="P571" i="3" s="1"/>
  <c r="U571" i="3" s="1"/>
  <c r="N572" i="3"/>
  <c r="O572" i="3" s="1"/>
  <c r="P572" i="3" s="1"/>
  <c r="U572" i="3" s="1"/>
  <c r="N573" i="3"/>
  <c r="O573" i="3" s="1"/>
  <c r="P573" i="3" s="1"/>
  <c r="U573" i="3" s="1"/>
  <c r="N574" i="3"/>
  <c r="O574" i="3" s="1"/>
  <c r="P574" i="3" s="1"/>
  <c r="U574" i="3" s="1"/>
  <c r="N575" i="3"/>
  <c r="O575" i="3" s="1"/>
  <c r="P575" i="3" s="1"/>
  <c r="U575" i="3" s="1"/>
  <c r="N576" i="3"/>
  <c r="O576" i="3" s="1"/>
  <c r="P576" i="3" s="1"/>
  <c r="U576" i="3" s="1"/>
  <c r="N577" i="3"/>
  <c r="O577" i="3" s="1"/>
  <c r="P577" i="3" s="1"/>
  <c r="U577" i="3" s="1"/>
  <c r="N578" i="3"/>
  <c r="O578" i="3" s="1"/>
  <c r="P578" i="3" s="1"/>
  <c r="U578" i="3" s="1"/>
  <c r="N579" i="3"/>
  <c r="O579" i="3" s="1"/>
  <c r="P579" i="3" s="1"/>
  <c r="U579" i="3" s="1"/>
  <c r="N580" i="3"/>
  <c r="O580" i="3" s="1"/>
  <c r="N581" i="3"/>
  <c r="O581" i="3" s="1"/>
  <c r="N582" i="3"/>
  <c r="O582" i="3" s="1"/>
  <c r="P582" i="3" s="1"/>
  <c r="U582" i="3" s="1"/>
  <c r="N583" i="3"/>
  <c r="O583" i="3" s="1"/>
  <c r="P583" i="3" s="1"/>
  <c r="U583" i="3" s="1"/>
  <c r="N584" i="3"/>
  <c r="O584" i="3" s="1"/>
  <c r="P584" i="3" s="1"/>
  <c r="U584" i="3" s="1"/>
  <c r="N585" i="3"/>
  <c r="O585" i="3" s="1"/>
  <c r="N586" i="3"/>
  <c r="O586" i="3" s="1"/>
  <c r="P586" i="3" s="1"/>
  <c r="U586" i="3" s="1"/>
  <c r="N587" i="3"/>
  <c r="O587" i="3" s="1"/>
  <c r="P587" i="3" s="1"/>
  <c r="U587" i="3" s="1"/>
  <c r="N588" i="3"/>
  <c r="O588" i="3" s="1"/>
  <c r="P588" i="3" s="1"/>
  <c r="U588" i="3" s="1"/>
  <c r="N589" i="3"/>
  <c r="O589" i="3" s="1"/>
  <c r="P589" i="3" s="1"/>
  <c r="U589" i="3" s="1"/>
  <c r="N590" i="3"/>
  <c r="O590" i="3" s="1"/>
  <c r="P590" i="3" s="1"/>
  <c r="U590" i="3" s="1"/>
  <c r="N591" i="3"/>
  <c r="O591" i="3" s="1"/>
  <c r="P591" i="3" s="1"/>
  <c r="U591" i="3" s="1"/>
  <c r="N592" i="3"/>
  <c r="O592" i="3" s="1"/>
  <c r="P592" i="3" s="1"/>
  <c r="U592" i="3" s="1"/>
  <c r="N593" i="3"/>
  <c r="O593" i="3" s="1"/>
  <c r="P593" i="3" s="1"/>
  <c r="U593" i="3" s="1"/>
  <c r="N594" i="3"/>
  <c r="O594" i="3" s="1"/>
  <c r="P594" i="3" s="1"/>
  <c r="U594" i="3" s="1"/>
  <c r="N595" i="3"/>
  <c r="O595" i="3" s="1"/>
  <c r="P595" i="3" s="1"/>
  <c r="U595" i="3" s="1"/>
  <c r="N596" i="3"/>
  <c r="O596" i="3" s="1"/>
  <c r="P596" i="3" s="1"/>
  <c r="U596" i="3" s="1"/>
  <c r="N597" i="3"/>
  <c r="O597" i="3" s="1"/>
  <c r="P597" i="3" s="1"/>
  <c r="U597" i="3" s="1"/>
  <c r="N598" i="3"/>
  <c r="O598" i="3" s="1"/>
  <c r="P598" i="3" s="1"/>
  <c r="U598" i="3" s="1"/>
  <c r="N599" i="3"/>
  <c r="O599" i="3" s="1"/>
  <c r="P599" i="3" s="1"/>
  <c r="U599" i="3" s="1"/>
  <c r="N600" i="3"/>
  <c r="O600" i="3" s="1"/>
  <c r="P600" i="3" s="1"/>
  <c r="U600" i="3" s="1"/>
  <c r="N601" i="3"/>
  <c r="O601" i="3" s="1"/>
  <c r="P601" i="3" s="1"/>
  <c r="U601" i="3" s="1"/>
  <c r="N602" i="3"/>
  <c r="O602" i="3" s="1"/>
  <c r="N603" i="3"/>
  <c r="O603" i="3" s="1"/>
  <c r="N604" i="3"/>
  <c r="O604" i="3" s="1"/>
  <c r="P604" i="3" s="1"/>
  <c r="U604" i="3" s="1"/>
  <c r="N605" i="3"/>
  <c r="O605" i="3" s="1"/>
  <c r="P605" i="3" s="1"/>
  <c r="U605" i="3" s="1"/>
  <c r="N606" i="3"/>
  <c r="O606" i="3" s="1"/>
  <c r="P606" i="3" s="1"/>
  <c r="U606" i="3" s="1"/>
  <c r="N607" i="3"/>
  <c r="O607" i="3" s="1"/>
  <c r="P607" i="3" s="1"/>
  <c r="U607" i="3" s="1"/>
  <c r="N608" i="3"/>
  <c r="O608" i="3" s="1"/>
  <c r="P608" i="3" s="1"/>
  <c r="U608" i="3" s="1"/>
  <c r="N609" i="3"/>
  <c r="O609" i="3" s="1"/>
  <c r="P609" i="3" s="1"/>
  <c r="U609" i="3" s="1"/>
  <c r="N610" i="3"/>
  <c r="O610" i="3" s="1"/>
  <c r="P610" i="3" s="1"/>
  <c r="U610" i="3" s="1"/>
  <c r="N611" i="3"/>
  <c r="O611" i="3" s="1"/>
  <c r="P611" i="3" s="1"/>
  <c r="U611" i="3" s="1"/>
  <c r="N612" i="3"/>
  <c r="O612" i="3" s="1"/>
  <c r="P612" i="3" s="1"/>
  <c r="U612" i="3" s="1"/>
  <c r="N613" i="3"/>
  <c r="O613" i="3" s="1"/>
  <c r="P613" i="3" s="1"/>
  <c r="U613" i="3" s="1"/>
  <c r="N614" i="3"/>
  <c r="O614" i="3" s="1"/>
  <c r="P614" i="3" s="1"/>
  <c r="U614" i="3" s="1"/>
  <c r="N615" i="3"/>
  <c r="O615" i="3" s="1"/>
  <c r="P615" i="3" s="1"/>
  <c r="U615" i="3" s="1"/>
  <c r="N616" i="3"/>
  <c r="O616" i="3" s="1"/>
  <c r="P616" i="3" s="1"/>
  <c r="U616" i="3" s="1"/>
  <c r="N617" i="3"/>
  <c r="O617" i="3" s="1"/>
  <c r="P617" i="3" s="1"/>
  <c r="U617" i="3" s="1"/>
  <c r="N618" i="3"/>
  <c r="O618" i="3" s="1"/>
  <c r="P618" i="3" s="1"/>
  <c r="U618" i="3" s="1"/>
  <c r="N619" i="3"/>
  <c r="O619" i="3" s="1"/>
  <c r="P619" i="3" s="1"/>
  <c r="U619" i="3" s="1"/>
  <c r="N620" i="3"/>
  <c r="O620" i="3" s="1"/>
  <c r="P620" i="3" s="1"/>
  <c r="U620" i="3" s="1"/>
  <c r="N621" i="3"/>
  <c r="O621" i="3" s="1"/>
  <c r="P621" i="3" s="1"/>
  <c r="U621" i="3" s="1"/>
  <c r="N622" i="3"/>
  <c r="O622" i="3" s="1"/>
  <c r="P622" i="3" s="1"/>
  <c r="U622" i="3" s="1"/>
  <c r="N623" i="3"/>
  <c r="O623" i="3" s="1"/>
  <c r="P623" i="3" s="1"/>
  <c r="U623" i="3" s="1"/>
  <c r="N624" i="3"/>
  <c r="O624" i="3" s="1"/>
  <c r="P624" i="3" s="1"/>
  <c r="U624" i="3" s="1"/>
  <c r="O625" i="3"/>
  <c r="N626" i="3"/>
  <c r="O626" i="3" s="1"/>
  <c r="N627" i="3"/>
  <c r="O627" i="3" s="1"/>
  <c r="N628" i="3"/>
  <c r="O628" i="3" s="1"/>
  <c r="N629" i="3"/>
  <c r="O629" i="3" s="1"/>
  <c r="P629" i="3" s="1"/>
  <c r="U629" i="3" s="1"/>
  <c r="N630" i="3"/>
  <c r="O630" i="3" s="1"/>
  <c r="P630" i="3" s="1"/>
  <c r="U630" i="3" s="1"/>
  <c r="N631" i="3"/>
  <c r="O631" i="3" s="1"/>
  <c r="P631" i="3" s="1"/>
  <c r="U631" i="3" s="1"/>
  <c r="N632" i="3"/>
  <c r="O632" i="3" s="1"/>
  <c r="P632" i="3" s="1"/>
  <c r="U632" i="3" s="1"/>
  <c r="N633" i="3"/>
  <c r="O633" i="3" s="1"/>
  <c r="P633" i="3" s="1"/>
  <c r="U633" i="3" s="1"/>
  <c r="N634" i="3"/>
  <c r="O634" i="3" s="1"/>
  <c r="P634" i="3" s="1"/>
  <c r="U634" i="3" s="1"/>
  <c r="N635" i="3"/>
  <c r="O635" i="3" s="1"/>
  <c r="P635" i="3" s="1"/>
  <c r="U635" i="3" s="1"/>
  <c r="N636" i="3"/>
  <c r="O636" i="3" s="1"/>
  <c r="P636" i="3" s="1"/>
  <c r="U636" i="3" s="1"/>
  <c r="N637" i="3"/>
  <c r="O637" i="3" s="1"/>
  <c r="P637" i="3" s="1"/>
  <c r="U637" i="3" s="1"/>
  <c r="N638" i="3"/>
  <c r="O638" i="3" s="1"/>
  <c r="P638" i="3" s="1"/>
  <c r="U638" i="3" s="1"/>
  <c r="N639" i="3"/>
  <c r="O639" i="3" s="1"/>
  <c r="P639" i="3" s="1"/>
  <c r="U639" i="3" s="1"/>
  <c r="N640" i="3"/>
  <c r="O640" i="3" s="1"/>
  <c r="P640" i="3" s="1"/>
  <c r="U640" i="3" s="1"/>
  <c r="N641" i="3"/>
  <c r="O641" i="3" s="1"/>
  <c r="P641" i="3" s="1"/>
  <c r="U641" i="3" s="1"/>
  <c r="N642" i="3"/>
  <c r="O642" i="3" s="1"/>
  <c r="P642" i="3" s="1"/>
  <c r="U642" i="3" s="1"/>
  <c r="N643" i="3"/>
  <c r="O643" i="3" s="1"/>
  <c r="P643" i="3" s="1"/>
  <c r="U643" i="3" s="1"/>
  <c r="N644" i="3"/>
  <c r="O644" i="3" s="1"/>
  <c r="P644" i="3" s="1"/>
  <c r="U644" i="3" s="1"/>
  <c r="N645" i="3"/>
  <c r="O645" i="3" s="1"/>
  <c r="P645" i="3" s="1"/>
  <c r="U645" i="3" s="1"/>
  <c r="N646" i="3"/>
  <c r="O646" i="3" s="1"/>
  <c r="P646" i="3" s="1"/>
  <c r="U646" i="3" s="1"/>
  <c r="N647" i="3"/>
  <c r="O647" i="3" s="1"/>
  <c r="P647" i="3" s="1"/>
  <c r="U647" i="3" s="1"/>
  <c r="N648" i="3"/>
  <c r="O648" i="3" s="1"/>
  <c r="P648" i="3" s="1"/>
  <c r="U648" i="3" s="1"/>
  <c r="N649" i="3"/>
  <c r="O649" i="3" s="1"/>
  <c r="P649" i="3" s="1"/>
  <c r="U649" i="3" s="1"/>
  <c r="N650" i="3"/>
  <c r="O650" i="3" s="1"/>
  <c r="P650" i="3" s="1"/>
  <c r="U650" i="3" s="1"/>
  <c r="F667" i="3" l="1"/>
  <c r="P118" i="3"/>
  <c r="U118" i="3" s="1"/>
  <c r="P209" i="3"/>
  <c r="U209" i="3" s="1"/>
  <c r="P183" i="3"/>
  <c r="U183" i="3" s="1"/>
  <c r="P157" i="3"/>
  <c r="U157" i="3" s="1"/>
  <c r="P5" i="3"/>
  <c r="U5" i="3" s="1"/>
  <c r="P628" i="3"/>
  <c r="U628" i="3" s="1"/>
  <c r="P627" i="3"/>
  <c r="U627" i="3" s="1"/>
  <c r="P626" i="3"/>
  <c r="U626" i="3" s="1"/>
  <c r="P625" i="3"/>
  <c r="U625" i="3" s="1"/>
  <c r="P514" i="3"/>
  <c r="U514" i="3" s="1"/>
  <c r="P513" i="3"/>
  <c r="U513" i="3" s="1"/>
  <c r="P457" i="3"/>
  <c r="U457" i="3" s="1"/>
  <c r="P456" i="3"/>
  <c r="U456" i="3" s="1"/>
  <c r="P385" i="3"/>
  <c r="U385" i="3" s="1"/>
  <c r="P384" i="3"/>
  <c r="U384" i="3" s="1"/>
  <c r="P383" i="3"/>
  <c r="U383" i="3" s="1"/>
  <c r="P382" i="3"/>
  <c r="U382" i="3" s="1"/>
  <c r="P381" i="3"/>
  <c r="U381" i="3" s="1"/>
  <c r="P380" i="3"/>
  <c r="U380" i="3" s="1"/>
  <c r="P168" i="3"/>
  <c r="U168" i="3" s="1"/>
  <c r="N164" i="3"/>
  <c r="O164" i="3" s="1"/>
  <c r="P164" i="3" s="1"/>
  <c r="U164" i="3" s="1"/>
  <c r="P215" i="3"/>
  <c r="U215" i="3" s="1"/>
  <c r="P214" i="3"/>
  <c r="U214" i="3" s="1"/>
  <c r="P213" i="3"/>
  <c r="U213" i="3" s="1"/>
  <c r="P212" i="3"/>
  <c r="U212" i="3" s="1"/>
  <c r="P169" i="3"/>
  <c r="U169" i="3" s="1"/>
  <c r="P143" i="3"/>
  <c r="U143" i="3" s="1"/>
  <c r="P144" i="3"/>
  <c r="U144" i="3" s="1"/>
  <c r="P62" i="3"/>
  <c r="U62" i="3" s="1"/>
  <c r="P449" i="3"/>
  <c r="U449" i="3" s="1"/>
  <c r="P448" i="3"/>
  <c r="U448" i="3" s="1"/>
  <c r="P434" i="3"/>
  <c r="U434" i="3" s="1"/>
  <c r="P433" i="3"/>
  <c r="U433" i="3" s="1"/>
  <c r="P388" i="3"/>
  <c r="U388" i="3" s="1"/>
  <c r="P387" i="3"/>
  <c r="U387" i="3" s="1"/>
  <c r="P182" i="3"/>
  <c r="U182" i="3" s="1"/>
  <c r="P181" i="3"/>
  <c r="U181" i="3" s="1"/>
  <c r="P120" i="3"/>
  <c r="U120" i="3" s="1"/>
  <c r="P121" i="3"/>
  <c r="U121" i="3" s="1"/>
  <c r="P84" i="3"/>
  <c r="U84" i="3" s="1"/>
  <c r="P85" i="3"/>
  <c r="U85" i="3" s="1"/>
  <c r="P31" i="3"/>
  <c r="U31" i="3" s="1"/>
  <c r="P32" i="3"/>
  <c r="U32" i="3" s="1"/>
  <c r="P29" i="3"/>
  <c r="U29" i="3" s="1"/>
  <c r="P30" i="3"/>
  <c r="U30" i="3" s="1"/>
  <c r="P581" i="3"/>
  <c r="U581" i="3" s="1"/>
  <c r="P580" i="3"/>
  <c r="U580" i="3" s="1"/>
  <c r="P548" i="3"/>
  <c r="U548" i="3" s="1"/>
  <c r="P477" i="3"/>
  <c r="U477" i="3" s="1"/>
  <c r="P476" i="3"/>
  <c r="U476" i="3" s="1"/>
  <c r="P475" i="3"/>
  <c r="U475" i="3" s="1"/>
  <c r="P474" i="3"/>
  <c r="U474" i="3" s="1"/>
  <c r="P473" i="3"/>
  <c r="U473" i="3" s="1"/>
  <c r="P472" i="3"/>
  <c r="U472" i="3" s="1"/>
  <c r="P432" i="3"/>
  <c r="U432" i="3" s="1"/>
  <c r="P431" i="3"/>
  <c r="U431" i="3" s="1"/>
  <c r="P350" i="3"/>
  <c r="U350" i="3" s="1"/>
  <c r="P349" i="3"/>
  <c r="U349" i="3" s="1"/>
  <c r="P348" i="3"/>
  <c r="U348" i="3" s="1"/>
  <c r="P347" i="3"/>
  <c r="U347" i="3" s="1"/>
  <c r="P310" i="3"/>
  <c r="U310" i="3" s="1"/>
  <c r="P309" i="3"/>
  <c r="U309" i="3" s="1"/>
  <c r="P272" i="3"/>
  <c r="U272" i="3" s="1"/>
  <c r="P271" i="3"/>
  <c r="U271" i="3" s="1"/>
  <c r="P249" i="3"/>
  <c r="U249" i="3" s="1"/>
  <c r="P248" i="3"/>
  <c r="U248" i="3" s="1"/>
  <c r="P236" i="3"/>
  <c r="U236" i="3" s="1"/>
  <c r="P208" i="3"/>
  <c r="U208" i="3" s="1"/>
  <c r="P207" i="3"/>
  <c r="U207" i="3" s="1"/>
  <c r="P158" i="3"/>
  <c r="U158" i="3" s="1"/>
  <c r="P159" i="3"/>
  <c r="U159" i="3" s="1"/>
  <c r="P136" i="3"/>
  <c r="U136" i="3" s="1"/>
  <c r="P135" i="3"/>
  <c r="U135" i="3" s="1"/>
  <c r="P89" i="3"/>
  <c r="U89" i="3" s="1"/>
  <c r="P90" i="3"/>
  <c r="U90" i="3" s="1"/>
  <c r="P87" i="3"/>
  <c r="U87" i="3" s="1"/>
  <c r="P88" i="3"/>
  <c r="U88" i="3" s="1"/>
  <c r="P444" i="3"/>
  <c r="U444" i="3" s="1"/>
  <c r="P443" i="3"/>
  <c r="U443" i="3" s="1"/>
  <c r="P446" i="3"/>
  <c r="U446" i="3" s="1"/>
  <c r="P445" i="3"/>
  <c r="U445" i="3" s="1"/>
  <c r="P426" i="3"/>
  <c r="U426" i="3" s="1"/>
  <c r="P425" i="3"/>
  <c r="U425" i="3" s="1"/>
  <c r="P409" i="3"/>
  <c r="U409" i="3" s="1"/>
  <c r="P408" i="3"/>
  <c r="U408" i="3" s="1"/>
  <c r="P364" i="3"/>
  <c r="U364" i="3" s="1"/>
  <c r="P363" i="3"/>
  <c r="U363" i="3" s="1"/>
  <c r="P91" i="3"/>
  <c r="U91" i="3" s="1"/>
  <c r="P92" i="3"/>
  <c r="U92" i="3" s="1"/>
  <c r="P53" i="3"/>
  <c r="U53" i="3" s="1"/>
  <c r="P54" i="3"/>
  <c r="U54" i="3" s="1"/>
  <c r="P41" i="3"/>
  <c r="U41" i="3" s="1"/>
  <c r="P42" i="3"/>
  <c r="U42" i="3" s="1"/>
  <c r="P603" i="3"/>
  <c r="U603" i="3" s="1"/>
  <c r="P602" i="3"/>
  <c r="U602" i="3" s="1"/>
  <c r="P585" i="3"/>
  <c r="U585" i="3" s="1"/>
  <c r="P542" i="3"/>
  <c r="U542" i="3" s="1"/>
  <c r="P541" i="3"/>
  <c r="U541" i="3" s="1"/>
  <c r="P540" i="3"/>
  <c r="U540" i="3" s="1"/>
  <c r="P262" i="3"/>
  <c r="U262" i="3" s="1"/>
  <c r="P261" i="3"/>
  <c r="U261" i="3" s="1"/>
  <c r="P247" i="3"/>
  <c r="U247" i="3" s="1"/>
  <c r="P246" i="3"/>
  <c r="U246" i="3" s="1"/>
  <c r="P245" i="3"/>
  <c r="U245" i="3" s="1"/>
  <c r="P244" i="3"/>
  <c r="U244" i="3" s="1"/>
  <c r="P222" i="3"/>
  <c r="U222" i="3" s="1"/>
  <c r="P221" i="3"/>
  <c r="U221" i="3" s="1"/>
  <c r="P186" i="3"/>
  <c r="U186" i="3" s="1"/>
  <c r="P185" i="3"/>
  <c r="U185" i="3" s="1"/>
  <c r="X77" i="3"/>
  <c r="X78" i="3"/>
  <c r="X79" i="3"/>
  <c r="X80" i="3"/>
  <c r="X81" i="3"/>
  <c r="X82" i="3"/>
  <c r="X83" i="3"/>
  <c r="X84" i="3"/>
  <c r="X85" i="3"/>
  <c r="X87" i="3"/>
  <c r="X88" i="3"/>
  <c r="X89" i="3"/>
  <c r="X90" i="3"/>
  <c r="X91" i="3"/>
  <c r="X92" i="3"/>
  <c r="X93" i="3"/>
  <c r="X94" i="3"/>
  <c r="X95" i="3"/>
  <c r="X96" i="3"/>
  <c r="X97" i="3"/>
  <c r="X98" i="3"/>
  <c r="X99" i="3"/>
  <c r="X100" i="3"/>
  <c r="X101" i="3"/>
  <c r="X102" i="3"/>
  <c r="X103" i="3"/>
  <c r="X104" i="3"/>
  <c r="O4" i="3" l="1"/>
  <c r="P4" i="3"/>
  <c r="U4" i="3" s="1"/>
</calcChain>
</file>

<file path=xl/sharedStrings.xml><?xml version="1.0" encoding="utf-8"?>
<sst xmlns="http://schemas.openxmlformats.org/spreadsheetml/2006/main" count="243" uniqueCount="94">
  <si>
    <t>TERMINAL VILLAHERMOSA</t>
  </si>
  <si>
    <t>TERMINAL DOS BOCAS</t>
  </si>
  <si>
    <t>FECHA</t>
  </si>
  <si>
    <t>MAGNA</t>
  </si>
  <si>
    <t>PREMIUM</t>
  </si>
  <si>
    <t>DIESEL</t>
  </si>
  <si>
    <t>ENERGIA MAS</t>
  </si>
  <si>
    <t>BURGOS</t>
  </si>
  <si>
    <t>ECNORSA</t>
  </si>
  <si>
    <t>BP OLMECA I</t>
  </si>
  <si>
    <t>BP SAMARIA</t>
  </si>
  <si>
    <t>BP OLMECA II</t>
  </si>
  <si>
    <t>BP TABSCOOB</t>
  </si>
  <si>
    <t>BP PLAYAS</t>
  </si>
  <si>
    <t>BP PARADOR</t>
  </si>
  <si>
    <t>BP DEPORTIVA</t>
  </si>
  <si>
    <t>BP PARAÍSO</t>
  </si>
  <si>
    <t>BP LOS MONOS</t>
  </si>
  <si>
    <t>BP NIÑOS TRAVIESOS</t>
  </si>
  <si>
    <t>BP TEAPA</t>
  </si>
  <si>
    <t>BP OCUILTZAPOTLÁN</t>
  </si>
  <si>
    <t xml:space="preserve">MAJAHUA </t>
  </si>
  <si>
    <t>PERMISO CRE: PL/3108/EXP/ES/2015</t>
  </si>
  <si>
    <t>PERMISO CRE: PL/4687/EXP/ES/2015</t>
  </si>
  <si>
    <t>PERMISO CRE: PL/4685/EXP/ES/2015</t>
  </si>
  <si>
    <t>PERMISO CRE: PL/4683/EXP/ES/2015</t>
  </si>
  <si>
    <t>PERMISO CRE: PL/4682/EXP/ES/2015</t>
  </si>
  <si>
    <t>PERMISO CRE: PL/4680/EXP/ES/2015</t>
  </si>
  <si>
    <t>PERMISO CRE: PL/4696/EXP/ES/2015</t>
  </si>
  <si>
    <t>PERMISO CRE: PL/20282/EXP/ES/2017</t>
  </si>
  <si>
    <t>PERMISO CRE: PL/20343/EXP/ES/2017</t>
  </si>
  <si>
    <t>PERMISO CRE: PL/21985/EXP/ES/2018</t>
  </si>
  <si>
    <t>PERMISO CRE: PL/22373/EXP/ES/2019</t>
  </si>
  <si>
    <t>PERMISO CRE: PL/22578/EXP/ES/2019</t>
  </si>
  <si>
    <t>PERMISO CRE: PL/24736/EXP/ES/2022</t>
  </si>
  <si>
    <t>REGULAR</t>
  </si>
  <si>
    <t>DIÉSEL</t>
  </si>
  <si>
    <t xml:space="preserve"> </t>
  </si>
  <si>
    <t>.</t>
  </si>
  <si>
    <r>
      <rPr>
        <b/>
        <sz val="11"/>
        <color theme="1"/>
        <rFont val="Montserrat"/>
      </rPr>
      <t>Tabla 1.</t>
    </r>
    <r>
      <rPr>
        <sz val="11"/>
        <color theme="1"/>
        <rFont val="Montserrat"/>
      </rPr>
      <t xml:space="preserve"> Costo de fletes.</t>
    </r>
  </si>
  <si>
    <t>TABLA DE DESCUENTO PEMEX</t>
  </si>
  <si>
    <t>Estaciones</t>
  </si>
  <si>
    <t>VHSA</t>
  </si>
  <si>
    <t>DOS BOCAS</t>
  </si>
  <si>
    <t>GLENCORE</t>
  </si>
  <si>
    <t>1 al 15 de agosto 2024</t>
  </si>
  <si>
    <t>Olmeca I</t>
  </si>
  <si>
    <t>PRODUCTO</t>
  </si>
  <si>
    <t>ENERGIAMAS</t>
  </si>
  <si>
    <t>Tabscoob</t>
  </si>
  <si>
    <t>Playas del Rosario</t>
  </si>
  <si>
    <t>Olmeca II</t>
  </si>
  <si>
    <t>Parador</t>
  </si>
  <si>
    <t xml:space="preserve"> 16 de agosto en adelante 2024</t>
  </si>
  <si>
    <t>SamarÍa</t>
  </si>
  <si>
    <t>Los Monos</t>
  </si>
  <si>
    <t>Paraiso</t>
  </si>
  <si>
    <t>Teapa</t>
  </si>
  <si>
    <t>Ocuiltzapotlán</t>
  </si>
  <si>
    <t>Niños Traviesos</t>
  </si>
  <si>
    <t>Proveedor</t>
  </si>
  <si>
    <t>IEPS 2024</t>
  </si>
  <si>
    <t>IEPS $cpl</t>
  </si>
  <si>
    <t>Deportiva</t>
  </si>
  <si>
    <t>Majahua</t>
  </si>
  <si>
    <t>MES</t>
  </si>
  <si>
    <t>Seleccione Provedor</t>
  </si>
  <si>
    <t>Estación</t>
  </si>
  <si>
    <t>Fecha de Facturacion</t>
  </si>
  <si>
    <t>BOL / Remisión</t>
  </si>
  <si>
    <t>TAR</t>
  </si>
  <si>
    <t>Producto</t>
  </si>
  <si>
    <t>IEPS</t>
  </si>
  <si>
    <t>Vol Facturado 20°</t>
  </si>
  <si>
    <t>Precio de Venta Publico</t>
  </si>
  <si>
    <t>Costo de Terminal</t>
  </si>
  <si>
    <t>Flete</t>
  </si>
  <si>
    <t>Descuento Pemex</t>
  </si>
  <si>
    <t>Precio menos descuento</t>
  </si>
  <si>
    <t>Costo de Litro</t>
  </si>
  <si>
    <t>Margen Total</t>
  </si>
  <si>
    <t>Margen</t>
  </si>
  <si>
    <t>Costo Pipa</t>
  </si>
  <si>
    <t>Compra</t>
  </si>
  <si>
    <t>Diferencia Compra</t>
  </si>
  <si>
    <t xml:space="preserve">                  </t>
  </si>
  <si>
    <t>COMPRAS COMBUSTIBLE</t>
  </si>
  <si>
    <t>PROMEDIO MARGEN</t>
  </si>
  <si>
    <t>ESTACIONES</t>
  </si>
  <si>
    <t>Regular</t>
  </si>
  <si>
    <t>Premium</t>
  </si>
  <si>
    <t>Diesel</t>
  </si>
  <si>
    <t>Total</t>
  </si>
  <si>
    <t>Olmeca 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</si>
</sst>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164" formatCode="&quot;$&quot;#,##0.00;\-&quot;$&quot;#,##0.00"/>
    <numFmt numFmtId="165" formatCode="_-* #,##0.00_-;\-* #,##0.00_-;_-* &quot;-&quot;??_-;_-@_-"/>
    <numFmt numFmtId="166" formatCode="#,##0.00000000"/>
    <numFmt numFmtId="167" formatCode="#,##0.0000000"/>
    <numFmt numFmtId="168" formatCode="0.0000000"/>
    <numFmt numFmtId="169" formatCode="0.00000000"/>
    <numFmt numFmtId="170" formatCode="&quot;$&quot;#,##0.00"/>
    <numFmt numFmtId="171" formatCode="_-* #,##0.00_-;\-* #,##0.00_-;_-* &quot;-&quot;??_-;_-@"/>
    <numFmt numFmtId="172" formatCode="#,##0.00000"/>
    <numFmt numFmtId="173" formatCode="_(* #,##0.00000_);_(* \(#,##0.00000\);_(* &quot;-&quot;??_);_(@_)"/>
    <numFmt numFmtId="174" formatCode="0.00000"/>
    <numFmt numFmtId="175" formatCode="_-&quot;$&quot;* #,##0.00_-;\-&quot;$&quot;* #,##0.00_-;_-&quot;$&quot;* &quot;-&quot;??_-;_-@"/>
    <numFmt numFmtId="176" formatCode="_(* #,##0.000_);_(* \(#,##0.000\);_(* &quot;-&quot;??_);_(@_)"/>
    <numFmt numFmtId="177" formatCode="d/m/yyyy"/>
    <numFmt numFmtId="178" formatCode="#,##0.000"/>
    <numFmt numFmtId="179" formatCode="&quot;$&quot;#,##0.00000;\-&quot;$&quot;#,##0.00000"/>
    <numFmt numFmtId="180" formatCode="_(* #,##0.0000_);_(* \(#,##0.0000\);_(* &quot;-&quot;??_);_(@_)"/>
  </numFmts>
  <fonts count="25">
    <font>
      <sz val="11"/>
      <color theme="1"/>
      <name val="Calibri"/>
      <scheme val="minor"/>
    </font>
    <font>
      <sz val="11"/>
      <color theme="1"/>
      <name val="Arial"/>
    </font>
    <font>
      <sz val="11"/>
      <color rgb="FFFFFFFF"/>
      <name val="Arial"/>
    </font>
    <font>
      <sz val="11"/>
      <color rgb="FF000000"/>
      <name val="Arial"/>
    </font>
    <font>
      <sz val="11"/>
      <color theme="1"/>
      <name val="Calibri"/>
      <scheme val="minor"/>
    </font>
    <font>
      <sz val="11"/>
      <color rgb="FF000000"/>
      <name val="Calibri"/>
      <scheme val="minor"/>
    </font>
    <font>
      <sz val="12"/>
      <color rgb="FFFFFFFF"/>
      <name val="Arial"/>
    </font>
    <font>
      <sz val="9"/>
      <color theme="1"/>
      <name val="Arial"/>
    </font>
    <font>
      <sz val="11"/>
      <color theme="1"/>
      <name val="Calibri"/>
    </font>
    <font>
      <b/>
      <sz val="11"/>
      <color theme="1"/>
      <name val="Calibri"/>
    </font>
    <font>
      <b/>
      <sz val="10"/>
      <color theme="1"/>
      <name val="Calibri"/>
    </font>
    <font>
      <sz val="11"/>
      <name val="Calibri"/>
    </font>
    <font>
      <b/>
      <sz val="11"/>
      <color theme="1"/>
      <name val="Calibri"/>
      <scheme val="minor"/>
    </font>
    <font>
      <sz val="10"/>
      <color theme="1"/>
      <name val="Calibri"/>
    </font>
    <font>
      <sz val="11"/>
      <color rgb="FF000000"/>
      <name val="Calibri"/>
    </font>
    <font>
      <sz val="11"/>
      <color theme="1"/>
      <name val="Montserrat"/>
    </font>
    <font>
      <b/>
      <sz val="11"/>
      <color theme="1"/>
      <name val="Montserrat"/>
    </font>
    <font>
      <b/>
      <sz val="11"/>
      <color theme="1"/>
      <name val="Arial"/>
    </font>
    <font>
      <b/>
      <sz val="10"/>
      <color theme="1"/>
      <name val="Arial"/>
    </font>
    <font>
      <b/>
      <sz val="9"/>
      <color theme="1"/>
      <name val="Calibri"/>
    </font>
    <font>
      <sz val="9"/>
      <color theme="1"/>
      <name val="Calibri"/>
    </font>
    <font>
      <sz val="9"/>
      <color rgb="FF000000"/>
      <name val="Calibri"/>
    </font>
    <font>
      <b/>
      <sz val="9"/>
      <name val="Calibri"/>
    </font>
    <font>
      <sz val="10"/>
      <name val="Arial"/>
    </font>
    <font>
      <sz val="9"/>
      <name val="Calibri"/>
    </font>
  </fonts>
  <fills count="22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  <fill>
      <patternFill patternType="solid">
        <fgColor rgb="FF179536"/>
        <bgColor rgb="FF179536"/>
      </patternFill>
    </fill>
    <fill>
      <patternFill patternType="solid">
        <fgColor rgb="FF68CF2A"/>
        <bgColor rgb="FF68CF2A"/>
      </patternFill>
    </fill>
    <fill>
      <patternFill patternType="solid">
        <fgColor theme="0"/>
        <bgColor theme="0"/>
      </patternFill>
    </fill>
    <fill>
      <patternFill patternType="solid">
        <fgColor rgb="FFF2F2F2"/>
        <bgColor rgb="FFF2F2F2"/>
      </patternFill>
    </fill>
    <fill>
      <patternFill patternType="solid">
        <fgColor rgb="FFFBE4D5"/>
        <bgColor rgb="FFFBE4D5"/>
      </patternFill>
    </fill>
    <fill>
      <patternFill patternType="solid">
        <fgColor rgb="FFDEEAF6"/>
        <bgColor rgb="FFDEEAF6"/>
      </patternFill>
    </fill>
    <fill>
      <patternFill patternType="solid">
        <fgColor rgb="FFFFE598"/>
        <bgColor rgb="FFFFE598"/>
      </patternFill>
    </fill>
    <fill>
      <patternFill patternType="solid">
        <fgColor rgb="FF92D050"/>
        <bgColor rgb="FF92D050"/>
      </patternFill>
    </fill>
    <fill>
      <patternFill patternType="solid">
        <fgColor rgb="FFFEF2CB"/>
        <bgColor rgb="FFFEF2CB"/>
      </patternFill>
    </fill>
    <fill>
      <patternFill patternType="solid">
        <fgColor rgb="FF00FFFF"/>
        <bgColor rgb="FF00FFFF"/>
      </patternFill>
    </fill>
    <fill>
      <patternFill patternType="solid">
        <fgColor rgb="FFE2EFD9"/>
        <bgColor rgb="FFE2EFD9"/>
      </patternFill>
    </fill>
    <fill>
      <patternFill patternType="solid">
        <fgColor rgb="FF99CC00"/>
        <bgColor rgb="FF99CC00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A5A5A5"/>
      </top>
      <bottom/>
      <diagonal/>
    </border>
    <border>
      <left/>
      <right style="thin">
        <color rgb="FFA5A5A5"/>
      </right>
      <top style="thin">
        <color rgb="FFA5A5A5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A5A5A5"/>
      </right>
      <top/>
      <bottom/>
      <diagonal/>
    </border>
    <border>
      <left style="thin">
        <color rgb="FFA5A5A5"/>
      </left>
      <right style="thin">
        <color rgb="FFA5A5A5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/>
      <bottom style="thin">
        <color rgb="FF7F7F7F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7F7F7F"/>
      </left>
      <right/>
      <top style="thin">
        <color rgb="FF7F7F7F"/>
      </top>
      <bottom/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/>
      <bottom/>
      <diagonal/>
    </border>
    <border>
      <left style="medium">
        <color rgb="FF000000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CCCCCC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51">
    <xf numFmtId="0" fontId="0" fillId="0" borderId="0" xfId="0"/>
    <xf numFmtId="0" fontId="1" fillId="0" borderId="0" xfId="0" applyFont="1"/>
    <xf numFmtId="0" fontId="2" fillId="4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14" fontId="3" fillId="6" borderId="0" xfId="0" applyNumberFormat="1" applyFont="1" applyFill="1" applyAlignment="1">
      <alignment horizontal="right"/>
    </xf>
    <xf numFmtId="166" fontId="1" fillId="0" borderId="0" xfId="0" applyNumberFormat="1" applyFont="1" applyAlignment="1">
      <alignment horizontal="right"/>
    </xf>
    <xf numFmtId="0" fontId="2" fillId="7" borderId="0" xfId="0" applyFont="1" applyFill="1" applyAlignment="1">
      <alignment horizontal="center"/>
    </xf>
    <xf numFmtId="0" fontId="2" fillId="8" borderId="0" xfId="0" applyFont="1" applyFill="1" applyAlignment="1">
      <alignment horizontal="center"/>
    </xf>
    <xf numFmtId="0" fontId="4" fillId="6" borderId="0" xfId="0" applyFont="1" applyFill="1"/>
    <xf numFmtId="14" fontId="1" fillId="6" borderId="0" xfId="0" applyNumberFormat="1" applyFont="1" applyFill="1" applyAlignment="1">
      <alignment horizontal="right"/>
    </xf>
    <xf numFmtId="0" fontId="8" fillId="6" borderId="0" xfId="0" applyFont="1" applyFill="1" applyAlignment="1">
      <alignment horizontal="right"/>
    </xf>
    <xf numFmtId="0" fontId="4" fillId="9" borderId="0" xfId="0" applyFont="1" applyFill="1"/>
    <xf numFmtId="0" fontId="12" fillId="14" borderId="0" xfId="0" applyFont="1" applyFill="1" applyAlignment="1">
      <alignment horizontal="center"/>
    </xf>
    <xf numFmtId="0" fontId="13" fillId="9" borderId="7" xfId="0" applyFont="1" applyFill="1" applyBorder="1" applyAlignment="1">
      <alignment horizontal="left" vertical="center"/>
    </xf>
    <xf numFmtId="3" fontId="13" fillId="9" borderId="7" xfId="0" applyNumberFormat="1" applyFont="1" applyFill="1" applyBorder="1" applyAlignment="1">
      <alignment horizontal="center" vertical="center"/>
    </xf>
    <xf numFmtId="0" fontId="13" fillId="9" borderId="7" xfId="0" applyFont="1" applyFill="1" applyBorder="1" applyAlignment="1">
      <alignment horizontal="center" vertical="center"/>
    </xf>
    <xf numFmtId="170" fontId="13" fillId="9" borderId="7" xfId="0" applyNumberFormat="1" applyFont="1" applyFill="1" applyBorder="1" applyAlignment="1">
      <alignment horizontal="center" vertical="center"/>
    </xf>
    <xf numFmtId="170" fontId="13" fillId="9" borderId="8" xfId="0" applyNumberFormat="1" applyFont="1" applyFill="1" applyBorder="1" applyAlignment="1">
      <alignment horizontal="center" vertical="center"/>
    </xf>
    <xf numFmtId="164" fontId="13" fillId="15" borderId="7" xfId="0" applyNumberFormat="1" applyFont="1" applyFill="1" applyBorder="1" applyAlignment="1">
      <alignment horizontal="center" vertical="center"/>
    </xf>
    <xf numFmtId="170" fontId="10" fillId="15" borderId="9" xfId="0" applyNumberFormat="1" applyFont="1" applyFill="1" applyBorder="1" applyAlignment="1">
      <alignment horizontal="center" vertical="center"/>
    </xf>
    <xf numFmtId="170" fontId="10" fillId="16" borderId="9" xfId="0" applyNumberFormat="1" applyFont="1" applyFill="1" applyBorder="1" applyAlignment="1">
      <alignment horizontal="center" vertical="center"/>
    </xf>
    <xf numFmtId="170" fontId="13" fillId="17" borderId="10" xfId="0" applyNumberFormat="1" applyFont="1" applyFill="1" applyBorder="1" applyAlignment="1">
      <alignment horizontal="center" vertical="center"/>
    </xf>
    <xf numFmtId="170" fontId="13" fillId="17" borderId="9" xfId="0" applyNumberFormat="1" applyFont="1" applyFill="1" applyBorder="1" applyAlignment="1">
      <alignment horizontal="center" vertical="center"/>
    </xf>
    <xf numFmtId="170" fontId="13" fillId="6" borderId="9" xfId="0" applyNumberFormat="1" applyFont="1" applyFill="1" applyBorder="1" applyAlignment="1">
      <alignment horizontal="center" vertical="center"/>
    </xf>
    <xf numFmtId="170" fontId="14" fillId="0" borderId="0" xfId="0" applyNumberFormat="1" applyFont="1" applyAlignment="1">
      <alignment horizontal="right"/>
    </xf>
    <xf numFmtId="170" fontId="10" fillId="16" borderId="11" xfId="0" applyNumberFormat="1" applyFont="1" applyFill="1" applyBorder="1" applyAlignment="1">
      <alignment horizontal="center" vertical="center"/>
    </xf>
    <xf numFmtId="0" fontId="13" fillId="9" borderId="13" xfId="0" applyFont="1" applyFill="1" applyBorder="1" applyAlignment="1">
      <alignment horizontal="left" vertical="center"/>
    </xf>
    <xf numFmtId="0" fontId="8" fillId="9" borderId="0" xfId="0" applyFont="1" applyFill="1" applyAlignment="1">
      <alignment horizontal="center" vertical="center"/>
    </xf>
    <xf numFmtId="164" fontId="13" fillId="6" borderId="0" xfId="0" applyNumberFormat="1" applyFont="1" applyFill="1" applyAlignment="1">
      <alignment horizontal="center" vertical="center"/>
    </xf>
    <xf numFmtId="170" fontId="10" fillId="6" borderId="0" xfId="0" applyNumberFormat="1" applyFont="1" applyFill="1" applyAlignment="1">
      <alignment horizontal="center" vertical="center"/>
    </xf>
    <xf numFmtId="0" fontId="4" fillId="0" borderId="0" xfId="0" applyFont="1"/>
    <xf numFmtId="0" fontId="17" fillId="9" borderId="7" xfId="0" applyFont="1" applyFill="1" applyBorder="1" applyAlignment="1">
      <alignment horizontal="center" vertical="center" wrapText="1"/>
    </xf>
    <xf numFmtId="0" fontId="0" fillId="9" borderId="7" xfId="0" applyFill="1" applyBorder="1" applyAlignment="1">
      <alignment vertical="center"/>
    </xf>
    <xf numFmtId="174" fontId="0" fillId="0" borderId="7" xfId="0" applyNumberFormat="1" applyBorder="1" applyAlignment="1">
      <alignment vertical="center"/>
    </xf>
    <xf numFmtId="0" fontId="0" fillId="9" borderId="7" xfId="0" applyFill="1" applyBorder="1" applyAlignment="1">
      <alignment horizontal="center"/>
    </xf>
    <xf numFmtId="0" fontId="19" fillId="18" borderId="16" xfId="0" applyFont="1" applyFill="1" applyBorder="1" applyAlignment="1">
      <alignment horizontal="center" wrapText="1"/>
    </xf>
    <xf numFmtId="0" fontId="19" fillId="18" borderId="17" xfId="0" applyFont="1" applyFill="1" applyBorder="1" applyAlignment="1">
      <alignment horizontal="center" wrapText="1"/>
    </xf>
    <xf numFmtId="0" fontId="20" fillId="0" borderId="18" xfId="0" applyFont="1" applyBorder="1" applyAlignment="1">
      <alignment wrapText="1"/>
    </xf>
    <xf numFmtId="0" fontId="20" fillId="0" borderId="19" xfId="0" applyFont="1" applyBorder="1" applyAlignment="1">
      <alignment horizontal="right" wrapText="1"/>
    </xf>
    <xf numFmtId="0" fontId="21" fillId="0" borderId="18" xfId="0" applyFont="1" applyBorder="1" applyAlignment="1">
      <alignment wrapText="1"/>
    </xf>
    <xf numFmtId="0" fontId="21" fillId="0" borderId="19" xfId="0" applyFont="1" applyBorder="1" applyAlignment="1">
      <alignment horizontal="right" wrapText="1"/>
    </xf>
    <xf numFmtId="177" fontId="5" fillId="0" borderId="0" xfId="0" applyNumberFormat="1" applyFont="1"/>
    <xf numFmtId="0" fontId="9" fillId="9" borderId="15" xfId="0" applyFont="1" applyFill="1" applyBorder="1"/>
    <xf numFmtId="0" fontId="8" fillId="9" borderId="15" xfId="0" applyFont="1" applyFill="1" applyBorder="1"/>
    <xf numFmtId="0" fontId="8" fillId="9" borderId="15" xfId="0" applyFont="1" applyFill="1" applyBorder="1" applyAlignment="1">
      <alignment horizontal="center" vertical="center"/>
    </xf>
    <xf numFmtId="164" fontId="8" fillId="9" borderId="15" xfId="0" applyNumberFormat="1" applyFont="1" applyFill="1" applyBorder="1"/>
    <xf numFmtId="170" fontId="8" fillId="9" borderId="15" xfId="0" applyNumberFormat="1" applyFont="1" applyFill="1" applyBorder="1"/>
    <xf numFmtId="0" fontId="8" fillId="9" borderId="15" xfId="0" applyFont="1" applyFill="1" applyBorder="1" applyAlignment="1">
      <alignment horizontal="center" vertical="center" wrapText="1"/>
    </xf>
    <xf numFmtId="0" fontId="9" fillId="14" borderId="15" xfId="0" applyFont="1" applyFill="1" applyBorder="1" applyAlignment="1">
      <alignment horizontal="center" vertical="center"/>
    </xf>
    <xf numFmtId="2" fontId="9" fillId="14" borderId="15" xfId="0" applyNumberFormat="1" applyFont="1" applyFill="1" applyBorder="1" applyAlignment="1">
      <alignment horizontal="center"/>
    </xf>
    <xf numFmtId="171" fontId="0" fillId="9" borderId="15" xfId="0" applyNumberFormat="1" applyFill="1" applyBorder="1" applyAlignment="1">
      <alignment vertical="center"/>
    </xf>
    <xf numFmtId="0" fontId="0" fillId="9" borderId="15" xfId="0" applyFill="1" applyBorder="1" applyAlignment="1">
      <alignment vertical="center"/>
    </xf>
    <xf numFmtId="14" fontId="13" fillId="9" borderId="14" xfId="0" applyNumberFormat="1" applyFont="1" applyFill="1" applyBorder="1" applyAlignment="1">
      <alignment horizontal="center" vertical="center"/>
    </xf>
    <xf numFmtId="171" fontId="8" fillId="9" borderId="15" xfId="0" applyNumberFormat="1" applyFont="1" applyFill="1" applyBorder="1"/>
    <xf numFmtId="2" fontId="8" fillId="9" borderId="15" xfId="0" applyNumberFormat="1" applyFont="1" applyFill="1" applyBorder="1"/>
    <xf numFmtId="0" fontId="0" fillId="9" borderId="15" xfId="0" applyFill="1" applyBorder="1"/>
    <xf numFmtId="0" fontId="0" fillId="9" borderId="15" xfId="0" applyFill="1" applyBorder="1" applyAlignment="1">
      <alignment horizontal="center" vertical="center" wrapText="1"/>
    </xf>
    <xf numFmtId="173" fontId="0" fillId="9" borderId="15" xfId="0" applyNumberFormat="1" applyFill="1" applyBorder="1"/>
    <xf numFmtId="173" fontId="0" fillId="9" borderId="15" xfId="0" applyNumberFormat="1" applyFill="1" applyBorder="1" applyAlignment="1">
      <alignment horizontal="center"/>
    </xf>
    <xf numFmtId="175" fontId="0" fillId="9" borderId="15" xfId="0" applyNumberFormat="1" applyFill="1" applyBorder="1"/>
    <xf numFmtId="176" fontId="0" fillId="9" borderId="15" xfId="0" applyNumberFormat="1" applyFill="1" applyBorder="1" applyAlignment="1">
      <alignment horizontal="center"/>
    </xf>
    <xf numFmtId="1" fontId="0" fillId="9" borderId="15" xfId="0" applyNumberFormat="1" applyFill="1" applyBorder="1" applyAlignment="1">
      <alignment horizontal="center"/>
    </xf>
    <xf numFmtId="166" fontId="0" fillId="0" borderId="0" xfId="0" applyNumberFormat="1"/>
    <xf numFmtId="0" fontId="1" fillId="0" borderId="0" xfId="0" applyFont="1" applyAlignment="1">
      <alignment horizontal="right"/>
    </xf>
    <xf numFmtId="0" fontId="4" fillId="19" borderId="0" xfId="0" applyFont="1" applyFill="1"/>
    <xf numFmtId="167" fontId="1" fillId="0" borderId="0" xfId="0" applyNumberFormat="1" applyFont="1"/>
    <xf numFmtId="168" fontId="1" fillId="0" borderId="0" xfId="0" applyNumberFormat="1" applyFont="1"/>
    <xf numFmtId="169" fontId="1" fillId="0" borderId="0" xfId="0" applyNumberFormat="1" applyFont="1"/>
    <xf numFmtId="166" fontId="1" fillId="0" borderId="0" xfId="0" applyNumberFormat="1" applyFont="1"/>
    <xf numFmtId="0" fontId="2" fillId="4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20" borderId="0" xfId="0" applyFont="1" applyFill="1" applyAlignment="1">
      <alignment horizontal="right"/>
    </xf>
    <xf numFmtId="0" fontId="1" fillId="20" borderId="0" xfId="0" applyFont="1" applyFill="1" applyAlignment="1">
      <alignment horizontal="right"/>
    </xf>
    <xf numFmtId="0" fontId="11" fillId="0" borderId="15" xfId="0" applyFont="1" applyBorder="1"/>
    <xf numFmtId="0" fontId="23" fillId="0" borderId="0" xfId="0" applyFont="1"/>
    <xf numFmtId="165" fontId="22" fillId="18" borderId="7" xfId="0" applyNumberFormat="1" applyFont="1" applyFill="1" applyBorder="1" applyAlignment="1">
      <alignment horizontal="center" vertical="center" wrapText="1"/>
    </xf>
    <xf numFmtId="165" fontId="22" fillId="18" borderId="1" xfId="0" applyNumberFormat="1" applyFont="1" applyFill="1" applyBorder="1" applyAlignment="1">
      <alignment horizontal="center" vertical="center" wrapText="1"/>
    </xf>
    <xf numFmtId="178" fontId="0" fillId="0" borderId="7" xfId="0" applyNumberFormat="1" applyBorder="1"/>
    <xf numFmtId="0" fontId="19" fillId="19" borderId="15" xfId="0" applyFont="1" applyFill="1" applyBorder="1" applyAlignment="1">
      <alignment horizontal="center" wrapText="1"/>
    </xf>
    <xf numFmtId="0" fontId="20" fillId="19" borderId="15" xfId="0" applyFont="1" applyFill="1" applyBorder="1" applyAlignment="1">
      <alignment wrapText="1"/>
    </xf>
    <xf numFmtId="0" fontId="20" fillId="19" borderId="15" xfId="0" applyFont="1" applyFill="1" applyBorder="1" applyAlignment="1">
      <alignment horizontal="right" wrapText="1"/>
    </xf>
    <xf numFmtId="0" fontId="21" fillId="19" borderId="15" xfId="0" applyFont="1" applyFill="1" applyBorder="1" applyAlignment="1">
      <alignment wrapText="1"/>
    </xf>
    <xf numFmtId="0" fontId="21" fillId="19" borderId="15" xfId="0" applyFont="1" applyFill="1" applyBorder="1" applyAlignment="1">
      <alignment horizontal="right" wrapText="1"/>
    </xf>
    <xf numFmtId="0" fontId="12" fillId="9" borderId="15" xfId="0" applyFont="1" applyFill="1" applyBorder="1" applyAlignment="1">
      <alignment horizontal="center" vertical="center" wrapText="1"/>
    </xf>
    <xf numFmtId="0" fontId="18" fillId="21" borderId="7" xfId="0" applyFont="1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/>
    </xf>
    <xf numFmtId="0" fontId="13" fillId="9" borderId="15" xfId="0" applyFont="1" applyFill="1" applyBorder="1" applyAlignment="1">
      <alignment horizontal="center" vertical="center"/>
    </xf>
    <xf numFmtId="0" fontId="13" fillId="9" borderId="22" xfId="0" applyFont="1" applyFill="1" applyBorder="1" applyAlignment="1">
      <alignment horizontal="center" vertical="center"/>
    </xf>
    <xf numFmtId="172" fontId="13" fillId="15" borderId="12" xfId="0" applyNumberFormat="1" applyFont="1" applyFill="1" applyBorder="1" applyAlignment="1">
      <alignment horizontal="center" vertical="center"/>
    </xf>
    <xf numFmtId="0" fontId="17" fillId="9" borderId="22" xfId="0" applyFont="1" applyFill="1" applyBorder="1" applyAlignment="1">
      <alignment horizontal="center" vertical="center" wrapText="1"/>
    </xf>
    <xf numFmtId="174" fontId="0" fillId="0" borderId="22" xfId="0" applyNumberFormat="1" applyBorder="1" applyAlignment="1">
      <alignment vertical="center"/>
    </xf>
    <xf numFmtId="179" fontId="13" fillId="15" borderId="9" xfId="0" applyNumberFormat="1" applyFont="1" applyFill="1" applyBorder="1" applyAlignment="1">
      <alignment horizontal="center" vertical="center"/>
    </xf>
    <xf numFmtId="0" fontId="22" fillId="18" borderId="0" xfId="0" applyFont="1" applyFill="1" applyAlignment="1">
      <alignment wrapText="1"/>
    </xf>
    <xf numFmtId="0" fontId="0" fillId="9" borderId="7" xfId="0" applyFill="1" applyBorder="1"/>
    <xf numFmtId="0" fontId="0" fillId="0" borderId="15" xfId="0" applyBorder="1"/>
    <xf numFmtId="165" fontId="24" fillId="0" borderId="22" xfId="0" applyNumberFormat="1" applyFont="1" applyBorder="1" applyAlignment="1">
      <alignment wrapText="1"/>
    </xf>
    <xf numFmtId="178" fontId="0" fillId="0" borderId="15" xfId="0" applyNumberFormat="1" applyBorder="1"/>
    <xf numFmtId="10" fontId="24" fillId="0" borderId="22" xfId="0" applyNumberFormat="1" applyFont="1" applyBorder="1" applyAlignment="1">
      <alignment wrapText="1"/>
    </xf>
    <xf numFmtId="0" fontId="0" fillId="9" borderId="15" xfId="0" applyFill="1" applyBorder="1" applyAlignment="1">
      <alignment horizontal="center"/>
    </xf>
    <xf numFmtId="0" fontId="21" fillId="0" borderId="15" xfId="0" applyFont="1" applyBorder="1" applyAlignment="1">
      <alignment wrapText="1"/>
    </xf>
    <xf numFmtId="0" fontId="21" fillId="0" borderId="15" xfId="0" applyFont="1" applyBorder="1" applyAlignment="1">
      <alignment horizontal="right" wrapText="1"/>
    </xf>
    <xf numFmtId="0" fontId="10" fillId="9" borderId="15" xfId="0" applyFont="1" applyFill="1" applyBorder="1" applyAlignment="1">
      <alignment horizontal="left" vertical="center"/>
    </xf>
    <xf numFmtId="0" fontId="13" fillId="9" borderId="15" xfId="0" applyFont="1" applyFill="1" applyBorder="1" applyAlignment="1">
      <alignment horizontal="left" vertical="center"/>
    </xf>
    <xf numFmtId="0" fontId="10" fillId="9" borderId="7" xfId="0" applyFont="1" applyFill="1" applyBorder="1" applyAlignment="1">
      <alignment horizontal="left" vertical="center"/>
    </xf>
    <xf numFmtId="0" fontId="12" fillId="0" borderId="15" xfId="0" applyFont="1" applyBorder="1"/>
    <xf numFmtId="0" fontId="10" fillId="0" borderId="15" xfId="0" applyFont="1" applyBorder="1" applyAlignment="1">
      <alignment horizontal="left" vertical="center"/>
    </xf>
    <xf numFmtId="0" fontId="13" fillId="0" borderId="15" xfId="0" applyFont="1" applyBorder="1" applyAlignment="1">
      <alignment horizontal="center" vertical="center"/>
    </xf>
    <xf numFmtId="0" fontId="9" fillId="0" borderId="15" xfId="0" applyFont="1" applyBorder="1"/>
    <xf numFmtId="3" fontId="10" fillId="0" borderId="15" xfId="0" applyNumberFormat="1" applyFont="1" applyBorder="1" applyAlignment="1">
      <alignment horizontal="left" vertical="center"/>
    </xf>
    <xf numFmtId="0" fontId="13" fillId="0" borderId="15" xfId="0" applyFont="1" applyBorder="1" applyAlignment="1">
      <alignment horizontal="left" vertical="center"/>
    </xf>
    <xf numFmtId="3" fontId="13" fillId="0" borderId="15" xfId="0" applyNumberFormat="1" applyFont="1" applyBorder="1" applyAlignment="1">
      <alignment horizontal="left" vertical="center"/>
    </xf>
    <xf numFmtId="0" fontId="8" fillId="0" borderId="15" xfId="0" applyFont="1" applyBorder="1"/>
    <xf numFmtId="0" fontId="10" fillId="9" borderId="4" xfId="0" applyFont="1" applyFill="1" applyBorder="1" applyAlignment="1">
      <alignment horizontal="center" vertical="center"/>
    </xf>
    <xf numFmtId="0" fontId="9" fillId="9" borderId="22" xfId="0" applyFont="1" applyFill="1" applyBorder="1"/>
    <xf numFmtId="3" fontId="13" fillId="9" borderId="4" xfId="0" applyNumberFormat="1" applyFont="1" applyFill="1" applyBorder="1" applyAlignment="1">
      <alignment horizontal="right" vertical="center"/>
    </xf>
    <xf numFmtId="3" fontId="13" fillId="9" borderId="7" xfId="0" applyNumberFormat="1" applyFont="1" applyFill="1" applyBorder="1" applyAlignment="1">
      <alignment horizontal="right" vertical="center"/>
    </xf>
    <xf numFmtId="3" fontId="13" fillId="9" borderId="23" xfId="0" applyNumberFormat="1" applyFont="1" applyFill="1" applyBorder="1" applyAlignment="1">
      <alignment horizontal="right" vertical="center"/>
    </xf>
    <xf numFmtId="3" fontId="0" fillId="0" borderId="7" xfId="0" applyNumberFormat="1" applyBorder="1" applyAlignment="1">
      <alignment horizontal="right"/>
    </xf>
    <xf numFmtId="3" fontId="13" fillId="9" borderId="22" xfId="0" applyNumberFormat="1" applyFont="1" applyFill="1" applyBorder="1" applyAlignment="1">
      <alignment horizontal="right" vertical="center"/>
    </xf>
    <xf numFmtId="3" fontId="13" fillId="9" borderId="1" xfId="0" applyNumberFormat="1" applyFont="1" applyFill="1" applyBorder="1" applyAlignment="1">
      <alignment horizontal="right" vertical="center"/>
    </xf>
    <xf numFmtId="3" fontId="0" fillId="0" borderId="12" xfId="0" applyNumberFormat="1" applyBorder="1" applyAlignment="1">
      <alignment horizontal="right"/>
    </xf>
    <xf numFmtId="0" fontId="10" fillId="9" borderId="24" xfId="0" applyFont="1" applyFill="1" applyBorder="1" applyAlignment="1">
      <alignment horizontal="center" vertical="center"/>
    </xf>
    <xf numFmtId="0" fontId="10" fillId="9" borderId="4" xfId="0" applyFont="1" applyFill="1" applyBorder="1" applyAlignment="1">
      <alignment horizontal="left" vertical="center"/>
    </xf>
    <xf numFmtId="0" fontId="10" fillId="9" borderId="21" xfId="0" applyFont="1" applyFill="1" applyBorder="1" applyAlignment="1">
      <alignment horizontal="center" vertical="center"/>
    </xf>
    <xf numFmtId="0" fontId="12" fillId="0" borderId="25" xfId="0" applyFont="1" applyBorder="1" applyAlignment="1">
      <alignment horizontal="center"/>
    </xf>
    <xf numFmtId="180" fontId="1" fillId="0" borderId="0" xfId="0" applyNumberFormat="1" applyFont="1" applyAlignment="1">
      <alignment horizontal="right"/>
    </xf>
    <xf numFmtId="172" fontId="1" fillId="0" borderId="0" xfId="0" applyNumberFormat="1" applyFont="1" applyAlignment="1">
      <alignment horizontal="right"/>
    </xf>
    <xf numFmtId="0" fontId="1" fillId="3" borderId="0" xfId="0" applyFont="1" applyFill="1"/>
    <xf numFmtId="0" fontId="1" fillId="3" borderId="0" xfId="0" applyFont="1" applyFill="1" applyAlignment="1">
      <alignment horizontal="center"/>
    </xf>
    <xf numFmtId="0" fontId="7" fillId="0" borderId="0" xfId="0" applyFont="1" applyAlignment="1">
      <alignment horizontal="center" vertical="center"/>
    </xf>
    <xf numFmtId="0" fontId="6" fillId="2" borderId="0" xfId="0" applyFont="1" applyFill="1" applyAlignment="1">
      <alignment horizontal="center"/>
    </xf>
    <xf numFmtId="0" fontId="15" fillId="9" borderId="15" xfId="0" applyFont="1" applyFill="1" applyBorder="1" applyAlignment="1">
      <alignment vertical="center"/>
    </xf>
    <xf numFmtId="0" fontId="22" fillId="18" borderId="21" xfId="0" applyFont="1" applyFill="1" applyBorder="1" applyAlignment="1">
      <alignment horizontal="center" wrapText="1"/>
    </xf>
    <xf numFmtId="0" fontId="22" fillId="18" borderId="15" xfId="0" applyFont="1" applyFill="1" applyBorder="1" applyAlignment="1">
      <alignment horizontal="center" wrapText="1"/>
    </xf>
    <xf numFmtId="0" fontId="9" fillId="14" borderId="15" xfId="0" applyFont="1" applyFill="1" applyBorder="1" applyAlignment="1">
      <alignment horizontal="center" vertical="center"/>
    </xf>
    <xf numFmtId="164" fontId="10" fillId="13" borderId="1" xfId="0" applyNumberFormat="1" applyFont="1" applyFill="1" applyBorder="1" applyAlignment="1">
      <alignment horizontal="center" vertical="center" wrapText="1"/>
    </xf>
    <xf numFmtId="0" fontId="10" fillId="13" borderId="1" xfId="0" applyFont="1" applyFill="1" applyBorder="1" applyAlignment="1">
      <alignment horizontal="center" vertical="center" wrapText="1"/>
    </xf>
    <xf numFmtId="0" fontId="10" fillId="12" borderId="3" xfId="0" applyFont="1" applyFill="1" applyBorder="1" applyAlignment="1">
      <alignment horizontal="center" vertical="center" wrapText="1"/>
    </xf>
    <xf numFmtId="170" fontId="10" fillId="12" borderId="20" xfId="0" applyNumberFormat="1" applyFont="1" applyFill="1" applyBorder="1" applyAlignment="1">
      <alignment horizontal="center" vertical="center" wrapText="1"/>
    </xf>
    <xf numFmtId="0" fontId="10" fillId="9" borderId="7" xfId="0" applyFont="1" applyFill="1" applyBorder="1" applyAlignment="1">
      <alignment horizontal="center" vertical="center"/>
    </xf>
    <xf numFmtId="0" fontId="10" fillId="10" borderId="20" xfId="0" applyFont="1" applyFill="1" applyBorder="1" applyAlignment="1">
      <alignment horizontal="center" vertical="center" wrapText="1"/>
    </xf>
    <xf numFmtId="0" fontId="10" fillId="10" borderId="1" xfId="0" applyFont="1" applyFill="1" applyBorder="1" applyAlignment="1">
      <alignment horizontal="center" vertical="center" wrapText="1"/>
    </xf>
    <xf numFmtId="0" fontId="10" fillId="12" borderId="2" xfId="0" applyFont="1" applyFill="1" applyBorder="1" applyAlignment="1">
      <alignment horizontal="center" vertical="center" wrapText="1"/>
    </xf>
    <xf numFmtId="0" fontId="10" fillId="11" borderId="20" xfId="0" applyFont="1" applyFill="1" applyBorder="1" applyAlignment="1">
      <alignment horizontal="center" vertical="center" wrapText="1"/>
    </xf>
    <xf numFmtId="0" fontId="0" fillId="0" borderId="0" xfId="0" applyAlignment="1"/>
    <xf numFmtId="0" fontId="11" fillId="0" borderId="15" xfId="0" applyFont="1" applyBorder="1" applyAlignment="1"/>
    <xf numFmtId="0" fontId="11" fillId="0" borderId="6" xfId="0" applyFont="1" applyBorder="1" applyAlignment="1"/>
    <xf numFmtId="0" fontId="11" fillId="0" borderId="4" xfId="0" applyFont="1" applyBorder="1" applyAlignment="1"/>
    <xf numFmtId="0" fontId="11" fillId="0" borderId="5" xfId="0" applyFont="1" applyBorder="1" applyAlignment="1"/>
  </cellXfs>
  <cellStyles count="1">
    <cellStyle name="Normal" xfId="0" builtinId="0"/>
  </cellStyles>
  <dxfs count="7">
    <dxf>
      <fill>
        <patternFill patternType="solid">
          <fgColor rgb="FFBFBFBF"/>
          <bgColor rgb="FFBFBFBF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7C80"/>
          <bgColor rgb="FFFF7C8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7C80"/>
          <bgColor rgb="FFFF7C80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2:J35"/>
  <sheetViews>
    <sheetView workbookViewId="0">
      <pane ySplit="4" topLeftCell="A10" activePane="bottomLeft" state="frozen"/>
      <selection pane="bottomLeft" activeCell="G2" sqref="G2"/>
    </sheetView>
  </sheetViews>
  <sheetFormatPr defaultColWidth="14.42578125" defaultRowHeight="15" customHeight="1"/>
  <cols>
    <col min="2" max="2" width="11.85546875" bestFit="1" customWidth="1"/>
    <col min="3" max="3" width="13.7109375" bestFit="1" customWidth="1"/>
    <col min="7" max="7" width="11.85546875" bestFit="1" customWidth="1"/>
    <col min="8" max="8" width="16.7109375" bestFit="1" customWidth="1"/>
    <col min="9" max="9" width="18" bestFit="1" customWidth="1"/>
    <col min="10" max="10" width="13.7109375" bestFit="1" customWidth="1"/>
  </cols>
  <sheetData>
    <row r="2" spans="1:10" ht="15" customHeight="1">
      <c r="B2" s="130" t="s">
        <v>0</v>
      </c>
      <c r="C2" s="146"/>
      <c r="D2" s="146"/>
      <c r="E2" s="146"/>
      <c r="G2" s="129" t="s">
        <v>1</v>
      </c>
    </row>
    <row r="3" spans="1:10">
      <c r="B3" s="1"/>
      <c r="C3" s="1"/>
      <c r="D3" s="1"/>
      <c r="E3" s="1"/>
    </row>
    <row r="4" spans="1:10">
      <c r="B4" s="1" t="s">
        <v>2</v>
      </c>
      <c r="C4" s="2" t="s">
        <v>3</v>
      </c>
      <c r="D4" s="3" t="s">
        <v>4</v>
      </c>
      <c r="E4" s="4" t="s">
        <v>5</v>
      </c>
      <c r="G4" s="1" t="s">
        <v>2</v>
      </c>
      <c r="H4" s="70" t="s">
        <v>3</v>
      </c>
      <c r="I4" s="71" t="s">
        <v>4</v>
      </c>
      <c r="J4" s="72" t="s">
        <v>5</v>
      </c>
    </row>
    <row r="5" spans="1:10">
      <c r="A5" s="63"/>
      <c r="B5" s="5">
        <f>Listas!C21</f>
        <v>45505</v>
      </c>
      <c r="C5" s="6">
        <v>22.709483200000001</v>
      </c>
      <c r="D5" s="6">
        <v>23.245480799999999</v>
      </c>
      <c r="E5" s="6">
        <v>23.364289450000001</v>
      </c>
      <c r="G5" s="5">
        <f>Listas!C21</f>
        <v>45505</v>
      </c>
      <c r="H5" s="1">
        <v>22.467866799999999</v>
      </c>
      <c r="I5" s="1">
        <v>22.811025999999998</v>
      </c>
      <c r="J5" s="1">
        <v>23.122348250000002</v>
      </c>
    </row>
    <row r="6" spans="1:10">
      <c r="A6" s="63"/>
      <c r="B6" s="5">
        <f>Listas!C22</f>
        <v>45506</v>
      </c>
      <c r="C6" s="6">
        <v>22.740130400000002</v>
      </c>
      <c r="D6" s="6">
        <v>23.6289072</v>
      </c>
      <c r="E6" s="6">
        <v>23.672663849999999</v>
      </c>
      <c r="G6" s="5">
        <f>Listas!C22</f>
        <v>45506</v>
      </c>
      <c r="H6" s="1">
        <v>22.498514</v>
      </c>
      <c r="I6" s="1">
        <v>23.194452399999999</v>
      </c>
      <c r="J6" s="1">
        <v>23.43072265</v>
      </c>
    </row>
    <row r="7" spans="1:10">
      <c r="A7" s="63"/>
      <c r="B7" s="5">
        <f>Listas!C23</f>
        <v>45507</v>
      </c>
      <c r="C7" s="6">
        <v>22.7307576</v>
      </c>
      <c r="D7" s="6">
        <v>23.4802532</v>
      </c>
      <c r="E7" s="6">
        <v>23.610986650000001</v>
      </c>
      <c r="G7" s="5">
        <f>Listas!C23</f>
        <v>45507</v>
      </c>
      <c r="H7" s="6">
        <v>22.489141199999999</v>
      </c>
      <c r="I7" s="6">
        <v>23.045798399999999</v>
      </c>
      <c r="J7" s="6">
        <v>23.369045450000002</v>
      </c>
    </row>
    <row r="8" spans="1:10">
      <c r="B8" s="5">
        <f>Listas!C24</f>
        <v>45508</v>
      </c>
      <c r="C8" s="6">
        <v>22.7307576</v>
      </c>
      <c r="D8" s="6">
        <v>23.4802532</v>
      </c>
      <c r="E8" s="6">
        <v>23.610986650000001</v>
      </c>
      <c r="G8" s="5">
        <f>Listas!C24</f>
        <v>45508</v>
      </c>
      <c r="H8" s="6">
        <v>22.489141199999999</v>
      </c>
      <c r="I8" s="6">
        <v>23.045798399999999</v>
      </c>
      <c r="J8" s="6">
        <v>23.369045450000002</v>
      </c>
    </row>
    <row r="9" spans="1:10">
      <c r="B9" s="5">
        <f>Listas!C25</f>
        <v>45509</v>
      </c>
      <c r="C9" s="6">
        <v>22.7307576</v>
      </c>
      <c r="D9" s="6">
        <v>23.4802532</v>
      </c>
      <c r="E9" s="6">
        <v>23.610986650000001</v>
      </c>
      <c r="G9" s="5">
        <f>Listas!C25</f>
        <v>45509</v>
      </c>
      <c r="H9" s="6">
        <v>22.489141199999999</v>
      </c>
      <c r="I9" s="6">
        <v>23.045798399999999</v>
      </c>
      <c r="J9" s="6">
        <v>23.369045450000002</v>
      </c>
    </row>
    <row r="10" spans="1:10">
      <c r="B10" s="5">
        <f>Listas!C26</f>
        <v>45510</v>
      </c>
      <c r="C10" s="6">
        <v>22.7307576</v>
      </c>
      <c r="D10" s="6">
        <v>23.282461600000001</v>
      </c>
      <c r="E10" s="6">
        <v>23.285548649999999</v>
      </c>
      <c r="G10" s="5">
        <f>Listas!C26</f>
        <v>45510</v>
      </c>
      <c r="H10" s="6">
        <v>22.495161599999999</v>
      </c>
      <c r="I10" s="6">
        <v>22.8480068</v>
      </c>
      <c r="J10" s="6">
        <v>23.04360745</v>
      </c>
    </row>
    <row r="11" spans="1:10">
      <c r="B11" s="5">
        <f>Listas!C27</f>
        <v>45511</v>
      </c>
      <c r="C11" s="6">
        <v>22.762239999999998</v>
      </c>
      <c r="D11" s="6">
        <v>23.8102616</v>
      </c>
      <c r="E11" s="6">
        <v>23.411756650000001</v>
      </c>
      <c r="G11" s="5">
        <f>Listas!C27</f>
        <v>45511</v>
      </c>
      <c r="H11" s="6">
        <v>22.5206236</v>
      </c>
      <c r="I11" s="6">
        <v>23.375806799999999</v>
      </c>
      <c r="J11" s="6">
        <v>23.169815450000002</v>
      </c>
    </row>
    <row r="12" spans="1:10">
      <c r="B12" s="5">
        <f>Listas!C28</f>
        <v>45512</v>
      </c>
      <c r="C12" s="6">
        <v>22.720248000000002</v>
      </c>
      <c r="D12" s="6">
        <v>23.562497199999999</v>
      </c>
      <c r="E12" s="6">
        <v>23.36738665</v>
      </c>
      <c r="G12" s="5">
        <f>Listas!C28</f>
        <v>45512</v>
      </c>
      <c r="H12" s="66">
        <v>22.4786316</v>
      </c>
      <c r="I12" s="66">
        <v>23.128042399999998</v>
      </c>
      <c r="J12" s="66">
        <v>23.125445450000001</v>
      </c>
    </row>
    <row r="13" spans="1:10">
      <c r="B13" s="5">
        <f>Listas!C29</f>
        <v>45513</v>
      </c>
      <c r="C13" s="6">
        <v>22.686410800000001</v>
      </c>
      <c r="D13" s="6">
        <v>23.605962399999999</v>
      </c>
      <c r="E13" s="6">
        <v>23.60807505</v>
      </c>
      <c r="G13" s="5">
        <f>Listas!C29</f>
        <v>45513</v>
      </c>
      <c r="H13" s="66">
        <v>22.444794399999999</v>
      </c>
      <c r="I13" s="66">
        <v>23.171507600000002</v>
      </c>
      <c r="J13" s="66">
        <v>23.366133850000001</v>
      </c>
    </row>
    <row r="14" spans="1:10">
      <c r="B14" s="5">
        <f>Listas!C30</f>
        <v>45514</v>
      </c>
      <c r="C14" s="6">
        <v>22.754456399999999</v>
      </c>
      <c r="D14" s="6">
        <v>23.939265200000001</v>
      </c>
      <c r="E14" s="6">
        <v>23.51150505</v>
      </c>
      <c r="G14" s="5">
        <f>Listas!C30</f>
        <v>45514</v>
      </c>
      <c r="H14" s="66">
        <v>22.512840000000001</v>
      </c>
      <c r="I14" s="66">
        <v>23.5048104</v>
      </c>
      <c r="J14" s="66">
        <v>23.269563850000001</v>
      </c>
    </row>
    <row r="15" spans="1:10">
      <c r="B15" s="5">
        <f>Listas!C31</f>
        <v>45515</v>
      </c>
      <c r="C15" s="6">
        <v>22.754456399999999</v>
      </c>
      <c r="D15" s="6">
        <v>23.939265200000001</v>
      </c>
      <c r="E15" s="6">
        <v>23.51150505</v>
      </c>
      <c r="G15" s="5">
        <f>Listas!C31</f>
        <v>45515</v>
      </c>
      <c r="H15" s="66">
        <v>22.512840000000001</v>
      </c>
      <c r="I15" s="66">
        <v>23.5048104</v>
      </c>
      <c r="J15" s="66">
        <v>23.269563850000001</v>
      </c>
    </row>
    <row r="16" spans="1:10">
      <c r="B16" s="5">
        <f>Listas!C32</f>
        <v>45516</v>
      </c>
      <c r="C16" s="6">
        <v>22.754456399999999</v>
      </c>
      <c r="D16" s="6">
        <v>23.939265200000001</v>
      </c>
      <c r="E16" s="6">
        <v>23.51150505</v>
      </c>
      <c r="G16" s="5">
        <f>Listas!C32</f>
        <v>45516</v>
      </c>
      <c r="H16" s="66">
        <v>22.512840000000001</v>
      </c>
      <c r="I16" s="66">
        <v>23.5048104</v>
      </c>
      <c r="J16" s="66">
        <v>23.269563850000001</v>
      </c>
    </row>
    <row r="17" spans="1:10">
      <c r="B17" s="5">
        <f>Listas!C33</f>
        <v>45517</v>
      </c>
      <c r="C17" s="6">
        <v>22.775208800000001</v>
      </c>
      <c r="D17" s="6">
        <v>23.560478799999999</v>
      </c>
      <c r="E17" s="6">
        <v>23.180278650000002</v>
      </c>
      <c r="G17" s="5">
        <f>Listas!C33</f>
        <v>45517</v>
      </c>
      <c r="H17" s="66">
        <v>22.5335924</v>
      </c>
      <c r="I17" s="66">
        <v>23.126024000000001</v>
      </c>
      <c r="J17" s="66">
        <v>22.938337449999999</v>
      </c>
    </row>
    <row r="18" spans="1:10">
      <c r="B18" s="5">
        <f>Listas!C34</f>
        <v>45518</v>
      </c>
      <c r="C18" s="6">
        <v>22.761834</v>
      </c>
      <c r="D18" s="6">
        <v>23.873702000000002</v>
      </c>
      <c r="E18" s="6">
        <v>23.752576250000001</v>
      </c>
      <c r="G18" s="5">
        <f>Listas!C34</f>
        <v>45518</v>
      </c>
      <c r="H18" s="66">
        <v>22.520217599999999</v>
      </c>
      <c r="I18" s="66">
        <v>23.439247200000001</v>
      </c>
      <c r="J18" s="66">
        <v>23.510635050000001</v>
      </c>
    </row>
    <row r="19" spans="1:10">
      <c r="B19" s="5">
        <f>Listas!C35</f>
        <v>45519</v>
      </c>
      <c r="C19" s="6">
        <v>22.792400000000001</v>
      </c>
      <c r="D19" s="6">
        <v>23.194127600000002</v>
      </c>
      <c r="E19" s="6">
        <v>23.746799450000001</v>
      </c>
      <c r="G19" s="5">
        <f>Listas!C35</f>
        <v>45519</v>
      </c>
      <c r="H19" s="66">
        <v>22.550783599999999</v>
      </c>
      <c r="I19" s="66">
        <v>22.759672800000001</v>
      </c>
      <c r="J19" s="66">
        <v>23.504858250000002</v>
      </c>
    </row>
    <row r="20" spans="1:10">
      <c r="A20" s="63">
        <f>+C18-C14</f>
        <v>7.3776000000016495E-3</v>
      </c>
      <c r="B20" s="5">
        <f>Listas!C36</f>
        <v>45520</v>
      </c>
      <c r="C20" s="6"/>
      <c r="D20" s="6"/>
      <c r="E20" s="6"/>
      <c r="G20" s="5">
        <f>Listas!C36</f>
        <v>45520</v>
      </c>
      <c r="H20" s="67"/>
      <c r="I20" s="66"/>
      <c r="J20" s="66"/>
    </row>
    <row r="21" spans="1:10">
      <c r="B21" s="5">
        <f>Listas!C37</f>
        <v>45521</v>
      </c>
      <c r="C21" s="6"/>
      <c r="D21" s="6"/>
      <c r="E21" s="6"/>
      <c r="G21" s="5">
        <f>Listas!C37</f>
        <v>45521</v>
      </c>
      <c r="H21" s="67"/>
      <c r="I21" s="66"/>
      <c r="J21" s="66"/>
    </row>
    <row r="22" spans="1:10">
      <c r="B22" s="5">
        <f>Listas!C38</f>
        <v>45522</v>
      </c>
      <c r="C22" s="6"/>
      <c r="D22" s="6"/>
      <c r="E22" s="6"/>
      <c r="G22" s="5">
        <f>Listas!C38</f>
        <v>45522</v>
      </c>
      <c r="H22" s="67"/>
      <c r="I22" s="66"/>
      <c r="J22" s="66"/>
    </row>
    <row r="23" spans="1:10">
      <c r="B23" s="5">
        <f>Listas!C39</f>
        <v>45523</v>
      </c>
      <c r="C23" s="6"/>
      <c r="D23" s="6"/>
      <c r="E23" s="6"/>
      <c r="G23" s="5">
        <f>Listas!C39</f>
        <v>45523</v>
      </c>
      <c r="H23" s="67"/>
      <c r="I23" s="66"/>
      <c r="J23" s="66"/>
    </row>
    <row r="24" spans="1:10">
      <c r="B24" s="5">
        <f>Listas!C40</f>
        <v>45524</v>
      </c>
      <c r="C24" s="6"/>
      <c r="D24" s="6"/>
      <c r="E24" s="6"/>
      <c r="G24" s="5">
        <f>Listas!C40</f>
        <v>45524</v>
      </c>
      <c r="H24" s="66"/>
      <c r="I24" s="68"/>
      <c r="J24" s="66"/>
    </row>
    <row r="25" spans="1:10">
      <c r="B25" s="5">
        <f>Listas!C41</f>
        <v>45525</v>
      </c>
      <c r="C25" s="6"/>
      <c r="D25" s="6"/>
      <c r="E25" s="6"/>
      <c r="G25" s="5">
        <f>Listas!C41</f>
        <v>45525</v>
      </c>
      <c r="H25" s="66"/>
      <c r="I25" s="68"/>
      <c r="J25" s="66"/>
    </row>
    <row r="26" spans="1:10">
      <c r="B26" s="5">
        <f>Listas!C42</f>
        <v>45526</v>
      </c>
      <c r="C26" s="6"/>
      <c r="D26" s="6"/>
      <c r="E26" s="6"/>
      <c r="G26" s="5">
        <f>Listas!C42</f>
        <v>45526</v>
      </c>
      <c r="H26" s="66"/>
      <c r="I26" s="68"/>
      <c r="J26" s="66"/>
    </row>
    <row r="27" spans="1:10">
      <c r="B27" s="5">
        <f>Listas!C43</f>
        <v>45527</v>
      </c>
      <c r="C27" s="66"/>
      <c r="D27" s="6"/>
      <c r="E27" s="6"/>
      <c r="G27" s="5">
        <f>Listas!C43</f>
        <v>45527</v>
      </c>
      <c r="H27" s="66"/>
      <c r="I27" s="68"/>
      <c r="J27" s="66"/>
    </row>
    <row r="28" spans="1:10">
      <c r="A28" s="63"/>
      <c r="B28" s="5">
        <f>Listas!C44</f>
        <v>45528</v>
      </c>
      <c r="C28" s="6"/>
      <c r="D28" s="6"/>
      <c r="E28" s="6"/>
      <c r="G28" s="5">
        <f>Listas!C44</f>
        <v>45528</v>
      </c>
      <c r="H28" s="66"/>
      <c r="I28" s="68"/>
      <c r="J28" s="66"/>
    </row>
    <row r="29" spans="1:10">
      <c r="B29" s="5">
        <f>Listas!C45</f>
        <v>45529</v>
      </c>
      <c r="C29" s="6"/>
      <c r="D29" s="6"/>
      <c r="E29" s="6"/>
      <c r="G29" s="5">
        <f>Listas!C45</f>
        <v>45529</v>
      </c>
      <c r="H29" s="66"/>
      <c r="I29" s="69"/>
      <c r="J29" s="66"/>
    </row>
    <row r="30" spans="1:10">
      <c r="B30" s="5">
        <f>Listas!C46</f>
        <v>45530</v>
      </c>
      <c r="C30" s="6"/>
      <c r="D30" s="6"/>
      <c r="E30" s="6"/>
      <c r="G30" s="5">
        <f>Listas!C46</f>
        <v>45530</v>
      </c>
      <c r="H30" s="66"/>
      <c r="I30" s="69"/>
      <c r="J30" s="66"/>
    </row>
    <row r="31" spans="1:10">
      <c r="B31" s="5">
        <f>Listas!C47</f>
        <v>45531</v>
      </c>
      <c r="C31" s="6"/>
      <c r="D31" s="6"/>
      <c r="E31" s="6"/>
      <c r="G31" s="5">
        <f>Listas!C47</f>
        <v>45531</v>
      </c>
      <c r="H31" s="66"/>
      <c r="I31" s="69"/>
      <c r="J31" s="66"/>
    </row>
    <row r="32" spans="1:10">
      <c r="A32" s="63"/>
      <c r="B32" s="5">
        <f>Listas!C48</f>
        <v>45532</v>
      </c>
      <c r="C32" s="6"/>
      <c r="D32" s="6"/>
      <c r="E32" s="6"/>
      <c r="G32" s="5">
        <f>Listas!C48</f>
        <v>45532</v>
      </c>
      <c r="H32" s="66"/>
      <c r="I32" s="69"/>
      <c r="J32" s="66"/>
    </row>
    <row r="33" spans="1:10">
      <c r="B33" s="5">
        <f>Listas!C49</f>
        <v>45533</v>
      </c>
      <c r="C33" s="6"/>
      <c r="D33" s="6"/>
      <c r="E33" s="6"/>
      <c r="G33" s="5">
        <f>Listas!C49</f>
        <v>45533</v>
      </c>
      <c r="H33" s="66"/>
      <c r="I33" s="69"/>
      <c r="J33" s="66"/>
    </row>
    <row r="34" spans="1:10">
      <c r="A34" s="63"/>
      <c r="B34" s="5">
        <f>Listas!C50</f>
        <v>45534</v>
      </c>
      <c r="C34" s="6"/>
      <c r="D34" s="6"/>
      <c r="E34" s="6"/>
      <c r="G34" s="5">
        <f>Listas!C50</f>
        <v>45534</v>
      </c>
      <c r="H34" s="66"/>
      <c r="I34" s="69"/>
      <c r="J34" s="66"/>
    </row>
    <row r="35" spans="1:10">
      <c r="A35" s="63"/>
      <c r="B35" s="5">
        <f>Listas!C51</f>
        <v>45535</v>
      </c>
      <c r="C35" s="6"/>
      <c r="D35" s="6"/>
      <c r="E35" s="6"/>
      <c r="G35" s="5">
        <f>Listas!C51</f>
        <v>45535</v>
      </c>
      <c r="H35" s="66"/>
      <c r="I35" s="69"/>
      <c r="J35" s="66"/>
    </row>
  </sheetData>
  <mergeCells count="1">
    <mergeCell ref="B2:E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668C0-9E5F-417E-89B1-74B08659DA3A}">
  <sheetPr>
    <outlinePr summaryBelow="0" summaryRight="0"/>
  </sheetPr>
  <dimension ref="A2:O35"/>
  <sheetViews>
    <sheetView workbookViewId="0">
      <pane ySplit="4" topLeftCell="A5" activePane="bottomLeft" state="frozen"/>
      <selection pane="bottomLeft" activeCell="E6" sqref="E6"/>
    </sheetView>
  </sheetViews>
  <sheetFormatPr defaultColWidth="14.42578125" defaultRowHeight="15" customHeight="1"/>
  <cols>
    <col min="2" max="2" width="11.85546875" bestFit="1" customWidth="1"/>
    <col min="3" max="3" width="13.7109375" bestFit="1" customWidth="1"/>
    <col min="4" max="4" width="12.42578125" bestFit="1" customWidth="1"/>
    <col min="5" max="6" width="9.140625"/>
    <col min="7" max="7" width="11.85546875" bestFit="1" customWidth="1"/>
    <col min="8" max="8" width="16.7109375" bestFit="1" customWidth="1"/>
    <col min="9" max="9" width="18" bestFit="1" customWidth="1"/>
    <col min="10" max="10" width="13.7109375" bestFit="1" customWidth="1"/>
  </cols>
  <sheetData>
    <row r="2" spans="1:15">
      <c r="B2" s="130" t="s">
        <v>6</v>
      </c>
      <c r="C2" s="146"/>
      <c r="D2" s="146"/>
      <c r="E2" s="146"/>
      <c r="G2" s="130" t="s">
        <v>7</v>
      </c>
      <c r="H2" s="146"/>
      <c r="I2" s="146"/>
      <c r="J2" s="146"/>
      <c r="L2" s="130" t="s">
        <v>8</v>
      </c>
      <c r="M2" s="146"/>
      <c r="N2" s="146"/>
      <c r="O2" s="146"/>
    </row>
    <row r="3" spans="1:15">
      <c r="B3" s="1"/>
      <c r="C3" s="1"/>
      <c r="D3" s="1"/>
      <c r="E3" s="1"/>
    </row>
    <row r="4" spans="1:15">
      <c r="B4" s="1" t="s">
        <v>2</v>
      </c>
      <c r="C4" s="2" t="s">
        <v>3</v>
      </c>
      <c r="D4" s="3" t="s">
        <v>4</v>
      </c>
      <c r="E4" s="4" t="s">
        <v>5</v>
      </c>
      <c r="G4" s="1" t="s">
        <v>2</v>
      </c>
      <c r="H4" s="70" t="s">
        <v>3</v>
      </c>
      <c r="I4" s="71" t="s">
        <v>4</v>
      </c>
      <c r="J4" s="72" t="s">
        <v>5</v>
      </c>
      <c r="L4" s="1" t="s">
        <v>2</v>
      </c>
      <c r="M4" s="70" t="s">
        <v>3</v>
      </c>
      <c r="N4" s="71" t="s">
        <v>4</v>
      </c>
      <c r="O4" s="72" t="s">
        <v>5</v>
      </c>
    </row>
    <row r="5" spans="1:15">
      <c r="A5" s="63"/>
      <c r="B5" s="5">
        <f>Listas!C21</f>
        <v>45505</v>
      </c>
      <c r="C5" s="127">
        <v>0.81280000000000008</v>
      </c>
      <c r="D5" s="127">
        <v>0.76429000000000014</v>
      </c>
      <c r="E5" s="127">
        <v>1.02268</v>
      </c>
      <c r="G5" s="5">
        <f>Listas!C21</f>
        <v>45505</v>
      </c>
      <c r="H5" s="128">
        <v>0.7056</v>
      </c>
      <c r="I5" s="128">
        <v>0.63014000000000003</v>
      </c>
      <c r="J5" s="128">
        <v>0.91336000000000006</v>
      </c>
      <c r="L5" s="5">
        <f>Listas!C21</f>
        <v>45505</v>
      </c>
      <c r="M5" s="1"/>
      <c r="N5" s="1"/>
      <c r="O5" s="1"/>
    </row>
    <row r="6" spans="1:15">
      <c r="A6" s="63"/>
      <c r="B6" s="5">
        <f>Listas!C22</f>
        <v>45506</v>
      </c>
      <c r="C6" s="127">
        <v>0.81280000000000008</v>
      </c>
      <c r="D6" s="127">
        <v>0.76429000000000014</v>
      </c>
      <c r="E6" s="127">
        <v>1.02268</v>
      </c>
      <c r="G6" s="5">
        <f>Listas!C22</f>
        <v>45506</v>
      </c>
      <c r="H6" s="128">
        <v>0.7056</v>
      </c>
      <c r="I6" s="128">
        <v>0.63014000000000003</v>
      </c>
      <c r="J6" s="128">
        <v>0.91336000000000006</v>
      </c>
      <c r="L6" s="5">
        <f>Listas!C22</f>
        <v>45506</v>
      </c>
      <c r="M6" s="1"/>
      <c r="N6" s="1"/>
      <c r="O6" s="1"/>
    </row>
    <row r="7" spans="1:15">
      <c r="A7" s="63"/>
      <c r="B7" s="5">
        <f>Listas!C23</f>
        <v>45507</v>
      </c>
      <c r="C7" s="127">
        <v>0.81280000000000008</v>
      </c>
      <c r="D7" s="127">
        <v>0.76429000000000014</v>
      </c>
      <c r="E7" s="127">
        <v>1.02268</v>
      </c>
      <c r="G7" s="5">
        <f>Listas!C23</f>
        <v>45507</v>
      </c>
      <c r="H7" s="128">
        <v>0.7056</v>
      </c>
      <c r="I7" s="128">
        <v>0.63014000000000003</v>
      </c>
      <c r="J7" s="128">
        <v>0.91336000000000006</v>
      </c>
      <c r="L7" s="5">
        <f>Listas!C23</f>
        <v>45507</v>
      </c>
      <c r="M7" s="6"/>
      <c r="N7" s="6"/>
      <c r="O7" s="6"/>
    </row>
    <row r="8" spans="1:15">
      <c r="B8" s="5">
        <f>Listas!C24</f>
        <v>45508</v>
      </c>
      <c r="C8" s="127">
        <v>0.81280000000000008</v>
      </c>
      <c r="D8" s="127">
        <v>0.76429000000000014</v>
      </c>
      <c r="E8" s="127">
        <v>1.02268</v>
      </c>
      <c r="G8" s="5">
        <f>Listas!C24</f>
        <v>45508</v>
      </c>
      <c r="H8" s="128">
        <v>0.7056</v>
      </c>
      <c r="I8" s="128">
        <v>0.63014000000000003</v>
      </c>
      <c r="J8" s="128">
        <v>0.91336000000000006</v>
      </c>
      <c r="L8" s="5">
        <f>Listas!C24</f>
        <v>45508</v>
      </c>
      <c r="M8" s="6"/>
      <c r="N8" s="6"/>
      <c r="O8" s="6"/>
    </row>
    <row r="9" spans="1:15">
      <c r="B9" s="5">
        <f>Listas!C25</f>
        <v>45509</v>
      </c>
      <c r="C9" s="127">
        <v>0.81280000000000008</v>
      </c>
      <c r="D9" s="127">
        <v>0.76429000000000014</v>
      </c>
      <c r="E9" s="127">
        <v>1.02268</v>
      </c>
      <c r="G9" s="5">
        <f>Listas!C25</f>
        <v>45509</v>
      </c>
      <c r="H9" s="128">
        <v>0.7056</v>
      </c>
      <c r="I9" s="128">
        <v>0.63014000000000003</v>
      </c>
      <c r="J9" s="128">
        <v>0.91336000000000006</v>
      </c>
      <c r="L9" s="5">
        <f>Listas!C25</f>
        <v>45509</v>
      </c>
      <c r="M9" s="6"/>
      <c r="N9" s="6"/>
      <c r="O9" s="6"/>
    </row>
    <row r="10" spans="1:15">
      <c r="B10" s="5">
        <f>Listas!C26</f>
        <v>45510</v>
      </c>
      <c r="C10" s="127">
        <v>0.81280000000000008</v>
      </c>
      <c r="D10" s="127">
        <v>0.76429000000000014</v>
      </c>
      <c r="E10" s="127">
        <v>1.02268</v>
      </c>
      <c r="G10" s="5">
        <f>Listas!C26</f>
        <v>45510</v>
      </c>
      <c r="H10" s="128">
        <v>0.7056</v>
      </c>
      <c r="I10" s="128">
        <v>0.63014000000000003</v>
      </c>
      <c r="J10" s="128">
        <v>0.91336000000000006</v>
      </c>
      <c r="L10" s="5">
        <f>Listas!C26</f>
        <v>45510</v>
      </c>
      <c r="M10" s="6"/>
      <c r="N10" s="6"/>
      <c r="O10" s="6"/>
    </row>
    <row r="11" spans="1:15">
      <c r="B11" s="5">
        <f>Listas!C27</f>
        <v>45511</v>
      </c>
      <c r="C11" s="127">
        <v>0.81280000000000008</v>
      </c>
      <c r="D11" s="127">
        <v>0.76429000000000014</v>
      </c>
      <c r="E11" s="127">
        <v>1.02268</v>
      </c>
      <c r="G11" s="5">
        <f>Listas!C27</f>
        <v>45511</v>
      </c>
      <c r="H11" s="128">
        <v>0.7056</v>
      </c>
      <c r="I11" s="128">
        <v>0.63014000000000003</v>
      </c>
      <c r="J11" s="128">
        <v>0.91336000000000006</v>
      </c>
      <c r="L11" s="5">
        <f>Listas!C27</f>
        <v>45511</v>
      </c>
      <c r="M11" s="6"/>
      <c r="N11" s="6"/>
      <c r="O11" s="6"/>
    </row>
    <row r="12" spans="1:15">
      <c r="B12" s="5">
        <f>Listas!C28</f>
        <v>45512</v>
      </c>
      <c r="C12" s="127">
        <v>0.81280000000000008</v>
      </c>
      <c r="D12" s="127">
        <v>0.76429000000000014</v>
      </c>
      <c r="E12" s="127">
        <v>1.02268</v>
      </c>
      <c r="G12" s="5">
        <f>Listas!C28</f>
        <v>45512</v>
      </c>
      <c r="H12" s="128">
        <v>0.7056</v>
      </c>
      <c r="I12" s="128">
        <v>0.63014000000000003</v>
      </c>
      <c r="J12" s="128">
        <v>0.91336000000000006</v>
      </c>
      <c r="L12" s="5">
        <f>Listas!C28</f>
        <v>45512</v>
      </c>
      <c r="M12" s="66"/>
      <c r="N12" s="66"/>
      <c r="O12" s="66"/>
    </row>
    <row r="13" spans="1:15">
      <c r="B13" s="5">
        <f>Listas!C29</f>
        <v>45513</v>
      </c>
      <c r="C13" s="127">
        <v>0.81280000000000008</v>
      </c>
      <c r="D13" s="127">
        <v>0.76429000000000014</v>
      </c>
      <c r="E13" s="127">
        <v>1.02268</v>
      </c>
      <c r="G13" s="5">
        <f>Listas!C29</f>
        <v>45513</v>
      </c>
      <c r="H13" s="128">
        <v>0.7056</v>
      </c>
      <c r="I13" s="128">
        <v>0.63014000000000003</v>
      </c>
      <c r="J13" s="128">
        <v>0.91336000000000006</v>
      </c>
      <c r="L13" s="5">
        <f>Listas!C29</f>
        <v>45513</v>
      </c>
      <c r="M13" s="66"/>
      <c r="N13" s="66"/>
      <c r="O13" s="66"/>
    </row>
    <row r="14" spans="1:15">
      <c r="B14" s="5">
        <f>Listas!C30</f>
        <v>45514</v>
      </c>
      <c r="C14" s="127">
        <v>0.81280000000000008</v>
      </c>
      <c r="D14" s="127">
        <v>0.76429000000000014</v>
      </c>
      <c r="E14" s="127">
        <v>1.02268</v>
      </c>
      <c r="G14" s="5">
        <f>Listas!C30</f>
        <v>45514</v>
      </c>
      <c r="H14" s="128">
        <v>0.7056</v>
      </c>
      <c r="I14" s="128">
        <v>0.63014000000000003</v>
      </c>
      <c r="J14" s="128">
        <v>0.91336000000000006</v>
      </c>
      <c r="L14" s="5">
        <f>Listas!C30</f>
        <v>45514</v>
      </c>
      <c r="M14" s="66"/>
      <c r="N14" s="66"/>
      <c r="O14" s="66"/>
    </row>
    <row r="15" spans="1:15">
      <c r="B15" s="5">
        <f>Listas!C31</f>
        <v>45515</v>
      </c>
      <c r="C15" s="127">
        <v>0.81280000000000008</v>
      </c>
      <c r="D15" s="127">
        <v>0.76429000000000014</v>
      </c>
      <c r="E15" s="127">
        <v>1.02268</v>
      </c>
      <c r="G15" s="5">
        <f>Listas!C31</f>
        <v>45515</v>
      </c>
      <c r="H15" s="128">
        <v>0.7056</v>
      </c>
      <c r="I15" s="128">
        <v>0.63014000000000003</v>
      </c>
      <c r="J15" s="128">
        <v>0.91336000000000006</v>
      </c>
      <c r="L15" s="5">
        <f>Listas!C31</f>
        <v>45515</v>
      </c>
      <c r="M15" s="66"/>
      <c r="N15" s="66"/>
      <c r="O15" s="66"/>
    </row>
    <row r="16" spans="1:15">
      <c r="B16" s="5">
        <f>Listas!C32</f>
        <v>45516</v>
      </c>
      <c r="C16" s="127">
        <v>0.81280000000000008</v>
      </c>
      <c r="D16" s="127">
        <v>0.76429000000000014</v>
      </c>
      <c r="E16" s="127">
        <v>1.02268</v>
      </c>
      <c r="G16" s="5">
        <f>Listas!C32</f>
        <v>45516</v>
      </c>
      <c r="H16" s="128">
        <v>0.7056</v>
      </c>
      <c r="I16" s="128">
        <v>0.63014000000000003</v>
      </c>
      <c r="J16" s="128">
        <v>0.91336000000000006</v>
      </c>
      <c r="L16" s="5">
        <f>Listas!C32</f>
        <v>45516</v>
      </c>
      <c r="M16" s="66"/>
      <c r="N16" s="66"/>
      <c r="O16" s="66"/>
    </row>
    <row r="17" spans="1:15">
      <c r="B17" s="5">
        <f>Listas!C33</f>
        <v>45517</v>
      </c>
      <c r="C17" s="127">
        <v>0.81280000000000008</v>
      </c>
      <c r="D17" s="127">
        <v>0.76429000000000014</v>
      </c>
      <c r="E17" s="127">
        <v>1.02268</v>
      </c>
      <c r="G17" s="5">
        <f>Listas!C33</f>
        <v>45517</v>
      </c>
      <c r="H17" s="128">
        <v>0.7056</v>
      </c>
      <c r="I17" s="128">
        <v>0.63014000000000003</v>
      </c>
      <c r="J17" s="128">
        <v>0.91336000000000006</v>
      </c>
      <c r="L17" s="5">
        <f>Listas!C33</f>
        <v>45517</v>
      </c>
      <c r="M17" s="66"/>
      <c r="N17" s="66"/>
      <c r="O17" s="66"/>
    </row>
    <row r="18" spans="1:15">
      <c r="B18" s="5">
        <f>Listas!C34</f>
        <v>45518</v>
      </c>
      <c r="C18" s="127">
        <v>0.81280000000000008</v>
      </c>
      <c r="D18" s="127">
        <v>0.76429000000000014</v>
      </c>
      <c r="E18" s="127">
        <v>1.02268</v>
      </c>
      <c r="G18" s="5">
        <f>Listas!C34</f>
        <v>45518</v>
      </c>
      <c r="H18" s="128">
        <v>0.7056</v>
      </c>
      <c r="I18" s="128">
        <v>0.63014000000000003</v>
      </c>
      <c r="J18" s="128">
        <v>0.91336000000000006</v>
      </c>
      <c r="L18" s="5">
        <f>Listas!C34</f>
        <v>45518</v>
      </c>
      <c r="M18" s="66"/>
      <c r="N18" s="66"/>
      <c r="O18" s="66"/>
    </row>
    <row r="19" spans="1:15">
      <c r="B19" s="5">
        <f>Listas!C35</f>
        <v>45519</v>
      </c>
      <c r="C19" s="127">
        <v>0.81280000000000008</v>
      </c>
      <c r="D19" s="127">
        <v>0.76429000000000014</v>
      </c>
      <c r="E19" s="127">
        <v>1.02268</v>
      </c>
      <c r="G19" s="5">
        <f>Listas!C35</f>
        <v>45519</v>
      </c>
      <c r="H19" s="128">
        <v>0.7056</v>
      </c>
      <c r="I19" s="128">
        <v>0.63014000000000003</v>
      </c>
      <c r="J19" s="128">
        <v>0.91336000000000006</v>
      </c>
      <c r="L19" s="5">
        <f>Listas!C35</f>
        <v>45519</v>
      </c>
      <c r="M19" s="66"/>
      <c r="N19" s="66"/>
      <c r="O19" s="66"/>
    </row>
    <row r="20" spans="1:15">
      <c r="A20" s="63">
        <f>+C18-C14</f>
        <v>0</v>
      </c>
      <c r="B20" s="5">
        <f>Listas!C36</f>
        <v>45520</v>
      </c>
      <c r="C20" s="127">
        <v>0.85240000000000005</v>
      </c>
      <c r="D20" s="127">
        <v>0.76429000000000014</v>
      </c>
      <c r="E20" s="127">
        <v>1.0672299999999999</v>
      </c>
      <c r="G20" s="5">
        <f>Listas!C36</f>
        <v>45520</v>
      </c>
      <c r="H20" s="128">
        <v>0.74480000000000002</v>
      </c>
      <c r="I20" s="128">
        <v>0.66542000000000001</v>
      </c>
      <c r="J20" s="128">
        <v>0.95745999999999998</v>
      </c>
      <c r="L20" s="5">
        <f>Listas!C36</f>
        <v>45520</v>
      </c>
      <c r="M20" s="67"/>
      <c r="N20" s="66"/>
      <c r="O20" s="66"/>
    </row>
    <row r="21" spans="1:15">
      <c r="B21" s="5">
        <f>Listas!C37</f>
        <v>45521</v>
      </c>
      <c r="C21" s="127">
        <v>0.85240000000000005</v>
      </c>
      <c r="D21" s="127">
        <v>0.76429000000000014</v>
      </c>
      <c r="E21" s="127">
        <v>1.0672299999999999</v>
      </c>
      <c r="G21" s="5">
        <f>Listas!C37</f>
        <v>45521</v>
      </c>
      <c r="H21" s="128">
        <v>0.74480000000000002</v>
      </c>
      <c r="I21" s="128">
        <v>0.66542000000000001</v>
      </c>
      <c r="J21" s="128">
        <v>0.95745999999999998</v>
      </c>
      <c r="L21" s="5">
        <f>Listas!C37</f>
        <v>45521</v>
      </c>
      <c r="M21" s="67"/>
      <c r="N21" s="66"/>
      <c r="O21" s="66"/>
    </row>
    <row r="22" spans="1:15">
      <c r="B22" s="5">
        <f>Listas!C38</f>
        <v>45522</v>
      </c>
      <c r="C22" s="127">
        <v>0.85240000000000005</v>
      </c>
      <c r="D22" s="127">
        <v>0.76429000000000014</v>
      </c>
      <c r="E22" s="127">
        <v>1.0672299999999999</v>
      </c>
      <c r="G22" s="5">
        <f>Listas!C38</f>
        <v>45522</v>
      </c>
      <c r="H22" s="128">
        <v>0.74480000000000002</v>
      </c>
      <c r="I22" s="128">
        <v>0.66542000000000001</v>
      </c>
      <c r="J22" s="128">
        <v>0.95745999999999998</v>
      </c>
      <c r="L22" s="5">
        <f>Listas!C38</f>
        <v>45522</v>
      </c>
      <c r="M22" s="67"/>
      <c r="N22" s="66"/>
      <c r="O22" s="66"/>
    </row>
    <row r="23" spans="1:15">
      <c r="B23" s="5">
        <f>Listas!C39</f>
        <v>45523</v>
      </c>
      <c r="C23" s="127">
        <v>0.85240000000000005</v>
      </c>
      <c r="D23" s="127">
        <v>0.76429000000000014</v>
      </c>
      <c r="E23" s="127">
        <v>1.0672299999999999</v>
      </c>
      <c r="G23" s="5">
        <f>Listas!C39</f>
        <v>45523</v>
      </c>
      <c r="H23" s="128">
        <v>0.74480000000000002</v>
      </c>
      <c r="I23" s="128">
        <v>0.66542000000000001</v>
      </c>
      <c r="J23" s="128">
        <v>0.95745999999999998</v>
      </c>
      <c r="L23" s="5">
        <f>Listas!C39</f>
        <v>45523</v>
      </c>
      <c r="M23" s="67"/>
      <c r="N23" s="66"/>
      <c r="O23" s="66"/>
    </row>
    <row r="24" spans="1:15">
      <c r="B24" s="5">
        <f>Listas!C40</f>
        <v>45524</v>
      </c>
      <c r="C24" s="127">
        <v>0.85240000000000005</v>
      </c>
      <c r="D24" s="127">
        <v>0.76429000000000014</v>
      </c>
      <c r="E24" s="127">
        <v>1.0672299999999999</v>
      </c>
      <c r="G24" s="5">
        <f>Listas!C40</f>
        <v>45524</v>
      </c>
      <c r="H24" s="128">
        <v>0.74480000000000002</v>
      </c>
      <c r="I24" s="128">
        <v>0.66542000000000001</v>
      </c>
      <c r="J24" s="128">
        <v>0.95745999999999998</v>
      </c>
      <c r="L24" s="5">
        <f>Listas!C40</f>
        <v>45524</v>
      </c>
      <c r="M24" s="66"/>
      <c r="N24" s="68"/>
      <c r="O24" s="66"/>
    </row>
    <row r="25" spans="1:15">
      <c r="B25" s="5">
        <f>Listas!C41</f>
        <v>45525</v>
      </c>
      <c r="C25" s="127">
        <v>0.85240000000000005</v>
      </c>
      <c r="D25" s="127">
        <v>0.76429000000000014</v>
      </c>
      <c r="E25" s="127">
        <v>1.0672299999999999</v>
      </c>
      <c r="G25" s="5">
        <f>Listas!C41</f>
        <v>45525</v>
      </c>
      <c r="H25" s="128">
        <v>0.74480000000000002</v>
      </c>
      <c r="I25" s="128">
        <v>0.66542000000000001</v>
      </c>
      <c r="J25" s="128">
        <v>0.95745999999999998</v>
      </c>
      <c r="L25" s="5">
        <f>Listas!C41</f>
        <v>45525</v>
      </c>
      <c r="M25" s="66"/>
      <c r="N25" s="68"/>
      <c r="O25" s="66"/>
    </row>
    <row r="26" spans="1:15">
      <c r="B26" s="5">
        <f>Listas!C42</f>
        <v>45526</v>
      </c>
      <c r="C26" s="127">
        <v>0.85240000000000005</v>
      </c>
      <c r="D26" s="127">
        <v>0.76429000000000014</v>
      </c>
      <c r="E26" s="127">
        <v>1.0672299999999999</v>
      </c>
      <c r="G26" s="5">
        <f>Listas!C42</f>
        <v>45526</v>
      </c>
      <c r="H26" s="128">
        <v>0.74480000000000002</v>
      </c>
      <c r="I26" s="128">
        <v>0.66542000000000001</v>
      </c>
      <c r="J26" s="128">
        <v>0.95745999999999998</v>
      </c>
      <c r="L26" s="5">
        <f>Listas!C42</f>
        <v>45526</v>
      </c>
      <c r="M26" s="66"/>
      <c r="N26" s="68"/>
      <c r="O26" s="66"/>
    </row>
    <row r="27" spans="1:15">
      <c r="B27" s="5">
        <f>Listas!C43</f>
        <v>45527</v>
      </c>
      <c r="C27" s="127">
        <v>0.85240000000000005</v>
      </c>
      <c r="D27" s="127">
        <v>0.76429000000000014</v>
      </c>
      <c r="E27" s="127">
        <v>1.0672299999999999</v>
      </c>
      <c r="G27" s="5">
        <f>Listas!C43</f>
        <v>45527</v>
      </c>
      <c r="H27" s="128">
        <v>0.74480000000000002</v>
      </c>
      <c r="I27" s="128">
        <v>0.66542000000000001</v>
      </c>
      <c r="J27" s="128">
        <v>0.95745999999999998</v>
      </c>
      <c r="L27" s="5">
        <f>Listas!C43</f>
        <v>45527</v>
      </c>
      <c r="M27" s="66"/>
      <c r="N27" s="68"/>
      <c r="O27" s="66"/>
    </row>
    <row r="28" spans="1:15">
      <c r="A28" s="63"/>
      <c r="B28" s="5">
        <f>Listas!C44</f>
        <v>45528</v>
      </c>
      <c r="C28" s="127">
        <v>0.85240000000000005</v>
      </c>
      <c r="D28" s="127">
        <v>0.76429000000000014</v>
      </c>
      <c r="E28" s="127">
        <v>1.0672299999999999</v>
      </c>
      <c r="G28" s="5">
        <f>Listas!C44</f>
        <v>45528</v>
      </c>
      <c r="H28" s="128">
        <v>0.74480000000000002</v>
      </c>
      <c r="I28" s="128">
        <v>0.66542000000000001</v>
      </c>
      <c r="J28" s="128">
        <v>0.95745999999999998</v>
      </c>
      <c r="L28" s="5">
        <f>Listas!C44</f>
        <v>45528</v>
      </c>
      <c r="M28" s="66"/>
      <c r="N28" s="68"/>
      <c r="O28" s="66"/>
    </row>
    <row r="29" spans="1:15">
      <c r="B29" s="5">
        <f>Listas!C45</f>
        <v>45529</v>
      </c>
      <c r="C29" s="127">
        <v>0.85240000000000005</v>
      </c>
      <c r="D29" s="127">
        <v>0.76429000000000014</v>
      </c>
      <c r="E29" s="127">
        <v>1.0672299999999999</v>
      </c>
      <c r="G29" s="5">
        <f>Listas!C45</f>
        <v>45529</v>
      </c>
      <c r="H29" s="128">
        <v>0.74480000000000002</v>
      </c>
      <c r="I29" s="128">
        <v>0.66542000000000001</v>
      </c>
      <c r="J29" s="128">
        <v>0.95745999999999998</v>
      </c>
      <c r="L29" s="5">
        <f>Listas!C45</f>
        <v>45529</v>
      </c>
      <c r="M29" s="66"/>
      <c r="N29" s="69"/>
      <c r="O29" s="66"/>
    </row>
    <row r="30" spans="1:15">
      <c r="B30" s="5">
        <f>Listas!C46</f>
        <v>45530</v>
      </c>
      <c r="C30" s="127">
        <v>0.85240000000000005</v>
      </c>
      <c r="D30" s="127">
        <v>0.76429000000000014</v>
      </c>
      <c r="E30" s="127">
        <v>1.0672299999999999</v>
      </c>
      <c r="G30" s="5">
        <f>Listas!C46</f>
        <v>45530</v>
      </c>
      <c r="H30" s="128">
        <v>0.74480000000000002</v>
      </c>
      <c r="I30" s="128">
        <v>0.66542000000000001</v>
      </c>
      <c r="J30" s="128">
        <v>0.95745999999999998</v>
      </c>
      <c r="L30" s="5">
        <f>Listas!C46</f>
        <v>45530</v>
      </c>
      <c r="M30" s="66"/>
      <c r="N30" s="69"/>
      <c r="O30" s="66"/>
    </row>
    <row r="31" spans="1:15">
      <c r="B31" s="5">
        <f>Listas!C47</f>
        <v>45531</v>
      </c>
      <c r="C31" s="127">
        <v>0.85240000000000005</v>
      </c>
      <c r="D31" s="127">
        <v>0.76429000000000014</v>
      </c>
      <c r="E31" s="127">
        <v>1.0672299999999999</v>
      </c>
      <c r="G31" s="5">
        <f>Listas!C47</f>
        <v>45531</v>
      </c>
      <c r="H31" s="128">
        <v>0.74480000000000002</v>
      </c>
      <c r="I31" s="128">
        <v>0.66542000000000001</v>
      </c>
      <c r="J31" s="128">
        <v>0.95745999999999998</v>
      </c>
      <c r="L31" s="5">
        <f>Listas!C47</f>
        <v>45531</v>
      </c>
      <c r="M31" s="66"/>
      <c r="N31" s="69"/>
      <c r="O31" s="66"/>
    </row>
    <row r="32" spans="1:15">
      <c r="A32" s="63"/>
      <c r="B32" s="5">
        <f>Listas!C48</f>
        <v>45532</v>
      </c>
      <c r="C32" s="127">
        <v>0.85240000000000005</v>
      </c>
      <c r="D32" s="127">
        <v>0.76429000000000014</v>
      </c>
      <c r="E32" s="127">
        <v>1.0672299999999999</v>
      </c>
      <c r="G32" s="5">
        <f>Listas!C48</f>
        <v>45532</v>
      </c>
      <c r="H32" s="128">
        <v>0.74480000000000002</v>
      </c>
      <c r="I32" s="128">
        <v>0.66542000000000001</v>
      </c>
      <c r="J32" s="128">
        <v>0.95745999999999998</v>
      </c>
      <c r="L32" s="5">
        <f>Listas!C48</f>
        <v>45532</v>
      </c>
      <c r="M32" s="66"/>
      <c r="N32" s="69"/>
      <c r="O32" s="66"/>
    </row>
    <row r="33" spans="1:15">
      <c r="B33" s="5">
        <f>Listas!C49</f>
        <v>45533</v>
      </c>
      <c r="C33" s="127">
        <v>0.85240000000000005</v>
      </c>
      <c r="D33" s="127">
        <v>0.76429000000000014</v>
      </c>
      <c r="E33" s="127">
        <v>1.0672299999999999</v>
      </c>
      <c r="G33" s="5">
        <f>Listas!C49</f>
        <v>45533</v>
      </c>
      <c r="H33" s="128">
        <v>0.74480000000000002</v>
      </c>
      <c r="I33" s="128">
        <v>0.66542000000000001</v>
      </c>
      <c r="J33" s="128">
        <v>0.95745999999999998</v>
      </c>
      <c r="L33" s="5">
        <f>Listas!C49</f>
        <v>45533</v>
      </c>
      <c r="M33" s="66"/>
      <c r="N33" s="69"/>
      <c r="O33" s="66"/>
    </row>
    <row r="34" spans="1:15">
      <c r="A34" s="63"/>
      <c r="B34" s="5">
        <f>Listas!C50</f>
        <v>45534</v>
      </c>
      <c r="C34" s="127">
        <v>0.85240000000000005</v>
      </c>
      <c r="D34" s="127">
        <v>0.76429000000000014</v>
      </c>
      <c r="E34" s="127">
        <v>1.0672299999999999</v>
      </c>
      <c r="G34" s="5">
        <f>Listas!C50</f>
        <v>45534</v>
      </c>
      <c r="H34" s="128">
        <v>0.74480000000000002</v>
      </c>
      <c r="I34" s="128">
        <v>0.66542000000000001</v>
      </c>
      <c r="J34" s="128">
        <v>0.95745999999999998</v>
      </c>
      <c r="L34" s="5">
        <f>Listas!C50</f>
        <v>45534</v>
      </c>
      <c r="M34" s="66"/>
      <c r="N34" s="69"/>
      <c r="O34" s="66"/>
    </row>
    <row r="35" spans="1:15">
      <c r="A35" s="63"/>
      <c r="B35" s="5">
        <f>Listas!C51</f>
        <v>45535</v>
      </c>
      <c r="C35" s="127">
        <v>0.85240000000000005</v>
      </c>
      <c r="D35" s="127">
        <v>0.76429000000000014</v>
      </c>
      <c r="E35" s="127">
        <v>1.0672299999999999</v>
      </c>
      <c r="G35" s="5">
        <f>Listas!C51</f>
        <v>45535</v>
      </c>
      <c r="H35" s="128">
        <v>0.74480000000000002</v>
      </c>
      <c r="I35" s="128">
        <v>0.66542000000000001</v>
      </c>
      <c r="J35" s="128">
        <v>0.95745999999999998</v>
      </c>
      <c r="L35" s="5">
        <f>Listas!C51</f>
        <v>45535</v>
      </c>
      <c r="M35" s="66"/>
      <c r="N35" s="69"/>
      <c r="O35" s="66"/>
    </row>
  </sheetData>
  <mergeCells count="3">
    <mergeCell ref="B2:E2"/>
    <mergeCell ref="G2:J2"/>
    <mergeCell ref="L2:O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2:BM53"/>
  <sheetViews>
    <sheetView workbookViewId="0">
      <pane ySplit="4" topLeftCell="BM20" activePane="bottomLeft" state="frozen"/>
      <selection pane="bottomLeft" activeCell="BM20" sqref="BM20"/>
    </sheetView>
  </sheetViews>
  <sheetFormatPr defaultColWidth="14.42578125" defaultRowHeight="15" customHeight="1"/>
  <sheetData>
    <row r="2" spans="1:65">
      <c r="B2" s="132" t="s">
        <v>9</v>
      </c>
      <c r="C2" s="146"/>
      <c r="D2" s="146"/>
      <c r="E2" s="146"/>
      <c r="G2" s="132" t="s">
        <v>10</v>
      </c>
      <c r="H2" s="146"/>
      <c r="I2" s="146"/>
      <c r="J2" s="146"/>
      <c r="L2" s="132" t="s">
        <v>11</v>
      </c>
      <c r="M2" s="146"/>
      <c r="N2" s="146"/>
      <c r="O2" s="146"/>
      <c r="Q2" s="132" t="s">
        <v>12</v>
      </c>
      <c r="R2" s="146"/>
      <c r="S2" s="146"/>
      <c r="T2" s="146"/>
      <c r="V2" s="132" t="s">
        <v>13</v>
      </c>
      <c r="W2" s="146"/>
      <c r="X2" s="146"/>
      <c r="Y2" s="146"/>
      <c r="AA2" s="132" t="s">
        <v>14</v>
      </c>
      <c r="AB2" s="146"/>
      <c r="AC2" s="146"/>
      <c r="AD2" s="146"/>
      <c r="AF2" s="132" t="s">
        <v>15</v>
      </c>
      <c r="AG2" s="146"/>
      <c r="AH2" s="146"/>
      <c r="AI2" s="146"/>
      <c r="AK2" s="132" t="s">
        <v>16</v>
      </c>
      <c r="AL2" s="146"/>
      <c r="AM2" s="146"/>
      <c r="AN2" s="146"/>
      <c r="AP2" s="132" t="s">
        <v>17</v>
      </c>
      <c r="AQ2" s="146"/>
      <c r="AR2" s="146"/>
      <c r="AS2" s="146"/>
      <c r="AU2" s="132" t="s">
        <v>18</v>
      </c>
      <c r="AV2" s="146"/>
      <c r="AW2" s="146"/>
      <c r="AX2" s="146"/>
      <c r="AZ2" s="132" t="s">
        <v>19</v>
      </c>
      <c r="BA2" s="146"/>
      <c r="BB2" s="146"/>
      <c r="BC2" s="146"/>
      <c r="BE2" s="132" t="s">
        <v>20</v>
      </c>
      <c r="BF2" s="146"/>
      <c r="BG2" s="146"/>
      <c r="BH2" s="146"/>
      <c r="BJ2" s="132" t="s">
        <v>21</v>
      </c>
      <c r="BK2" s="146"/>
      <c r="BL2" s="146"/>
      <c r="BM2" s="146"/>
    </row>
    <row r="3" spans="1:65">
      <c r="B3" s="131" t="s">
        <v>22</v>
      </c>
      <c r="C3" s="131"/>
      <c r="D3" s="131"/>
      <c r="E3" s="131"/>
      <c r="G3" s="131" t="s">
        <v>23</v>
      </c>
      <c r="H3" s="146"/>
      <c r="I3" s="146"/>
      <c r="J3" s="146"/>
      <c r="L3" s="131" t="s">
        <v>24</v>
      </c>
      <c r="M3" s="146"/>
      <c r="N3" s="146"/>
      <c r="O3" s="146"/>
      <c r="Q3" s="131" t="s">
        <v>25</v>
      </c>
      <c r="R3" s="146"/>
      <c r="S3" s="146"/>
      <c r="T3" s="146"/>
      <c r="V3" s="131" t="s">
        <v>26</v>
      </c>
      <c r="W3" s="146"/>
      <c r="X3" s="146"/>
      <c r="Y3" s="146"/>
      <c r="AA3" s="131" t="s">
        <v>27</v>
      </c>
      <c r="AB3" s="146"/>
      <c r="AC3" s="146"/>
      <c r="AD3" s="146"/>
      <c r="AF3" s="131" t="s">
        <v>28</v>
      </c>
      <c r="AG3" s="146"/>
      <c r="AH3" s="146"/>
      <c r="AI3" s="146"/>
      <c r="AK3" s="131" t="s">
        <v>29</v>
      </c>
      <c r="AL3" s="146"/>
      <c r="AM3" s="146"/>
      <c r="AN3" s="146"/>
      <c r="AP3" s="131" t="s">
        <v>30</v>
      </c>
      <c r="AQ3" s="146"/>
      <c r="AR3" s="146"/>
      <c r="AS3" s="146"/>
      <c r="AU3" s="131" t="s">
        <v>31</v>
      </c>
      <c r="AV3" s="146"/>
      <c r="AW3" s="146"/>
      <c r="AX3" s="146"/>
      <c r="AZ3" s="131" t="s">
        <v>32</v>
      </c>
      <c r="BA3" s="146"/>
      <c r="BB3" s="146"/>
      <c r="BC3" s="146"/>
      <c r="BE3" s="131" t="s">
        <v>33</v>
      </c>
      <c r="BF3" s="146"/>
      <c r="BG3" s="146"/>
      <c r="BH3" s="146"/>
      <c r="BJ3" s="131" t="s">
        <v>34</v>
      </c>
      <c r="BK3" s="146"/>
      <c r="BL3" s="146"/>
      <c r="BM3" s="146"/>
    </row>
    <row r="4" spans="1:65">
      <c r="B4" s="1" t="s">
        <v>2</v>
      </c>
      <c r="C4" s="7" t="s">
        <v>35</v>
      </c>
      <c r="D4" s="8" t="s">
        <v>4</v>
      </c>
      <c r="E4" s="4" t="s">
        <v>36</v>
      </c>
      <c r="G4" s="1" t="s">
        <v>2</v>
      </c>
      <c r="H4" s="7" t="s">
        <v>35</v>
      </c>
      <c r="I4" s="8" t="s">
        <v>4</v>
      </c>
      <c r="J4" s="4" t="s">
        <v>36</v>
      </c>
      <c r="L4" s="1" t="s">
        <v>2</v>
      </c>
      <c r="M4" s="7" t="s">
        <v>35</v>
      </c>
      <c r="N4" s="8" t="s">
        <v>4</v>
      </c>
      <c r="O4" s="4" t="s">
        <v>36</v>
      </c>
      <c r="Q4" s="1" t="s">
        <v>2</v>
      </c>
      <c r="R4" s="7" t="s">
        <v>35</v>
      </c>
      <c r="S4" s="8" t="s">
        <v>4</v>
      </c>
      <c r="T4" s="4" t="s">
        <v>36</v>
      </c>
      <c r="V4" s="1" t="s">
        <v>2</v>
      </c>
      <c r="W4" s="7" t="s">
        <v>35</v>
      </c>
      <c r="X4" s="8" t="s">
        <v>4</v>
      </c>
      <c r="Y4" s="4" t="s">
        <v>36</v>
      </c>
      <c r="AA4" s="1" t="s">
        <v>2</v>
      </c>
      <c r="AB4" s="7" t="s">
        <v>35</v>
      </c>
      <c r="AC4" s="8" t="s">
        <v>4</v>
      </c>
      <c r="AD4" s="4" t="s">
        <v>36</v>
      </c>
      <c r="AF4" s="1" t="s">
        <v>2</v>
      </c>
      <c r="AG4" s="7" t="s">
        <v>35</v>
      </c>
      <c r="AH4" s="8" t="s">
        <v>4</v>
      </c>
      <c r="AI4" s="4" t="s">
        <v>36</v>
      </c>
      <c r="AK4" s="1" t="s">
        <v>2</v>
      </c>
      <c r="AL4" s="7" t="s">
        <v>35</v>
      </c>
      <c r="AM4" s="8" t="s">
        <v>4</v>
      </c>
      <c r="AN4" s="4" t="s">
        <v>36</v>
      </c>
      <c r="AP4" s="1" t="s">
        <v>2</v>
      </c>
      <c r="AQ4" s="7" t="s">
        <v>35</v>
      </c>
      <c r="AR4" s="8" t="s">
        <v>4</v>
      </c>
      <c r="AS4" s="4" t="s">
        <v>36</v>
      </c>
      <c r="AU4" s="1" t="s">
        <v>2</v>
      </c>
      <c r="AV4" s="7" t="s">
        <v>35</v>
      </c>
      <c r="AW4" s="8" t="s">
        <v>4</v>
      </c>
      <c r="AX4" s="4" t="s">
        <v>36</v>
      </c>
      <c r="AZ4" s="1" t="s">
        <v>2</v>
      </c>
      <c r="BA4" s="7" t="s">
        <v>35</v>
      </c>
      <c r="BB4" s="8" t="s">
        <v>4</v>
      </c>
      <c r="BC4" s="4" t="s">
        <v>36</v>
      </c>
      <c r="BE4" s="1" t="s">
        <v>2</v>
      </c>
      <c r="BF4" s="7" t="s">
        <v>35</v>
      </c>
      <c r="BG4" s="8" t="s">
        <v>4</v>
      </c>
      <c r="BH4" s="4" t="s">
        <v>36</v>
      </c>
      <c r="BJ4" s="1" t="s">
        <v>2</v>
      </c>
      <c r="BK4" s="7" t="s">
        <v>35</v>
      </c>
      <c r="BL4" s="3" t="s">
        <v>4</v>
      </c>
      <c r="BM4" s="4" t="s">
        <v>36</v>
      </c>
    </row>
    <row r="5" spans="1:65">
      <c r="A5" s="9"/>
      <c r="B5" s="10">
        <f>Listas!C21</f>
        <v>45505</v>
      </c>
      <c r="C5" s="64">
        <v>23.79</v>
      </c>
      <c r="D5" s="64">
        <v>24.99</v>
      </c>
      <c r="E5" s="64">
        <v>25.19</v>
      </c>
      <c r="F5" s="11"/>
      <c r="G5" s="10">
        <f>Listas!C21</f>
        <v>45505</v>
      </c>
      <c r="H5" s="64">
        <v>23.39</v>
      </c>
      <c r="I5" s="64">
        <v>24.69</v>
      </c>
      <c r="J5" s="64">
        <v>24.79</v>
      </c>
      <c r="K5" s="9"/>
      <c r="L5" s="10">
        <f>Listas!C21</f>
        <v>45505</v>
      </c>
      <c r="M5" s="64">
        <v>23.79</v>
      </c>
      <c r="N5" s="64">
        <v>24.99</v>
      </c>
      <c r="O5" s="64">
        <v>25.19</v>
      </c>
      <c r="P5" s="9"/>
      <c r="Q5" s="10">
        <f>Listas!C21</f>
        <v>45505</v>
      </c>
      <c r="R5" s="64">
        <v>23.39</v>
      </c>
      <c r="S5" s="64">
        <v>24.69</v>
      </c>
      <c r="T5" s="64">
        <v>24.99</v>
      </c>
      <c r="U5" s="9"/>
      <c r="V5" s="10">
        <f>Listas!C21</f>
        <v>45505</v>
      </c>
      <c r="W5" s="64">
        <v>23.09</v>
      </c>
      <c r="X5" s="64">
        <v>24.61</v>
      </c>
      <c r="Y5" s="64">
        <v>24.59</v>
      </c>
      <c r="Z5" s="9"/>
      <c r="AA5" s="10">
        <f>Listas!C21</f>
        <v>45505</v>
      </c>
      <c r="AB5" s="64">
        <v>23.79</v>
      </c>
      <c r="AC5" s="64">
        <v>24.89</v>
      </c>
      <c r="AD5" s="64">
        <v>25.29</v>
      </c>
      <c r="AE5" s="9"/>
      <c r="AF5" s="10">
        <f>Listas!C21</f>
        <v>45505</v>
      </c>
      <c r="AG5" s="64">
        <v>23.29</v>
      </c>
      <c r="AH5" s="64">
        <v>24.89</v>
      </c>
      <c r="AI5" s="64">
        <v>24.99</v>
      </c>
      <c r="AJ5" s="9"/>
      <c r="AK5" s="10">
        <f>Listas!C21</f>
        <v>45505</v>
      </c>
      <c r="AL5" s="64">
        <v>23.59</v>
      </c>
      <c r="AM5" s="64">
        <v>25.19</v>
      </c>
      <c r="AN5" s="64">
        <v>25.35</v>
      </c>
      <c r="AO5" s="9"/>
      <c r="AP5" s="10">
        <f>Listas!C21</f>
        <v>45505</v>
      </c>
      <c r="AQ5" s="64">
        <v>23.79</v>
      </c>
      <c r="AR5" s="64">
        <v>24.99</v>
      </c>
      <c r="AS5" s="64">
        <v>25.19</v>
      </c>
      <c r="AT5" s="9"/>
      <c r="AU5" s="10">
        <f>Listas!C21</f>
        <v>45505</v>
      </c>
      <c r="AV5" s="64">
        <v>23.29</v>
      </c>
      <c r="AW5" s="64">
        <v>24.89</v>
      </c>
      <c r="AX5" s="64">
        <v>24.99</v>
      </c>
      <c r="AY5" s="9"/>
      <c r="AZ5" s="10">
        <f>Listas!C21</f>
        <v>45505</v>
      </c>
      <c r="BA5" s="64">
        <v>22.89</v>
      </c>
      <c r="BB5" s="64">
        <v>24.49</v>
      </c>
      <c r="BC5" s="64">
        <v>24.49</v>
      </c>
      <c r="BD5" s="9"/>
      <c r="BE5" s="10">
        <f>Listas!C21</f>
        <v>45505</v>
      </c>
      <c r="BF5" s="64">
        <v>23.19</v>
      </c>
      <c r="BG5" s="64">
        <v>25.39</v>
      </c>
      <c r="BH5" s="64">
        <v>25.19</v>
      </c>
      <c r="BI5" s="12"/>
      <c r="BJ5" s="10">
        <f>Listas!C21</f>
        <v>45505</v>
      </c>
      <c r="BK5" s="64">
        <v>23.09</v>
      </c>
      <c r="BL5" s="64">
        <v>24.59</v>
      </c>
      <c r="BM5" s="64">
        <v>24.49</v>
      </c>
    </row>
    <row r="6" spans="1:65">
      <c r="A6" s="9"/>
      <c r="B6" s="10">
        <f>Listas!C22</f>
        <v>45506</v>
      </c>
      <c r="C6" s="64">
        <v>23.79</v>
      </c>
      <c r="D6" s="64">
        <v>24.99</v>
      </c>
      <c r="E6" s="64">
        <v>25.19</v>
      </c>
      <c r="F6" s="9"/>
      <c r="G6" s="10">
        <f>Listas!C22</f>
        <v>45506</v>
      </c>
      <c r="H6" s="64">
        <v>23.39</v>
      </c>
      <c r="I6" s="64">
        <v>24.69</v>
      </c>
      <c r="J6" s="64">
        <v>24.79</v>
      </c>
      <c r="K6" s="9"/>
      <c r="L6" s="10">
        <f>Listas!C22</f>
        <v>45506</v>
      </c>
      <c r="M6" s="64">
        <v>23.79</v>
      </c>
      <c r="N6" s="64">
        <v>24.99</v>
      </c>
      <c r="O6" s="64">
        <v>25.19</v>
      </c>
      <c r="P6" s="9"/>
      <c r="Q6" s="10">
        <f>Listas!C22</f>
        <v>45506</v>
      </c>
      <c r="R6" s="64">
        <v>23.39</v>
      </c>
      <c r="S6" s="64">
        <v>24.69</v>
      </c>
      <c r="T6" s="64">
        <v>24.99</v>
      </c>
      <c r="U6" s="9"/>
      <c r="V6" s="10">
        <f>Listas!C22</f>
        <v>45506</v>
      </c>
      <c r="W6" s="64">
        <v>23.09</v>
      </c>
      <c r="X6" s="64">
        <v>24.61</v>
      </c>
      <c r="Y6" s="64">
        <v>24.59</v>
      </c>
      <c r="Z6" s="9"/>
      <c r="AA6" s="10">
        <f>Listas!C22</f>
        <v>45506</v>
      </c>
      <c r="AB6" s="64">
        <v>23.79</v>
      </c>
      <c r="AC6" s="64">
        <v>24.89</v>
      </c>
      <c r="AD6" s="64">
        <v>25.29</v>
      </c>
      <c r="AE6" s="9"/>
      <c r="AF6" s="10">
        <v>1</v>
      </c>
      <c r="AG6" s="64">
        <v>23.29</v>
      </c>
      <c r="AH6" s="64">
        <v>24.89</v>
      </c>
      <c r="AI6" s="64">
        <v>24.99</v>
      </c>
      <c r="AJ6" s="9"/>
      <c r="AK6" s="10">
        <f>Listas!C22</f>
        <v>45506</v>
      </c>
      <c r="AL6" s="64">
        <v>23.59</v>
      </c>
      <c r="AM6" s="64">
        <v>25.19</v>
      </c>
      <c r="AN6" s="64">
        <v>25.35</v>
      </c>
      <c r="AO6" s="9"/>
      <c r="AP6" s="10">
        <f>Listas!C22</f>
        <v>45506</v>
      </c>
      <c r="AQ6" s="64">
        <v>23.79</v>
      </c>
      <c r="AR6" s="64">
        <v>24.99</v>
      </c>
      <c r="AS6" s="64">
        <v>25.19</v>
      </c>
      <c r="AT6" s="9"/>
      <c r="AU6" s="10">
        <f>Listas!C22</f>
        <v>45506</v>
      </c>
      <c r="AV6" s="64">
        <v>23.29</v>
      </c>
      <c r="AW6" s="64">
        <v>24.89</v>
      </c>
      <c r="AX6" s="64">
        <v>24.99</v>
      </c>
      <c r="AY6" s="9"/>
      <c r="AZ6" s="10">
        <f>Listas!C22</f>
        <v>45506</v>
      </c>
      <c r="BA6" s="64">
        <v>22.89</v>
      </c>
      <c r="BB6" s="64">
        <v>24.49</v>
      </c>
      <c r="BC6" s="64">
        <v>24.49</v>
      </c>
      <c r="BD6" s="9"/>
      <c r="BE6" s="10">
        <f>Listas!C22</f>
        <v>45506</v>
      </c>
      <c r="BF6" s="64">
        <v>23.19</v>
      </c>
      <c r="BG6" s="64">
        <v>25.39</v>
      </c>
      <c r="BH6" s="64">
        <v>25.19</v>
      </c>
      <c r="BI6" s="9"/>
      <c r="BJ6" s="10">
        <f>Listas!C22</f>
        <v>45506</v>
      </c>
      <c r="BK6" s="64">
        <v>23.09</v>
      </c>
      <c r="BL6" s="64">
        <v>24.59</v>
      </c>
      <c r="BM6" s="64">
        <v>24.49</v>
      </c>
    </row>
    <row r="7" spans="1:65">
      <c r="A7" s="9"/>
      <c r="B7" s="10">
        <f>Listas!C23</f>
        <v>45507</v>
      </c>
      <c r="C7" s="64">
        <v>23.79</v>
      </c>
      <c r="D7" s="64">
        <v>24.99</v>
      </c>
      <c r="E7" s="64">
        <v>25.19</v>
      </c>
      <c r="F7" s="9"/>
      <c r="G7" s="10">
        <f>Listas!C23</f>
        <v>45507</v>
      </c>
      <c r="H7" s="64">
        <v>23.39</v>
      </c>
      <c r="I7" s="64">
        <v>24.69</v>
      </c>
      <c r="J7" s="64">
        <v>24.79</v>
      </c>
      <c r="K7" s="9"/>
      <c r="L7" s="10">
        <f>Listas!C23</f>
        <v>45507</v>
      </c>
      <c r="M7" s="64">
        <v>23.79</v>
      </c>
      <c r="N7" s="64">
        <v>24.99</v>
      </c>
      <c r="O7" s="64">
        <v>25.19</v>
      </c>
      <c r="P7" s="9"/>
      <c r="Q7" s="10">
        <f>Listas!C23</f>
        <v>45507</v>
      </c>
      <c r="R7" s="64">
        <v>23.39</v>
      </c>
      <c r="S7" s="64">
        <v>24.69</v>
      </c>
      <c r="T7" s="64">
        <v>24.99</v>
      </c>
      <c r="U7" s="9"/>
      <c r="V7" s="10">
        <f>Listas!C23</f>
        <v>45507</v>
      </c>
      <c r="W7" s="64">
        <v>23.09</v>
      </c>
      <c r="X7" s="64">
        <v>24.61</v>
      </c>
      <c r="Y7" s="64">
        <v>24.59</v>
      </c>
      <c r="Z7" s="9"/>
      <c r="AA7" s="10">
        <f>Listas!C23</f>
        <v>45507</v>
      </c>
      <c r="AB7" s="64">
        <v>23.79</v>
      </c>
      <c r="AC7" s="64">
        <v>24.89</v>
      </c>
      <c r="AD7" s="64">
        <v>25.29</v>
      </c>
      <c r="AE7" s="9"/>
      <c r="AF7" s="10">
        <f>Listas!C23</f>
        <v>45507</v>
      </c>
      <c r="AG7" s="64">
        <v>23.29</v>
      </c>
      <c r="AH7" s="64">
        <v>24.89</v>
      </c>
      <c r="AI7" s="64">
        <v>24.99</v>
      </c>
      <c r="AJ7" s="9"/>
      <c r="AK7" s="10">
        <f>Listas!C23</f>
        <v>45507</v>
      </c>
      <c r="AL7" s="64">
        <v>23.59</v>
      </c>
      <c r="AM7" s="64">
        <v>25.19</v>
      </c>
      <c r="AN7" s="64">
        <v>25.35</v>
      </c>
      <c r="AO7" s="9"/>
      <c r="AP7" s="10">
        <f>Listas!C23</f>
        <v>45507</v>
      </c>
      <c r="AQ7" s="64">
        <v>23.79</v>
      </c>
      <c r="AR7" s="64">
        <v>24.99</v>
      </c>
      <c r="AS7" s="64">
        <v>25.19</v>
      </c>
      <c r="AT7" s="9"/>
      <c r="AU7" s="10">
        <f>Listas!C23</f>
        <v>45507</v>
      </c>
      <c r="AV7" s="64">
        <v>23.29</v>
      </c>
      <c r="AW7" s="64">
        <v>24.89</v>
      </c>
      <c r="AX7" s="64">
        <v>24.99</v>
      </c>
      <c r="AY7" s="9"/>
      <c r="AZ7" s="10">
        <f>Listas!C23</f>
        <v>45507</v>
      </c>
      <c r="BA7" s="64">
        <v>22.89</v>
      </c>
      <c r="BB7" s="64">
        <v>24.49</v>
      </c>
      <c r="BC7" s="64">
        <v>24.49</v>
      </c>
      <c r="BD7" s="9"/>
      <c r="BE7" s="10">
        <f>Listas!C23</f>
        <v>45507</v>
      </c>
      <c r="BF7" s="64">
        <v>23.19</v>
      </c>
      <c r="BG7" s="64">
        <v>25.39</v>
      </c>
      <c r="BH7" s="64">
        <v>25.19</v>
      </c>
      <c r="BI7" s="9"/>
      <c r="BJ7" s="10">
        <f>Listas!C23</f>
        <v>45507</v>
      </c>
      <c r="BK7" s="73">
        <v>23.19</v>
      </c>
      <c r="BL7" s="64">
        <v>24.59</v>
      </c>
      <c r="BM7" s="64">
        <v>24.49</v>
      </c>
    </row>
    <row r="8" spans="1:65">
      <c r="A8" s="9"/>
      <c r="B8" s="10">
        <f>Listas!C24</f>
        <v>45508</v>
      </c>
      <c r="C8" s="64">
        <v>23.79</v>
      </c>
      <c r="D8" s="64">
        <v>24.99</v>
      </c>
      <c r="E8" s="64">
        <v>25.19</v>
      </c>
      <c r="F8" s="9"/>
      <c r="G8" s="10">
        <f>Listas!C24</f>
        <v>45508</v>
      </c>
      <c r="H8" s="64">
        <v>23.39</v>
      </c>
      <c r="I8" s="64">
        <v>24.69</v>
      </c>
      <c r="J8" s="64">
        <v>24.79</v>
      </c>
      <c r="K8" s="9"/>
      <c r="L8" s="10">
        <f>Listas!C24</f>
        <v>45508</v>
      </c>
      <c r="M8" s="64">
        <v>23.79</v>
      </c>
      <c r="N8" s="64">
        <v>24.99</v>
      </c>
      <c r="O8" s="64">
        <v>25.19</v>
      </c>
      <c r="P8" s="9"/>
      <c r="Q8" s="10">
        <f>Listas!C24</f>
        <v>45508</v>
      </c>
      <c r="R8" s="64">
        <v>23.39</v>
      </c>
      <c r="S8" s="64">
        <v>24.69</v>
      </c>
      <c r="T8" s="64">
        <v>24.99</v>
      </c>
      <c r="U8" s="9"/>
      <c r="V8" s="10">
        <f>Listas!C24</f>
        <v>45508</v>
      </c>
      <c r="W8" s="64">
        <v>23.09</v>
      </c>
      <c r="X8" s="64">
        <v>24.61</v>
      </c>
      <c r="Y8" s="64">
        <v>24.59</v>
      </c>
      <c r="Z8" s="9"/>
      <c r="AA8" s="10">
        <f>Listas!C24</f>
        <v>45508</v>
      </c>
      <c r="AB8" s="64">
        <v>23.79</v>
      </c>
      <c r="AC8" s="64">
        <v>24.89</v>
      </c>
      <c r="AD8" s="64">
        <v>25.29</v>
      </c>
      <c r="AE8" s="9"/>
      <c r="AF8" s="10">
        <f>Listas!C24</f>
        <v>45508</v>
      </c>
      <c r="AG8" s="64">
        <v>23.29</v>
      </c>
      <c r="AH8" s="64">
        <v>24.89</v>
      </c>
      <c r="AI8" s="64">
        <v>24.99</v>
      </c>
      <c r="AJ8" s="9"/>
      <c r="AK8" s="10">
        <f>Listas!C24</f>
        <v>45508</v>
      </c>
      <c r="AL8" s="64">
        <v>23.59</v>
      </c>
      <c r="AM8" s="64">
        <v>25.19</v>
      </c>
      <c r="AN8" s="64">
        <v>25.35</v>
      </c>
      <c r="AO8" s="9"/>
      <c r="AP8" s="10">
        <f>Listas!C24</f>
        <v>45508</v>
      </c>
      <c r="AQ8" s="64">
        <v>23.79</v>
      </c>
      <c r="AR8" s="64">
        <v>24.99</v>
      </c>
      <c r="AS8" s="64">
        <v>25.19</v>
      </c>
      <c r="AT8" s="9"/>
      <c r="AU8" s="10">
        <f>Listas!C24</f>
        <v>45508</v>
      </c>
      <c r="AV8" s="64">
        <v>23.29</v>
      </c>
      <c r="AW8" s="64">
        <v>24.89</v>
      </c>
      <c r="AX8" s="64">
        <v>24.99</v>
      </c>
      <c r="AY8" s="9"/>
      <c r="AZ8" s="10">
        <f>Listas!C24</f>
        <v>45508</v>
      </c>
      <c r="BA8" s="64">
        <v>22.89</v>
      </c>
      <c r="BB8" s="64">
        <v>24.49</v>
      </c>
      <c r="BC8" s="64">
        <v>24.49</v>
      </c>
      <c r="BD8" s="9"/>
      <c r="BE8" s="10">
        <f>Listas!C24</f>
        <v>45508</v>
      </c>
      <c r="BF8" s="64">
        <v>23.19</v>
      </c>
      <c r="BG8" s="64">
        <v>25.39</v>
      </c>
      <c r="BH8" s="64">
        <v>25.19</v>
      </c>
      <c r="BI8" s="9"/>
      <c r="BJ8" s="10">
        <f>Listas!C24</f>
        <v>45508</v>
      </c>
      <c r="BK8" s="64">
        <v>23.19</v>
      </c>
      <c r="BL8" s="64">
        <v>24.59</v>
      </c>
      <c r="BM8" s="64">
        <v>24.49</v>
      </c>
    </row>
    <row r="9" spans="1:65">
      <c r="A9" s="9"/>
      <c r="B9" s="10">
        <f>Listas!C25</f>
        <v>45509</v>
      </c>
      <c r="C9" s="64">
        <v>23.79</v>
      </c>
      <c r="D9" s="64">
        <v>24.99</v>
      </c>
      <c r="E9" s="64">
        <v>25.19</v>
      </c>
      <c r="F9" s="9"/>
      <c r="G9" s="10">
        <f>Listas!C25</f>
        <v>45509</v>
      </c>
      <c r="H9" s="64">
        <v>23.39</v>
      </c>
      <c r="I9" s="64">
        <v>24.69</v>
      </c>
      <c r="J9" s="64">
        <v>24.79</v>
      </c>
      <c r="K9" s="9"/>
      <c r="L9" s="10">
        <f>Listas!C25</f>
        <v>45509</v>
      </c>
      <c r="M9" s="64">
        <v>23.79</v>
      </c>
      <c r="N9" s="64">
        <v>24.99</v>
      </c>
      <c r="O9" s="64">
        <v>25.19</v>
      </c>
      <c r="P9" s="9"/>
      <c r="Q9" s="10">
        <f>Listas!C25</f>
        <v>45509</v>
      </c>
      <c r="R9" s="64">
        <v>23.39</v>
      </c>
      <c r="S9" s="64">
        <v>24.69</v>
      </c>
      <c r="T9" s="64">
        <v>24.99</v>
      </c>
      <c r="U9" s="9"/>
      <c r="V9" s="10">
        <f>Listas!C25</f>
        <v>45509</v>
      </c>
      <c r="W9" s="64">
        <v>23.09</v>
      </c>
      <c r="X9" s="64">
        <v>24.61</v>
      </c>
      <c r="Y9" s="64">
        <v>24.59</v>
      </c>
      <c r="Z9" s="9"/>
      <c r="AA9" s="10">
        <f>Listas!C25</f>
        <v>45509</v>
      </c>
      <c r="AB9" s="64">
        <v>23.79</v>
      </c>
      <c r="AC9" s="64">
        <v>24.89</v>
      </c>
      <c r="AD9" s="64">
        <v>25.29</v>
      </c>
      <c r="AE9" s="9"/>
      <c r="AF9" s="10">
        <f>Listas!C25</f>
        <v>45509</v>
      </c>
      <c r="AG9" s="64">
        <v>23.29</v>
      </c>
      <c r="AH9" s="64">
        <v>24.89</v>
      </c>
      <c r="AI9" s="64">
        <v>24.99</v>
      </c>
      <c r="AJ9" s="9"/>
      <c r="AK9" s="10">
        <f>Listas!C25</f>
        <v>45509</v>
      </c>
      <c r="AL9" s="64">
        <v>23.59</v>
      </c>
      <c r="AM9" s="64">
        <v>25.19</v>
      </c>
      <c r="AN9" s="64">
        <v>25.35</v>
      </c>
      <c r="AO9" s="9"/>
      <c r="AP9" s="10">
        <f>Listas!C25</f>
        <v>45509</v>
      </c>
      <c r="AQ9" s="64">
        <v>23.79</v>
      </c>
      <c r="AR9" s="64">
        <v>24.99</v>
      </c>
      <c r="AS9" s="64">
        <v>25.19</v>
      </c>
      <c r="AT9" s="9"/>
      <c r="AU9" s="10">
        <f>Listas!C25</f>
        <v>45509</v>
      </c>
      <c r="AV9" s="64">
        <v>23.29</v>
      </c>
      <c r="AW9" s="64">
        <v>24.89</v>
      </c>
      <c r="AX9" s="64">
        <v>24.99</v>
      </c>
      <c r="AY9" s="9"/>
      <c r="AZ9" s="10">
        <f>Listas!C25</f>
        <v>45509</v>
      </c>
      <c r="BA9" s="64">
        <v>22.89</v>
      </c>
      <c r="BB9" s="64">
        <v>24.49</v>
      </c>
      <c r="BC9" s="64">
        <v>24.49</v>
      </c>
      <c r="BD9" s="9"/>
      <c r="BE9" s="10">
        <f>Listas!C25</f>
        <v>45509</v>
      </c>
      <c r="BF9" s="64">
        <v>23.19</v>
      </c>
      <c r="BG9" s="64">
        <v>25.39</v>
      </c>
      <c r="BH9" s="64">
        <v>25.19</v>
      </c>
      <c r="BI9" s="9"/>
      <c r="BJ9" s="10">
        <f>Listas!C25</f>
        <v>45509</v>
      </c>
      <c r="BK9" s="64">
        <v>23.19</v>
      </c>
      <c r="BL9" s="64">
        <v>24.59</v>
      </c>
      <c r="BM9" s="64">
        <v>24.49</v>
      </c>
    </row>
    <row r="10" spans="1:65">
      <c r="A10" s="9"/>
      <c r="B10" s="10">
        <f>Listas!C26</f>
        <v>45510</v>
      </c>
      <c r="C10" s="64">
        <v>23.79</v>
      </c>
      <c r="D10" s="64">
        <v>24.99</v>
      </c>
      <c r="E10" s="64">
        <v>25.19</v>
      </c>
      <c r="F10" s="9"/>
      <c r="G10" s="10">
        <f>Listas!C26</f>
        <v>45510</v>
      </c>
      <c r="H10" s="64">
        <v>23.39</v>
      </c>
      <c r="I10" s="64">
        <v>24.69</v>
      </c>
      <c r="J10" s="64">
        <v>24.79</v>
      </c>
      <c r="K10" s="9"/>
      <c r="L10" s="10">
        <f>Listas!C26</f>
        <v>45510</v>
      </c>
      <c r="M10" s="64">
        <v>23.79</v>
      </c>
      <c r="N10" s="64">
        <v>24.99</v>
      </c>
      <c r="O10" s="64">
        <v>25.19</v>
      </c>
      <c r="P10" s="9"/>
      <c r="Q10" s="10">
        <f>Listas!C26</f>
        <v>45510</v>
      </c>
      <c r="R10" s="64">
        <v>23.39</v>
      </c>
      <c r="S10" s="64">
        <v>24.69</v>
      </c>
      <c r="T10" s="64">
        <v>24.99</v>
      </c>
      <c r="U10" s="9"/>
      <c r="V10" s="10">
        <f>Listas!C26</f>
        <v>45510</v>
      </c>
      <c r="W10" s="64">
        <v>23.09</v>
      </c>
      <c r="X10" s="64">
        <v>24.61</v>
      </c>
      <c r="Y10" s="64">
        <v>24.59</v>
      </c>
      <c r="Z10" s="9"/>
      <c r="AA10" s="10">
        <f>Listas!C26</f>
        <v>45510</v>
      </c>
      <c r="AB10" s="64">
        <v>23.79</v>
      </c>
      <c r="AC10" s="64">
        <v>24.89</v>
      </c>
      <c r="AD10" s="64">
        <v>25.29</v>
      </c>
      <c r="AE10" s="9"/>
      <c r="AF10" s="10">
        <f>Listas!C26</f>
        <v>45510</v>
      </c>
      <c r="AG10" s="64">
        <v>23.29</v>
      </c>
      <c r="AH10" s="64">
        <v>24.89</v>
      </c>
      <c r="AI10" s="64">
        <v>24.99</v>
      </c>
      <c r="AJ10" s="9"/>
      <c r="AK10" s="10">
        <f>Listas!C26</f>
        <v>45510</v>
      </c>
      <c r="AL10" s="64">
        <v>23.59</v>
      </c>
      <c r="AM10" s="64">
        <v>25.19</v>
      </c>
      <c r="AN10" s="64">
        <v>25.35</v>
      </c>
      <c r="AO10" s="9"/>
      <c r="AP10" s="10">
        <f>Listas!C26</f>
        <v>45510</v>
      </c>
      <c r="AQ10" s="64">
        <v>23.79</v>
      </c>
      <c r="AR10" s="64">
        <v>24.99</v>
      </c>
      <c r="AS10" s="64">
        <v>25.19</v>
      </c>
      <c r="AT10" s="9"/>
      <c r="AU10" s="10">
        <f>Listas!C26</f>
        <v>45510</v>
      </c>
      <c r="AV10" s="64">
        <v>23.29</v>
      </c>
      <c r="AW10" s="64">
        <v>24.89</v>
      </c>
      <c r="AX10" s="64">
        <v>24.99</v>
      </c>
      <c r="AY10" s="9"/>
      <c r="AZ10" s="10">
        <f>Listas!C26</f>
        <v>45510</v>
      </c>
      <c r="BA10" s="64">
        <v>22.89</v>
      </c>
      <c r="BB10" s="64">
        <v>24.49</v>
      </c>
      <c r="BC10" s="64">
        <v>24.49</v>
      </c>
      <c r="BD10" s="9"/>
      <c r="BE10" s="10">
        <f>Listas!C26</f>
        <v>45510</v>
      </c>
      <c r="BF10" s="64">
        <v>23.19</v>
      </c>
      <c r="BG10" s="64">
        <v>25.39</v>
      </c>
      <c r="BH10" s="64">
        <v>25.19</v>
      </c>
      <c r="BI10" s="9"/>
      <c r="BJ10" s="10">
        <f>Listas!C26</f>
        <v>45510</v>
      </c>
      <c r="BK10" s="64">
        <v>23.19</v>
      </c>
      <c r="BL10" s="64">
        <v>24.59</v>
      </c>
      <c r="BM10" s="64">
        <v>24.49</v>
      </c>
    </row>
    <row r="11" spans="1:65">
      <c r="A11" s="9"/>
      <c r="B11" s="10">
        <f>Listas!C27</f>
        <v>45511</v>
      </c>
      <c r="C11" s="64">
        <v>23.79</v>
      </c>
      <c r="D11" s="64">
        <v>24.99</v>
      </c>
      <c r="E11" s="64">
        <v>25.19</v>
      </c>
      <c r="F11" s="9"/>
      <c r="G11" s="10">
        <f>Listas!C27</f>
        <v>45511</v>
      </c>
      <c r="H11" s="64">
        <v>23.39</v>
      </c>
      <c r="I11" s="64">
        <v>24.69</v>
      </c>
      <c r="J11" s="64">
        <v>24.79</v>
      </c>
      <c r="K11" s="9"/>
      <c r="L11" s="10">
        <f>Listas!C27</f>
        <v>45511</v>
      </c>
      <c r="M11" s="64">
        <v>23.79</v>
      </c>
      <c r="N11" s="64">
        <v>24.99</v>
      </c>
      <c r="O11" s="64">
        <v>25.19</v>
      </c>
      <c r="P11" s="9"/>
      <c r="Q11" s="10">
        <f>Listas!C27</f>
        <v>45511</v>
      </c>
      <c r="R11" s="64">
        <v>23.39</v>
      </c>
      <c r="S11" s="64">
        <v>24.69</v>
      </c>
      <c r="T11" s="64">
        <v>24.99</v>
      </c>
      <c r="U11" s="9"/>
      <c r="V11" s="10">
        <f>Listas!C27</f>
        <v>45511</v>
      </c>
      <c r="W11" s="64">
        <v>23.09</v>
      </c>
      <c r="X11" s="64">
        <v>24.61</v>
      </c>
      <c r="Y11" s="64">
        <v>24.59</v>
      </c>
      <c r="Z11" s="9"/>
      <c r="AA11" s="10">
        <f>Listas!C27</f>
        <v>45511</v>
      </c>
      <c r="AB11" s="64">
        <v>23.79</v>
      </c>
      <c r="AC11" s="64">
        <v>24.89</v>
      </c>
      <c r="AD11" s="64">
        <v>25.29</v>
      </c>
      <c r="AE11" s="9"/>
      <c r="AF11" s="10">
        <f>Listas!C27</f>
        <v>45511</v>
      </c>
      <c r="AG11" s="64">
        <v>23.29</v>
      </c>
      <c r="AH11" s="64">
        <v>24.89</v>
      </c>
      <c r="AI11" s="64">
        <v>24.99</v>
      </c>
      <c r="AJ11" s="9"/>
      <c r="AK11" s="10">
        <f>Listas!C27</f>
        <v>45511</v>
      </c>
      <c r="AL11" s="64">
        <v>23.59</v>
      </c>
      <c r="AM11" s="64">
        <v>25.19</v>
      </c>
      <c r="AN11" s="64">
        <v>25.35</v>
      </c>
      <c r="AO11" s="9"/>
      <c r="AP11" s="10">
        <f>Listas!C27</f>
        <v>45511</v>
      </c>
      <c r="AQ11" s="64">
        <v>23.79</v>
      </c>
      <c r="AR11" s="64">
        <v>24.99</v>
      </c>
      <c r="AS11" s="64">
        <v>25.19</v>
      </c>
      <c r="AT11" s="9"/>
      <c r="AU11" s="10">
        <f>Listas!C27</f>
        <v>45511</v>
      </c>
      <c r="AV11" s="64">
        <v>23.29</v>
      </c>
      <c r="AW11" s="64">
        <v>24.89</v>
      </c>
      <c r="AX11" s="64">
        <v>24.99</v>
      </c>
      <c r="AY11" s="9"/>
      <c r="AZ11" s="10">
        <f>Listas!C27</f>
        <v>45511</v>
      </c>
      <c r="BA11" s="64">
        <v>22.89</v>
      </c>
      <c r="BB11" s="64">
        <v>24.49</v>
      </c>
      <c r="BC11" s="64">
        <v>24.49</v>
      </c>
      <c r="BD11" s="9"/>
      <c r="BE11" s="10">
        <f>Listas!C27</f>
        <v>45511</v>
      </c>
      <c r="BF11" s="64">
        <v>23.19</v>
      </c>
      <c r="BG11" s="64">
        <v>25.39</v>
      </c>
      <c r="BH11" s="64">
        <v>25.19</v>
      </c>
      <c r="BI11" s="9"/>
      <c r="BJ11" s="10">
        <f>Listas!C27</f>
        <v>45511</v>
      </c>
      <c r="BK11" s="64">
        <v>23.19</v>
      </c>
      <c r="BL11" s="64">
        <v>24.59</v>
      </c>
      <c r="BM11" s="64">
        <v>24.49</v>
      </c>
    </row>
    <row r="12" spans="1:65">
      <c r="A12" s="9"/>
      <c r="B12" s="10">
        <f>Listas!C28</f>
        <v>45512</v>
      </c>
      <c r="C12" s="64">
        <v>23.79</v>
      </c>
      <c r="D12" s="64">
        <v>24.99</v>
      </c>
      <c r="E12" s="64">
        <v>25.19</v>
      </c>
      <c r="F12" s="9"/>
      <c r="G12" s="10">
        <f>Listas!C28</f>
        <v>45512</v>
      </c>
      <c r="H12" s="64">
        <v>23.39</v>
      </c>
      <c r="I12" s="64">
        <v>24.69</v>
      </c>
      <c r="J12" s="64">
        <v>24.79</v>
      </c>
      <c r="K12" s="9"/>
      <c r="L12" s="10">
        <f>Listas!C28</f>
        <v>45512</v>
      </c>
      <c r="M12" s="64">
        <v>23.79</v>
      </c>
      <c r="N12" s="64">
        <v>24.99</v>
      </c>
      <c r="O12" s="64">
        <v>25.19</v>
      </c>
      <c r="P12" s="9"/>
      <c r="Q12" s="10">
        <f>Listas!C28</f>
        <v>45512</v>
      </c>
      <c r="R12" s="64">
        <v>23.39</v>
      </c>
      <c r="S12" s="64">
        <v>24.69</v>
      </c>
      <c r="T12" s="64">
        <v>24.99</v>
      </c>
      <c r="U12" s="9"/>
      <c r="V12" s="10">
        <f>Listas!C28</f>
        <v>45512</v>
      </c>
      <c r="W12" s="64">
        <v>23.09</v>
      </c>
      <c r="X12" s="64">
        <v>24.61</v>
      </c>
      <c r="Y12" s="64">
        <v>24.59</v>
      </c>
      <c r="Z12" s="9"/>
      <c r="AA12" s="10">
        <f>Listas!C28</f>
        <v>45512</v>
      </c>
      <c r="AB12" s="64">
        <v>23.79</v>
      </c>
      <c r="AC12" s="64">
        <v>24.89</v>
      </c>
      <c r="AD12" s="64">
        <v>25.29</v>
      </c>
      <c r="AE12" s="9"/>
      <c r="AF12" s="10">
        <f>Listas!C28</f>
        <v>45512</v>
      </c>
      <c r="AG12" s="64">
        <v>23.29</v>
      </c>
      <c r="AH12" s="64">
        <v>24.89</v>
      </c>
      <c r="AI12" s="64">
        <v>24.99</v>
      </c>
      <c r="AJ12" s="9"/>
      <c r="AK12" s="10">
        <f>Listas!C28</f>
        <v>45512</v>
      </c>
      <c r="AL12" s="64">
        <v>23.59</v>
      </c>
      <c r="AM12" s="64">
        <v>25.19</v>
      </c>
      <c r="AN12" s="64">
        <v>25.35</v>
      </c>
      <c r="AO12" s="9"/>
      <c r="AP12" s="10">
        <f>Listas!C28</f>
        <v>45512</v>
      </c>
      <c r="AQ12" s="64">
        <v>23.79</v>
      </c>
      <c r="AR12" s="64">
        <v>24.99</v>
      </c>
      <c r="AS12" s="64">
        <v>25.19</v>
      </c>
      <c r="AT12" s="9"/>
      <c r="AU12" s="10">
        <f>Listas!C28</f>
        <v>45512</v>
      </c>
      <c r="AV12" s="64">
        <v>23.29</v>
      </c>
      <c r="AW12" s="64">
        <v>24.89</v>
      </c>
      <c r="AX12" s="64">
        <v>24.99</v>
      </c>
      <c r="AY12" s="9"/>
      <c r="AZ12" s="10">
        <f>Listas!C28</f>
        <v>45512</v>
      </c>
      <c r="BA12" s="64">
        <v>22.89</v>
      </c>
      <c r="BB12" s="64">
        <v>24.49</v>
      </c>
      <c r="BC12" s="64">
        <v>24.49</v>
      </c>
      <c r="BD12" s="9"/>
      <c r="BE12" s="10">
        <f>Listas!C28</f>
        <v>45512</v>
      </c>
      <c r="BF12" s="64">
        <v>23.19</v>
      </c>
      <c r="BG12" s="64">
        <v>25.39</v>
      </c>
      <c r="BH12" s="64">
        <v>25.19</v>
      </c>
      <c r="BI12" s="9"/>
      <c r="BJ12" s="10">
        <f>Listas!C28</f>
        <v>45512</v>
      </c>
      <c r="BK12" s="64">
        <v>23.19</v>
      </c>
      <c r="BL12" s="64">
        <v>24.59</v>
      </c>
      <c r="BM12" s="64">
        <v>24.49</v>
      </c>
    </row>
    <row r="13" spans="1:65">
      <c r="A13" s="9"/>
      <c r="B13" s="10">
        <f>Listas!C29</f>
        <v>45513</v>
      </c>
      <c r="C13" s="64">
        <v>23.79</v>
      </c>
      <c r="D13" s="64">
        <v>24.99</v>
      </c>
      <c r="E13" s="64">
        <v>25.19</v>
      </c>
      <c r="F13" s="9"/>
      <c r="G13" s="10">
        <f>Listas!C29</f>
        <v>45513</v>
      </c>
      <c r="H13" s="64">
        <v>23.39</v>
      </c>
      <c r="I13" s="64">
        <v>24.69</v>
      </c>
      <c r="J13" s="64">
        <v>24.79</v>
      </c>
      <c r="K13" s="9"/>
      <c r="L13" s="10">
        <f>Listas!C29</f>
        <v>45513</v>
      </c>
      <c r="M13" s="64">
        <v>23.79</v>
      </c>
      <c r="N13" s="64">
        <v>24.99</v>
      </c>
      <c r="O13" s="64">
        <v>25.19</v>
      </c>
      <c r="P13" s="9"/>
      <c r="Q13" s="10">
        <f>Listas!C29</f>
        <v>45513</v>
      </c>
      <c r="R13" s="64">
        <v>23.39</v>
      </c>
      <c r="S13" s="64">
        <v>24.69</v>
      </c>
      <c r="T13" s="64">
        <v>24.99</v>
      </c>
      <c r="U13" s="9"/>
      <c r="V13" s="10">
        <f>Listas!C29</f>
        <v>45513</v>
      </c>
      <c r="W13" s="64">
        <v>23.09</v>
      </c>
      <c r="X13" s="64">
        <v>24.61</v>
      </c>
      <c r="Y13" s="64">
        <v>24.59</v>
      </c>
      <c r="Z13" s="9"/>
      <c r="AA13" s="10">
        <f>Listas!C29</f>
        <v>45513</v>
      </c>
      <c r="AB13" s="64">
        <v>23.79</v>
      </c>
      <c r="AC13" s="64">
        <v>24.89</v>
      </c>
      <c r="AD13" s="64">
        <v>25.29</v>
      </c>
      <c r="AE13" s="9"/>
      <c r="AF13" s="10">
        <f>Listas!C29</f>
        <v>45513</v>
      </c>
      <c r="AG13" s="64">
        <v>23.29</v>
      </c>
      <c r="AH13" s="64">
        <v>24.89</v>
      </c>
      <c r="AI13" s="64">
        <v>24.99</v>
      </c>
      <c r="AJ13" s="9"/>
      <c r="AK13" s="10">
        <f>Listas!C29</f>
        <v>45513</v>
      </c>
      <c r="AL13" s="64">
        <v>23.59</v>
      </c>
      <c r="AM13" s="64">
        <v>25.19</v>
      </c>
      <c r="AN13" s="64">
        <v>25.35</v>
      </c>
      <c r="AO13" s="9"/>
      <c r="AP13" s="10">
        <f>Listas!C29</f>
        <v>45513</v>
      </c>
      <c r="AQ13" s="64">
        <v>23.79</v>
      </c>
      <c r="AR13" s="64">
        <v>24.99</v>
      </c>
      <c r="AS13" s="64">
        <v>25.19</v>
      </c>
      <c r="AT13" s="9"/>
      <c r="AU13" s="10">
        <f>Listas!C29</f>
        <v>45513</v>
      </c>
      <c r="AV13" s="64">
        <v>23.29</v>
      </c>
      <c r="AW13" s="64">
        <v>24.89</v>
      </c>
      <c r="AX13" s="64">
        <v>24.99</v>
      </c>
      <c r="AY13" s="9"/>
      <c r="AZ13" s="10">
        <f>Listas!C29</f>
        <v>45513</v>
      </c>
      <c r="BA13" s="64">
        <v>22.89</v>
      </c>
      <c r="BB13" s="64">
        <v>24.49</v>
      </c>
      <c r="BC13" s="64">
        <v>24.49</v>
      </c>
      <c r="BD13" s="9"/>
      <c r="BE13" s="10">
        <f>Listas!C29</f>
        <v>45513</v>
      </c>
      <c r="BF13" s="64">
        <v>23.19</v>
      </c>
      <c r="BG13" s="64">
        <v>25.39</v>
      </c>
      <c r="BH13" s="64">
        <v>25.19</v>
      </c>
      <c r="BI13" s="9"/>
      <c r="BJ13" s="10">
        <f>Listas!C29</f>
        <v>45513</v>
      </c>
      <c r="BK13" s="64">
        <v>23.19</v>
      </c>
      <c r="BL13" s="64">
        <v>24.59</v>
      </c>
      <c r="BM13" s="64">
        <v>24.49</v>
      </c>
    </row>
    <row r="14" spans="1:65">
      <c r="A14" s="9"/>
      <c r="B14" s="10">
        <f>Listas!C30</f>
        <v>45514</v>
      </c>
      <c r="C14" s="64">
        <v>23.79</v>
      </c>
      <c r="D14" s="64">
        <v>24.99</v>
      </c>
      <c r="E14" s="64">
        <v>25.19</v>
      </c>
      <c r="F14" s="9"/>
      <c r="G14" s="10">
        <f>Listas!C30</f>
        <v>45514</v>
      </c>
      <c r="H14" s="64">
        <v>23.39</v>
      </c>
      <c r="I14" s="64">
        <v>24.69</v>
      </c>
      <c r="J14" s="64">
        <v>24.79</v>
      </c>
      <c r="K14" s="9"/>
      <c r="L14" s="10">
        <f>Listas!C30</f>
        <v>45514</v>
      </c>
      <c r="M14" s="64">
        <v>23.79</v>
      </c>
      <c r="N14" s="64">
        <v>24.99</v>
      </c>
      <c r="O14" s="64">
        <v>25.19</v>
      </c>
      <c r="P14" s="9"/>
      <c r="Q14" s="10">
        <f>Listas!C30</f>
        <v>45514</v>
      </c>
      <c r="R14" s="64">
        <v>23.39</v>
      </c>
      <c r="S14" s="64">
        <v>24.69</v>
      </c>
      <c r="T14" s="64">
        <v>24.99</v>
      </c>
      <c r="U14" s="9"/>
      <c r="V14" s="10">
        <f>Listas!C30</f>
        <v>45514</v>
      </c>
      <c r="W14" s="64">
        <v>23.09</v>
      </c>
      <c r="X14" s="64">
        <v>24.61</v>
      </c>
      <c r="Y14" s="64">
        <v>24.59</v>
      </c>
      <c r="Z14" s="9"/>
      <c r="AA14" s="10">
        <f>Listas!C30</f>
        <v>45514</v>
      </c>
      <c r="AB14" s="64">
        <v>23.79</v>
      </c>
      <c r="AC14" s="64">
        <v>24.89</v>
      </c>
      <c r="AD14" s="64">
        <v>25.29</v>
      </c>
      <c r="AE14" s="9"/>
      <c r="AF14" s="10">
        <f>Listas!C30</f>
        <v>45514</v>
      </c>
      <c r="AG14" s="64">
        <v>23.29</v>
      </c>
      <c r="AH14" s="64">
        <v>24.89</v>
      </c>
      <c r="AI14" s="64">
        <v>24.99</v>
      </c>
      <c r="AJ14" s="9"/>
      <c r="AK14" s="10">
        <f>Listas!C30</f>
        <v>45514</v>
      </c>
      <c r="AL14" s="64">
        <v>23.59</v>
      </c>
      <c r="AM14" s="64">
        <v>25.19</v>
      </c>
      <c r="AN14" s="64">
        <v>25.35</v>
      </c>
      <c r="AO14" s="9"/>
      <c r="AP14" s="10">
        <f>Listas!C30</f>
        <v>45514</v>
      </c>
      <c r="AQ14" s="64">
        <v>23.79</v>
      </c>
      <c r="AR14" s="64">
        <v>24.99</v>
      </c>
      <c r="AS14" s="64">
        <v>25.19</v>
      </c>
      <c r="AT14" s="9"/>
      <c r="AU14" s="10">
        <f>Listas!C30</f>
        <v>45514</v>
      </c>
      <c r="AV14" s="64">
        <v>23.29</v>
      </c>
      <c r="AW14" s="64">
        <v>24.89</v>
      </c>
      <c r="AX14" s="64">
        <v>24.99</v>
      </c>
      <c r="AY14" s="9"/>
      <c r="AZ14" s="10">
        <f>Listas!C30</f>
        <v>45514</v>
      </c>
      <c r="BA14" s="64">
        <v>22.89</v>
      </c>
      <c r="BB14" s="64">
        <v>24.49</v>
      </c>
      <c r="BC14" s="64">
        <v>24.49</v>
      </c>
      <c r="BD14" s="9"/>
      <c r="BE14" s="10">
        <f>Listas!C30</f>
        <v>45514</v>
      </c>
      <c r="BF14" s="64">
        <v>23.19</v>
      </c>
      <c r="BG14" s="64">
        <v>25.39</v>
      </c>
      <c r="BH14" s="64">
        <v>25.19</v>
      </c>
      <c r="BI14" s="9"/>
      <c r="BJ14" s="10">
        <f>Listas!C30</f>
        <v>45514</v>
      </c>
      <c r="BK14" s="64">
        <v>23.19</v>
      </c>
      <c r="BL14" s="64">
        <v>24.59</v>
      </c>
      <c r="BM14" s="64">
        <v>24.49</v>
      </c>
    </row>
    <row r="15" spans="1:65">
      <c r="A15" s="9"/>
      <c r="B15" s="10">
        <f>Listas!C31</f>
        <v>45515</v>
      </c>
      <c r="C15" s="64">
        <v>23.79</v>
      </c>
      <c r="D15" s="64">
        <v>24.99</v>
      </c>
      <c r="E15" s="64">
        <v>25.19</v>
      </c>
      <c r="F15" s="9"/>
      <c r="G15" s="10">
        <f>Listas!C31</f>
        <v>45515</v>
      </c>
      <c r="H15" s="64">
        <v>23.39</v>
      </c>
      <c r="I15" s="64">
        <v>24.69</v>
      </c>
      <c r="J15" s="64">
        <v>24.79</v>
      </c>
      <c r="K15" s="9"/>
      <c r="L15" s="10">
        <f>Listas!C31</f>
        <v>45515</v>
      </c>
      <c r="M15" s="64">
        <v>23.79</v>
      </c>
      <c r="N15" s="64">
        <v>24.99</v>
      </c>
      <c r="O15" s="64">
        <v>25.19</v>
      </c>
      <c r="P15" s="9"/>
      <c r="Q15" s="10">
        <f>Listas!C31</f>
        <v>45515</v>
      </c>
      <c r="R15" s="64">
        <v>23.39</v>
      </c>
      <c r="S15" s="64">
        <v>24.69</v>
      </c>
      <c r="T15" s="64">
        <v>24.99</v>
      </c>
      <c r="U15" s="9"/>
      <c r="V15" s="10">
        <f>Listas!C31</f>
        <v>45515</v>
      </c>
      <c r="W15" s="64">
        <v>23.09</v>
      </c>
      <c r="X15" s="64">
        <v>24.61</v>
      </c>
      <c r="Y15" s="64">
        <v>24.59</v>
      </c>
      <c r="Z15" s="9"/>
      <c r="AA15" s="10">
        <f>Listas!C31</f>
        <v>45515</v>
      </c>
      <c r="AB15" s="64">
        <v>23.79</v>
      </c>
      <c r="AC15" s="64">
        <v>24.89</v>
      </c>
      <c r="AD15" s="64">
        <v>25.29</v>
      </c>
      <c r="AE15" s="9"/>
      <c r="AF15" s="10">
        <f>Listas!C31</f>
        <v>45515</v>
      </c>
      <c r="AG15" s="64">
        <v>23.29</v>
      </c>
      <c r="AH15" s="64">
        <v>24.89</v>
      </c>
      <c r="AI15" s="64">
        <v>24.99</v>
      </c>
      <c r="AJ15" s="9"/>
      <c r="AK15" s="10">
        <f>Listas!C31</f>
        <v>45515</v>
      </c>
      <c r="AL15" s="64">
        <v>23.59</v>
      </c>
      <c r="AM15" s="64">
        <v>25.19</v>
      </c>
      <c r="AN15" s="64">
        <v>25.35</v>
      </c>
      <c r="AO15" s="9"/>
      <c r="AP15" s="10">
        <f>Listas!C31</f>
        <v>45515</v>
      </c>
      <c r="AQ15" s="64">
        <v>23.79</v>
      </c>
      <c r="AR15" s="64">
        <v>24.99</v>
      </c>
      <c r="AS15" s="64">
        <v>25.19</v>
      </c>
      <c r="AT15" s="9"/>
      <c r="AU15" s="10">
        <f>Listas!C31</f>
        <v>45515</v>
      </c>
      <c r="AV15" s="64">
        <v>23.29</v>
      </c>
      <c r="AW15" s="64">
        <v>24.89</v>
      </c>
      <c r="AX15" s="64">
        <v>24.99</v>
      </c>
      <c r="AY15" s="9"/>
      <c r="AZ15" s="10">
        <f>Listas!C31</f>
        <v>45515</v>
      </c>
      <c r="BA15" s="64">
        <v>22.89</v>
      </c>
      <c r="BB15" s="64">
        <v>24.49</v>
      </c>
      <c r="BC15" s="64">
        <v>24.49</v>
      </c>
      <c r="BD15" s="9"/>
      <c r="BE15" s="10">
        <f>Listas!C31</f>
        <v>45515</v>
      </c>
      <c r="BF15" s="64">
        <v>23.19</v>
      </c>
      <c r="BG15" s="64">
        <v>25.39</v>
      </c>
      <c r="BH15" s="64">
        <v>25.19</v>
      </c>
      <c r="BI15" s="9"/>
      <c r="BJ15" s="10">
        <f>Listas!C31</f>
        <v>45515</v>
      </c>
      <c r="BK15" s="64">
        <v>23.19</v>
      </c>
      <c r="BL15" s="64">
        <v>24.59</v>
      </c>
      <c r="BM15" s="64">
        <v>24.49</v>
      </c>
    </row>
    <row r="16" spans="1:65">
      <c r="A16" s="9"/>
      <c r="B16" s="10">
        <f>Listas!C32</f>
        <v>45516</v>
      </c>
      <c r="C16" s="64">
        <v>23.79</v>
      </c>
      <c r="D16" s="64">
        <v>24.99</v>
      </c>
      <c r="E16" s="64">
        <v>25.19</v>
      </c>
      <c r="F16" s="9"/>
      <c r="G16" s="10">
        <f>Listas!C32</f>
        <v>45516</v>
      </c>
      <c r="H16" s="64">
        <v>23.39</v>
      </c>
      <c r="I16" s="64">
        <v>24.69</v>
      </c>
      <c r="J16" s="64">
        <v>24.79</v>
      </c>
      <c r="K16" s="9"/>
      <c r="L16" s="10">
        <f>Listas!C32</f>
        <v>45516</v>
      </c>
      <c r="M16" s="64">
        <v>23.79</v>
      </c>
      <c r="N16" s="64">
        <v>24.99</v>
      </c>
      <c r="O16" s="64">
        <v>25.19</v>
      </c>
      <c r="P16" s="9"/>
      <c r="Q16" s="10">
        <f>Listas!C32</f>
        <v>45516</v>
      </c>
      <c r="R16" s="64">
        <v>23.39</v>
      </c>
      <c r="S16" s="64">
        <v>24.69</v>
      </c>
      <c r="T16" s="64">
        <v>24.99</v>
      </c>
      <c r="U16" s="9"/>
      <c r="V16" s="10">
        <f>Listas!C32</f>
        <v>45516</v>
      </c>
      <c r="W16" s="64">
        <v>23.09</v>
      </c>
      <c r="X16" s="64">
        <v>24.61</v>
      </c>
      <c r="Y16" s="64">
        <v>24.59</v>
      </c>
      <c r="Z16" s="9"/>
      <c r="AA16" s="10">
        <f>Listas!C32</f>
        <v>45516</v>
      </c>
      <c r="AB16" s="64">
        <v>23.79</v>
      </c>
      <c r="AC16" s="64">
        <v>24.89</v>
      </c>
      <c r="AD16" s="64">
        <v>25.29</v>
      </c>
      <c r="AE16" s="9"/>
      <c r="AF16" s="10">
        <f>Listas!C32</f>
        <v>45516</v>
      </c>
      <c r="AG16" s="64">
        <v>23.29</v>
      </c>
      <c r="AH16" s="64">
        <v>24.89</v>
      </c>
      <c r="AI16" s="64">
        <v>24.99</v>
      </c>
      <c r="AJ16" s="9"/>
      <c r="AK16" s="10">
        <f>Listas!C32</f>
        <v>45516</v>
      </c>
      <c r="AL16" s="64">
        <v>23.59</v>
      </c>
      <c r="AM16" s="64">
        <v>25.19</v>
      </c>
      <c r="AN16" s="64">
        <v>25.35</v>
      </c>
      <c r="AO16" s="9"/>
      <c r="AP16" s="10">
        <f>Listas!C32</f>
        <v>45516</v>
      </c>
      <c r="AQ16" s="64">
        <v>23.79</v>
      </c>
      <c r="AR16" s="64">
        <v>24.99</v>
      </c>
      <c r="AS16" s="64">
        <v>25.19</v>
      </c>
      <c r="AT16" s="9"/>
      <c r="AU16" s="10">
        <f>Listas!C32</f>
        <v>45516</v>
      </c>
      <c r="AV16" s="64">
        <v>23.29</v>
      </c>
      <c r="AW16" s="64">
        <v>24.89</v>
      </c>
      <c r="AX16" s="64">
        <v>24.99</v>
      </c>
      <c r="AY16" s="9"/>
      <c r="AZ16" s="10">
        <f>Listas!C32</f>
        <v>45516</v>
      </c>
      <c r="BA16" s="64">
        <v>22.89</v>
      </c>
      <c r="BB16" s="64">
        <v>24.49</v>
      </c>
      <c r="BC16" s="64">
        <v>24.49</v>
      </c>
      <c r="BD16" s="9"/>
      <c r="BE16" s="10">
        <f>Listas!C32</f>
        <v>45516</v>
      </c>
      <c r="BF16" s="64">
        <v>23.19</v>
      </c>
      <c r="BG16" s="64">
        <v>25.39</v>
      </c>
      <c r="BH16" s="64">
        <v>25.19</v>
      </c>
      <c r="BI16" s="9"/>
      <c r="BJ16" s="10">
        <f>Listas!C32</f>
        <v>45516</v>
      </c>
      <c r="BK16" s="64">
        <v>23.19</v>
      </c>
      <c r="BL16" s="64">
        <v>24.59</v>
      </c>
      <c r="BM16" s="64">
        <v>24.49</v>
      </c>
    </row>
    <row r="17" spans="1:65">
      <c r="A17" s="9"/>
      <c r="B17" s="10">
        <f>Listas!C33</f>
        <v>45517</v>
      </c>
      <c r="C17" s="64">
        <v>23.79</v>
      </c>
      <c r="D17" s="64">
        <v>24.99</v>
      </c>
      <c r="E17" s="64">
        <v>25.19</v>
      </c>
      <c r="F17" s="9"/>
      <c r="G17" s="10">
        <f>Listas!C33</f>
        <v>45517</v>
      </c>
      <c r="H17" s="64">
        <v>23.39</v>
      </c>
      <c r="I17" s="64">
        <v>24.69</v>
      </c>
      <c r="J17" s="64">
        <v>24.79</v>
      </c>
      <c r="K17" s="9"/>
      <c r="L17" s="10">
        <f>Listas!C33</f>
        <v>45517</v>
      </c>
      <c r="M17" s="64">
        <v>23.79</v>
      </c>
      <c r="N17" s="64">
        <v>24.99</v>
      </c>
      <c r="O17" s="64">
        <v>25.19</v>
      </c>
      <c r="P17" s="9"/>
      <c r="Q17" s="10">
        <f>Listas!C33</f>
        <v>45517</v>
      </c>
      <c r="R17" s="64">
        <v>23.39</v>
      </c>
      <c r="S17" s="64">
        <v>24.69</v>
      </c>
      <c r="T17" s="64">
        <v>24.99</v>
      </c>
      <c r="U17" s="9"/>
      <c r="V17" s="10">
        <f>Listas!C33</f>
        <v>45517</v>
      </c>
      <c r="W17" s="64">
        <v>23.09</v>
      </c>
      <c r="X17" s="64">
        <v>24.61</v>
      </c>
      <c r="Y17" s="64">
        <v>24.59</v>
      </c>
      <c r="Z17" s="9"/>
      <c r="AA17" s="10">
        <f>Listas!C33</f>
        <v>45517</v>
      </c>
      <c r="AB17" s="64">
        <v>23.79</v>
      </c>
      <c r="AC17" s="64">
        <v>24.89</v>
      </c>
      <c r="AD17" s="64">
        <v>25.29</v>
      </c>
      <c r="AE17" s="9"/>
      <c r="AF17" s="10">
        <f>Listas!C33</f>
        <v>45517</v>
      </c>
      <c r="AG17" s="64">
        <v>23.29</v>
      </c>
      <c r="AH17" s="64">
        <v>24.89</v>
      </c>
      <c r="AI17" s="64">
        <v>24.99</v>
      </c>
      <c r="AJ17" s="9"/>
      <c r="AK17" s="10">
        <f>Listas!C33</f>
        <v>45517</v>
      </c>
      <c r="AL17" s="64">
        <v>23.59</v>
      </c>
      <c r="AM17" s="64">
        <v>25.19</v>
      </c>
      <c r="AN17" s="64">
        <v>25.35</v>
      </c>
      <c r="AO17" s="9"/>
      <c r="AP17" s="10">
        <f>Listas!C33</f>
        <v>45517</v>
      </c>
      <c r="AQ17" s="64">
        <v>23.79</v>
      </c>
      <c r="AR17" s="64">
        <v>24.99</v>
      </c>
      <c r="AS17" s="64">
        <v>25.19</v>
      </c>
      <c r="AT17" s="9"/>
      <c r="AU17" s="10">
        <f>Listas!C33</f>
        <v>45517</v>
      </c>
      <c r="AV17" s="64">
        <v>23.29</v>
      </c>
      <c r="AW17" s="64">
        <v>24.89</v>
      </c>
      <c r="AX17" s="64">
        <v>24.99</v>
      </c>
      <c r="AY17" s="9"/>
      <c r="AZ17" s="10">
        <f>Listas!C33</f>
        <v>45517</v>
      </c>
      <c r="BA17" s="64">
        <v>22.89</v>
      </c>
      <c r="BB17" s="64">
        <v>24.49</v>
      </c>
      <c r="BC17" s="64">
        <v>24.49</v>
      </c>
      <c r="BD17" s="9"/>
      <c r="BE17" s="10">
        <f>Listas!C33</f>
        <v>45517</v>
      </c>
      <c r="BF17" s="64">
        <v>23.19</v>
      </c>
      <c r="BG17" s="64">
        <v>25.39</v>
      </c>
      <c r="BH17" s="64">
        <v>25.19</v>
      </c>
      <c r="BI17" s="9"/>
      <c r="BJ17" s="10">
        <f>Listas!C33</f>
        <v>45517</v>
      </c>
      <c r="BK17" s="64">
        <v>23.19</v>
      </c>
      <c r="BL17" s="64">
        <v>24.59</v>
      </c>
      <c r="BM17" s="64">
        <v>24.49</v>
      </c>
    </row>
    <row r="18" spans="1:65">
      <c r="A18" s="9"/>
      <c r="B18" s="10">
        <f>Listas!C34</f>
        <v>45518</v>
      </c>
      <c r="C18" s="64">
        <v>23.79</v>
      </c>
      <c r="D18" s="64">
        <v>24.99</v>
      </c>
      <c r="E18" s="64">
        <v>25.19</v>
      </c>
      <c r="F18" s="9"/>
      <c r="G18" s="10">
        <f>Listas!C34</f>
        <v>45518</v>
      </c>
      <c r="H18" s="64">
        <v>23.39</v>
      </c>
      <c r="I18" s="64">
        <v>24.69</v>
      </c>
      <c r="J18" s="64">
        <v>24.79</v>
      </c>
      <c r="K18" s="9"/>
      <c r="L18" s="10">
        <f>Listas!C34</f>
        <v>45518</v>
      </c>
      <c r="M18" s="64">
        <v>23.79</v>
      </c>
      <c r="N18" s="64">
        <v>24.99</v>
      </c>
      <c r="O18" s="64">
        <v>25.19</v>
      </c>
      <c r="P18" s="9"/>
      <c r="Q18" s="10">
        <f>Listas!C34</f>
        <v>45518</v>
      </c>
      <c r="R18" s="64">
        <v>23.39</v>
      </c>
      <c r="S18" s="64">
        <v>24.69</v>
      </c>
      <c r="T18" s="64">
        <v>24.99</v>
      </c>
      <c r="U18" s="9"/>
      <c r="V18" s="10">
        <f>Listas!C34</f>
        <v>45518</v>
      </c>
      <c r="W18" s="64">
        <v>23.09</v>
      </c>
      <c r="X18" s="64">
        <v>24.61</v>
      </c>
      <c r="Y18" s="64">
        <v>24.59</v>
      </c>
      <c r="Z18" s="9"/>
      <c r="AA18" s="10">
        <f>Listas!C34</f>
        <v>45518</v>
      </c>
      <c r="AB18" s="64">
        <v>23.79</v>
      </c>
      <c r="AC18" s="64">
        <v>24.89</v>
      </c>
      <c r="AD18" s="64">
        <v>25.29</v>
      </c>
      <c r="AE18" s="9"/>
      <c r="AF18" s="10">
        <f>Listas!C34</f>
        <v>45518</v>
      </c>
      <c r="AG18" s="64">
        <v>23.29</v>
      </c>
      <c r="AH18" s="64">
        <v>24.89</v>
      </c>
      <c r="AI18" s="64">
        <v>24.99</v>
      </c>
      <c r="AJ18" s="9"/>
      <c r="AK18" s="10">
        <f>Listas!C34</f>
        <v>45518</v>
      </c>
      <c r="AL18" s="64">
        <v>23.59</v>
      </c>
      <c r="AM18" s="64">
        <v>25.19</v>
      </c>
      <c r="AN18" s="64">
        <v>25.35</v>
      </c>
      <c r="AO18" s="9"/>
      <c r="AP18" s="10">
        <f>Listas!C34</f>
        <v>45518</v>
      </c>
      <c r="AQ18" s="64">
        <v>23.79</v>
      </c>
      <c r="AR18" s="64">
        <v>24.99</v>
      </c>
      <c r="AS18" s="64">
        <v>25.19</v>
      </c>
      <c r="AT18" s="9"/>
      <c r="AU18" s="10">
        <f>Listas!C34</f>
        <v>45518</v>
      </c>
      <c r="AV18" s="64">
        <v>23.29</v>
      </c>
      <c r="AW18" s="64">
        <v>24.89</v>
      </c>
      <c r="AX18" s="64">
        <v>24.99</v>
      </c>
      <c r="AY18" s="9"/>
      <c r="AZ18" s="10">
        <f>Listas!C34</f>
        <v>45518</v>
      </c>
      <c r="BA18" s="64">
        <v>22.89</v>
      </c>
      <c r="BB18" s="64">
        <v>24.49</v>
      </c>
      <c r="BC18" s="64">
        <v>24.49</v>
      </c>
      <c r="BD18" s="9"/>
      <c r="BE18" s="10">
        <f>Listas!C34</f>
        <v>45518</v>
      </c>
      <c r="BF18" s="64">
        <v>23.19</v>
      </c>
      <c r="BG18" s="64">
        <v>25.39</v>
      </c>
      <c r="BH18" s="64">
        <v>25.19</v>
      </c>
      <c r="BI18" s="9"/>
      <c r="BJ18" s="10">
        <f>Listas!C34</f>
        <v>45518</v>
      </c>
      <c r="BK18" s="64">
        <v>23.19</v>
      </c>
      <c r="BL18" s="64">
        <v>24.59</v>
      </c>
      <c r="BM18" s="64">
        <v>24.49</v>
      </c>
    </row>
    <row r="19" spans="1:65">
      <c r="A19" s="9"/>
      <c r="B19" s="10">
        <f>Listas!C35</f>
        <v>45519</v>
      </c>
      <c r="C19" s="64">
        <v>23.79</v>
      </c>
      <c r="D19" s="64">
        <v>24.99</v>
      </c>
      <c r="E19" s="64">
        <v>25.19</v>
      </c>
      <c r="F19" s="9"/>
      <c r="G19" s="10">
        <f>Listas!C35</f>
        <v>45519</v>
      </c>
      <c r="H19" s="64">
        <v>23.39</v>
      </c>
      <c r="I19" s="64">
        <v>24.69</v>
      </c>
      <c r="J19" s="74">
        <v>24.89</v>
      </c>
      <c r="K19" s="9"/>
      <c r="L19" s="10">
        <f>Listas!C35</f>
        <v>45519</v>
      </c>
      <c r="M19" s="64">
        <v>23.79</v>
      </c>
      <c r="N19" s="64">
        <v>24.99</v>
      </c>
      <c r="O19" s="64">
        <v>25.19</v>
      </c>
      <c r="P19" s="9"/>
      <c r="Q19" s="10">
        <f>Listas!C35</f>
        <v>45519</v>
      </c>
      <c r="R19" s="64">
        <v>23.39</v>
      </c>
      <c r="S19" s="64">
        <v>24.69</v>
      </c>
      <c r="T19" s="64">
        <v>24.99</v>
      </c>
      <c r="U19" s="9"/>
      <c r="V19" s="10">
        <f>Listas!C35</f>
        <v>45519</v>
      </c>
      <c r="W19" s="64">
        <v>23.09</v>
      </c>
      <c r="X19" s="64">
        <v>24.61</v>
      </c>
      <c r="Y19" s="64">
        <v>24.59</v>
      </c>
      <c r="Z19" s="9"/>
      <c r="AA19" s="10">
        <f>Listas!C35</f>
        <v>45519</v>
      </c>
      <c r="AB19" s="64">
        <v>23.79</v>
      </c>
      <c r="AC19" s="64">
        <v>24.89</v>
      </c>
      <c r="AD19" s="64">
        <v>25.29</v>
      </c>
      <c r="AE19" s="9"/>
      <c r="AF19" s="10">
        <f>Listas!C35</f>
        <v>45519</v>
      </c>
      <c r="AG19" s="74">
        <v>23.39</v>
      </c>
      <c r="AH19" s="74">
        <v>24.99</v>
      </c>
      <c r="AI19" s="64">
        <v>24.99</v>
      </c>
      <c r="AJ19" s="9"/>
      <c r="AK19" s="10">
        <f>Listas!C35</f>
        <v>45519</v>
      </c>
      <c r="AL19" s="74">
        <v>23.69</v>
      </c>
      <c r="AM19" s="64">
        <v>25.19</v>
      </c>
      <c r="AN19" s="64">
        <v>25.35</v>
      </c>
      <c r="AO19" s="9"/>
      <c r="AP19" s="10">
        <f>Listas!C35</f>
        <v>45519</v>
      </c>
      <c r="AQ19" s="64">
        <v>23.79</v>
      </c>
      <c r="AR19" s="64">
        <v>24.99</v>
      </c>
      <c r="AS19" s="64">
        <v>25.19</v>
      </c>
      <c r="AT19" s="9"/>
      <c r="AU19" s="10">
        <f>Listas!C35</f>
        <v>45519</v>
      </c>
      <c r="AV19" s="74">
        <v>23.39</v>
      </c>
      <c r="AW19" s="74">
        <v>24.99</v>
      </c>
      <c r="AX19" s="64">
        <v>24.99</v>
      </c>
      <c r="AY19" s="9"/>
      <c r="AZ19" s="10">
        <f>Listas!C35</f>
        <v>45519</v>
      </c>
      <c r="BA19" s="74">
        <v>22.99</v>
      </c>
      <c r="BB19" s="64">
        <v>24.49</v>
      </c>
      <c r="BC19" s="64">
        <v>24.49</v>
      </c>
      <c r="BD19" s="9"/>
      <c r="BE19" s="10">
        <f>Listas!C35</f>
        <v>45519</v>
      </c>
      <c r="BF19" s="74">
        <v>23.29</v>
      </c>
      <c r="BG19" s="64">
        <v>25.39</v>
      </c>
      <c r="BH19" s="64">
        <v>25.19</v>
      </c>
      <c r="BI19" s="9"/>
      <c r="BJ19" s="10">
        <f>Listas!C35</f>
        <v>45519</v>
      </c>
      <c r="BK19" s="64">
        <v>23.19</v>
      </c>
      <c r="BL19" s="64">
        <v>24.59</v>
      </c>
      <c r="BM19" s="64">
        <v>24.49</v>
      </c>
    </row>
    <row r="20" spans="1:65">
      <c r="A20" s="9"/>
      <c r="B20" s="10">
        <f>Listas!C36</f>
        <v>45520</v>
      </c>
      <c r="C20" s="64"/>
      <c r="D20" s="64"/>
      <c r="E20" s="64"/>
      <c r="F20" s="9"/>
      <c r="G20" s="10">
        <f>Listas!C36</f>
        <v>45520</v>
      </c>
      <c r="H20" s="64"/>
      <c r="I20" s="64"/>
      <c r="J20" s="64"/>
      <c r="K20" s="9"/>
      <c r="L20" s="10">
        <f>Listas!C36</f>
        <v>45520</v>
      </c>
      <c r="M20" s="64"/>
      <c r="N20" s="64"/>
      <c r="O20" s="64"/>
      <c r="P20" s="9"/>
      <c r="Q20" s="10">
        <f>Listas!C36</f>
        <v>45520</v>
      </c>
      <c r="R20" s="64"/>
      <c r="S20" s="64"/>
      <c r="T20" s="64"/>
      <c r="U20" s="9"/>
      <c r="V20" s="10">
        <f>Listas!C36</f>
        <v>45520</v>
      </c>
      <c r="W20" s="64"/>
      <c r="X20" s="64"/>
      <c r="Y20" s="64"/>
      <c r="Z20" s="9"/>
      <c r="AA20" s="10">
        <f>Listas!C36</f>
        <v>45520</v>
      </c>
      <c r="AB20" s="64"/>
      <c r="AC20" s="64"/>
      <c r="AD20" s="64"/>
      <c r="AE20" s="9"/>
      <c r="AF20" s="10">
        <f>Listas!C36</f>
        <v>45520</v>
      </c>
      <c r="AG20" s="64"/>
      <c r="AH20" s="64"/>
      <c r="AI20" s="64"/>
      <c r="AJ20" s="9"/>
      <c r="AK20" s="10">
        <f>Listas!C36</f>
        <v>45520</v>
      </c>
      <c r="AL20" s="64"/>
      <c r="AM20" s="64"/>
      <c r="AN20" s="64"/>
      <c r="AO20" s="9"/>
      <c r="AP20" s="10">
        <f>Listas!C36</f>
        <v>45520</v>
      </c>
      <c r="AQ20" s="64"/>
      <c r="AR20" s="64"/>
      <c r="AS20" s="64"/>
      <c r="AT20" s="9"/>
      <c r="AU20" s="10">
        <f>Listas!C36</f>
        <v>45520</v>
      </c>
      <c r="AV20" s="64"/>
      <c r="AW20" s="64"/>
      <c r="AX20" s="64"/>
      <c r="AY20" s="9"/>
      <c r="AZ20" s="10">
        <f>Listas!C36</f>
        <v>45520</v>
      </c>
      <c r="BA20" s="64"/>
      <c r="BB20" s="64"/>
      <c r="BC20" s="64"/>
      <c r="BD20" s="9"/>
      <c r="BE20" s="10">
        <f>Listas!C36</f>
        <v>45520</v>
      </c>
      <c r="BF20" s="64"/>
      <c r="BG20" s="64"/>
      <c r="BH20" s="64"/>
      <c r="BI20" s="9"/>
      <c r="BJ20" s="10">
        <f>Listas!C36</f>
        <v>45520</v>
      </c>
      <c r="BK20" s="64"/>
      <c r="BL20" s="64"/>
      <c r="BM20" s="64"/>
    </row>
    <row r="21" spans="1:65">
      <c r="A21" s="9"/>
      <c r="B21" s="10">
        <f>Listas!C37</f>
        <v>45521</v>
      </c>
      <c r="C21" s="64"/>
      <c r="D21" s="64"/>
      <c r="E21" s="64"/>
      <c r="F21" s="9"/>
      <c r="G21" s="10">
        <f>Listas!C37</f>
        <v>45521</v>
      </c>
      <c r="H21" s="64"/>
      <c r="I21" s="64"/>
      <c r="J21" s="64"/>
      <c r="K21" s="9"/>
      <c r="L21" s="10">
        <f>Listas!C37</f>
        <v>45521</v>
      </c>
      <c r="M21" s="64"/>
      <c r="N21" s="64"/>
      <c r="O21" s="64"/>
      <c r="P21" s="9"/>
      <c r="Q21" s="10">
        <f>Listas!C37</f>
        <v>45521</v>
      </c>
      <c r="R21" s="64"/>
      <c r="S21" s="64"/>
      <c r="T21" s="64"/>
      <c r="U21" s="9"/>
      <c r="V21" s="10">
        <f>Listas!C37</f>
        <v>45521</v>
      </c>
      <c r="W21" s="64"/>
      <c r="X21" s="64"/>
      <c r="Y21" s="64"/>
      <c r="Z21" s="9"/>
      <c r="AA21" s="10">
        <f>Listas!C37</f>
        <v>45521</v>
      </c>
      <c r="AB21" s="64"/>
      <c r="AC21" s="64"/>
      <c r="AD21" s="64"/>
      <c r="AE21" s="9"/>
      <c r="AF21" s="10">
        <f>Listas!C37</f>
        <v>45521</v>
      </c>
      <c r="AG21" s="64"/>
      <c r="AH21" s="64"/>
      <c r="AI21" s="64"/>
      <c r="AJ21" s="9"/>
      <c r="AK21" s="10">
        <f>Listas!C37</f>
        <v>45521</v>
      </c>
      <c r="AL21" s="64"/>
      <c r="AM21" s="64"/>
      <c r="AN21" s="64"/>
      <c r="AO21" s="9"/>
      <c r="AP21" s="10">
        <f>Listas!C37</f>
        <v>45521</v>
      </c>
      <c r="AQ21" s="64"/>
      <c r="AR21" s="64"/>
      <c r="AS21" s="64"/>
      <c r="AT21" s="9"/>
      <c r="AU21" s="10">
        <f>Listas!C37</f>
        <v>45521</v>
      </c>
      <c r="AV21" s="64"/>
      <c r="AW21" s="64"/>
      <c r="AX21" s="64"/>
      <c r="AY21" s="9"/>
      <c r="AZ21" s="10">
        <f>Listas!C37</f>
        <v>45521</v>
      </c>
      <c r="BA21" s="64"/>
      <c r="BB21" s="64"/>
      <c r="BC21" s="64"/>
      <c r="BD21" s="9"/>
      <c r="BE21" s="10">
        <f>Listas!C37</f>
        <v>45521</v>
      </c>
      <c r="BF21" s="64"/>
      <c r="BG21" s="64"/>
      <c r="BH21" s="64"/>
      <c r="BI21" s="9" t="s">
        <v>37</v>
      </c>
      <c r="BJ21" s="10">
        <f>Listas!C37</f>
        <v>45521</v>
      </c>
      <c r="BK21" s="64"/>
      <c r="BL21" s="64"/>
      <c r="BM21" s="64"/>
    </row>
    <row r="22" spans="1:65">
      <c r="A22" s="9"/>
      <c r="B22" s="10">
        <f>Listas!C38</f>
        <v>45522</v>
      </c>
      <c r="C22" s="64"/>
      <c r="D22" s="64"/>
      <c r="E22" s="64"/>
      <c r="F22" s="9"/>
      <c r="G22" s="10">
        <f>Listas!C38</f>
        <v>45522</v>
      </c>
      <c r="H22" s="64"/>
      <c r="I22" s="64"/>
      <c r="J22" s="64"/>
      <c r="K22" s="9"/>
      <c r="L22" s="10">
        <f>Listas!C38</f>
        <v>45522</v>
      </c>
      <c r="M22" s="64"/>
      <c r="N22" s="64"/>
      <c r="O22" s="64"/>
      <c r="P22" s="9"/>
      <c r="Q22" s="10">
        <f>Listas!C38</f>
        <v>45522</v>
      </c>
      <c r="R22" s="64"/>
      <c r="S22" s="64"/>
      <c r="T22" s="64"/>
      <c r="U22" s="9"/>
      <c r="V22" s="10">
        <f>Listas!C38</f>
        <v>45522</v>
      </c>
      <c r="W22" s="64"/>
      <c r="X22" s="64"/>
      <c r="Y22" s="64"/>
      <c r="Z22" s="9"/>
      <c r="AA22" s="10">
        <f>Listas!C38</f>
        <v>45522</v>
      </c>
      <c r="AB22" s="64"/>
      <c r="AC22" s="64"/>
      <c r="AD22" s="64"/>
      <c r="AE22" s="9"/>
      <c r="AF22" s="10">
        <f>Listas!C38</f>
        <v>45522</v>
      </c>
      <c r="AG22" s="64"/>
      <c r="AH22" s="64"/>
      <c r="AI22" s="64"/>
      <c r="AJ22" s="9"/>
      <c r="AK22" s="10">
        <f>Listas!C38</f>
        <v>45522</v>
      </c>
      <c r="AL22" s="64"/>
      <c r="AM22" s="64"/>
      <c r="AN22" s="64"/>
      <c r="AO22" s="9"/>
      <c r="AP22" s="10">
        <f>Listas!C38</f>
        <v>45522</v>
      </c>
      <c r="AQ22" s="64"/>
      <c r="AR22" s="64"/>
      <c r="AS22" s="64"/>
      <c r="AT22" s="9"/>
      <c r="AU22" s="10">
        <f>Listas!C38</f>
        <v>45522</v>
      </c>
      <c r="AV22" s="64"/>
      <c r="AW22" s="64"/>
      <c r="AX22" s="64"/>
      <c r="AY22" s="9"/>
      <c r="AZ22" s="10">
        <f>Listas!C38</f>
        <v>45522</v>
      </c>
      <c r="BA22" s="64"/>
      <c r="BB22" s="64"/>
      <c r="BC22" s="64"/>
      <c r="BD22" s="9"/>
      <c r="BE22" s="10">
        <f>Listas!C38</f>
        <v>45522</v>
      </c>
      <c r="BF22" s="64"/>
      <c r="BG22" s="64"/>
      <c r="BH22" s="64"/>
      <c r="BI22" s="9"/>
      <c r="BJ22" s="10">
        <f>Listas!C38</f>
        <v>45522</v>
      </c>
      <c r="BK22" s="64"/>
      <c r="BL22" s="64"/>
      <c r="BM22" s="64"/>
    </row>
    <row r="23" spans="1:65">
      <c r="A23" s="9"/>
      <c r="B23" s="10">
        <f>Listas!C39</f>
        <v>45523</v>
      </c>
      <c r="C23" s="64"/>
      <c r="D23" s="64"/>
      <c r="E23" s="64"/>
      <c r="F23" s="9"/>
      <c r="G23" s="10">
        <f>Listas!C39</f>
        <v>45523</v>
      </c>
      <c r="H23" s="64"/>
      <c r="I23" s="64"/>
      <c r="J23" s="64"/>
      <c r="K23" s="9"/>
      <c r="L23" s="10">
        <f>Listas!C39</f>
        <v>45523</v>
      </c>
      <c r="M23" s="64"/>
      <c r="N23" s="64"/>
      <c r="O23" s="64"/>
      <c r="P23" s="9"/>
      <c r="Q23" s="10">
        <f>Listas!C39</f>
        <v>45523</v>
      </c>
      <c r="R23" s="64"/>
      <c r="S23" s="64"/>
      <c r="T23" s="64"/>
      <c r="U23" s="9"/>
      <c r="V23" s="10">
        <f>Listas!C39</f>
        <v>45523</v>
      </c>
      <c r="W23" s="64"/>
      <c r="X23" s="64"/>
      <c r="Y23" s="64"/>
      <c r="Z23" s="9"/>
      <c r="AA23" s="10">
        <f>Listas!C39</f>
        <v>45523</v>
      </c>
      <c r="AB23" s="64"/>
      <c r="AC23" s="64"/>
      <c r="AD23" s="64"/>
      <c r="AE23" s="9"/>
      <c r="AF23" s="10">
        <f>Listas!C39</f>
        <v>45523</v>
      </c>
      <c r="AG23" s="64"/>
      <c r="AH23" s="64"/>
      <c r="AI23" s="64"/>
      <c r="AJ23" s="9"/>
      <c r="AK23" s="10">
        <f>Listas!C39</f>
        <v>45523</v>
      </c>
      <c r="AL23" s="64"/>
      <c r="AM23" s="64"/>
      <c r="AN23" s="64"/>
      <c r="AO23" s="9"/>
      <c r="AP23" s="10">
        <f>Listas!C39</f>
        <v>45523</v>
      </c>
      <c r="AQ23" s="64"/>
      <c r="AR23" s="64"/>
      <c r="AS23" s="64"/>
      <c r="AT23" s="9"/>
      <c r="AU23" s="10">
        <f>Listas!C39</f>
        <v>45523</v>
      </c>
      <c r="AV23" s="64"/>
      <c r="AW23" s="64"/>
      <c r="AX23" s="64"/>
      <c r="AY23" s="9"/>
      <c r="AZ23" s="10">
        <f>Listas!C39</f>
        <v>45523</v>
      </c>
      <c r="BA23" s="64"/>
      <c r="BB23" s="64"/>
      <c r="BC23" s="64"/>
      <c r="BD23" s="9"/>
      <c r="BE23" s="10">
        <f>Listas!C39</f>
        <v>45523</v>
      </c>
      <c r="BF23" s="64"/>
      <c r="BG23" s="64"/>
      <c r="BH23" s="64"/>
      <c r="BI23" s="9"/>
      <c r="BJ23" s="10">
        <f>Listas!C39</f>
        <v>45523</v>
      </c>
      <c r="BK23" s="64"/>
      <c r="BL23" s="64"/>
      <c r="BM23" s="64"/>
    </row>
    <row r="24" spans="1:65">
      <c r="A24" s="9"/>
      <c r="B24" s="10">
        <f>Listas!C40</f>
        <v>45524</v>
      </c>
      <c r="C24" s="64"/>
      <c r="D24" s="64"/>
      <c r="E24" s="64"/>
      <c r="F24" s="9"/>
      <c r="G24" s="10">
        <f>Listas!C40</f>
        <v>45524</v>
      </c>
      <c r="H24" s="64"/>
      <c r="I24" s="64"/>
      <c r="J24" s="64"/>
      <c r="K24" s="9"/>
      <c r="L24" s="10">
        <f>Listas!C40</f>
        <v>45524</v>
      </c>
      <c r="M24" s="64"/>
      <c r="N24" s="64"/>
      <c r="O24" s="64"/>
      <c r="P24" s="9"/>
      <c r="Q24" s="10">
        <f>Listas!C40</f>
        <v>45524</v>
      </c>
      <c r="R24" s="64"/>
      <c r="S24" s="64"/>
      <c r="T24" s="64"/>
      <c r="U24" s="9"/>
      <c r="V24" s="10">
        <f>Listas!C40</f>
        <v>45524</v>
      </c>
      <c r="W24" s="64"/>
      <c r="X24" s="64"/>
      <c r="Y24" s="64"/>
      <c r="Z24" s="9"/>
      <c r="AA24" s="10">
        <f>Listas!C40</f>
        <v>45524</v>
      </c>
      <c r="AB24" s="64"/>
      <c r="AC24" s="64"/>
      <c r="AD24" s="64"/>
      <c r="AE24" s="9"/>
      <c r="AF24" s="10">
        <f>Listas!C40</f>
        <v>45524</v>
      </c>
      <c r="AG24" s="64"/>
      <c r="AH24" s="64"/>
      <c r="AI24" s="64"/>
      <c r="AJ24" s="9"/>
      <c r="AK24" s="10">
        <f>Listas!C40</f>
        <v>45524</v>
      </c>
      <c r="AL24" s="64"/>
      <c r="AM24" s="64"/>
      <c r="AN24" s="64"/>
      <c r="AO24" s="9"/>
      <c r="AP24" s="10">
        <f>Listas!C40</f>
        <v>45524</v>
      </c>
      <c r="AQ24" s="64"/>
      <c r="AR24" s="64"/>
      <c r="AS24" s="64"/>
      <c r="AT24" s="9"/>
      <c r="AU24" s="10">
        <f>Listas!C40</f>
        <v>45524</v>
      </c>
      <c r="AV24" s="64"/>
      <c r="AW24" s="64"/>
      <c r="AX24" s="64"/>
      <c r="AY24" s="9"/>
      <c r="AZ24" s="10">
        <f>Listas!C40</f>
        <v>45524</v>
      </c>
      <c r="BA24" s="64"/>
      <c r="BB24" s="64"/>
      <c r="BC24" s="64"/>
      <c r="BD24" s="9"/>
      <c r="BE24" s="10">
        <f>Listas!C40</f>
        <v>45524</v>
      </c>
      <c r="BF24" s="64"/>
      <c r="BG24" s="64"/>
      <c r="BH24" s="64"/>
      <c r="BI24" s="9"/>
      <c r="BJ24" s="10">
        <f>Listas!C40</f>
        <v>45524</v>
      </c>
      <c r="BK24" s="64"/>
      <c r="BL24" s="64"/>
      <c r="BM24" s="64"/>
    </row>
    <row r="25" spans="1:65">
      <c r="A25" s="9"/>
      <c r="B25" s="10">
        <f>Listas!C41</f>
        <v>45525</v>
      </c>
      <c r="C25" s="64"/>
      <c r="D25" s="64"/>
      <c r="E25" s="64"/>
      <c r="F25" s="9"/>
      <c r="G25" s="10">
        <f>Listas!C41</f>
        <v>45525</v>
      </c>
      <c r="H25" s="64"/>
      <c r="I25" s="64"/>
      <c r="J25" s="64"/>
      <c r="K25" s="9"/>
      <c r="L25" s="10">
        <f>Listas!C41</f>
        <v>45525</v>
      </c>
      <c r="M25" s="64"/>
      <c r="N25" s="64"/>
      <c r="O25" s="64"/>
      <c r="P25" s="9"/>
      <c r="Q25" s="10">
        <f>Listas!C41</f>
        <v>45525</v>
      </c>
      <c r="R25" s="64"/>
      <c r="S25" s="64"/>
      <c r="T25" s="64"/>
      <c r="U25" s="9"/>
      <c r="V25" s="10">
        <f>Listas!C41</f>
        <v>45525</v>
      </c>
      <c r="W25" s="64"/>
      <c r="X25" s="64"/>
      <c r="Y25" s="64"/>
      <c r="Z25" s="9"/>
      <c r="AA25" s="10">
        <f>Listas!C41</f>
        <v>45525</v>
      </c>
      <c r="AB25" s="64"/>
      <c r="AC25" s="64"/>
      <c r="AD25" s="64"/>
      <c r="AE25" s="9"/>
      <c r="AF25" s="10">
        <f>Listas!C41</f>
        <v>45525</v>
      </c>
      <c r="AG25" s="64"/>
      <c r="AH25" s="64"/>
      <c r="AI25" s="64"/>
      <c r="AJ25" s="9"/>
      <c r="AK25" s="10">
        <f>Listas!C41</f>
        <v>45525</v>
      </c>
      <c r="AL25" s="64"/>
      <c r="AM25" s="64"/>
      <c r="AN25" s="64"/>
      <c r="AO25" s="9"/>
      <c r="AP25" s="10">
        <f>Listas!C41</f>
        <v>45525</v>
      </c>
      <c r="AQ25" s="64"/>
      <c r="AR25" s="64"/>
      <c r="AS25" s="64"/>
      <c r="AT25" s="9"/>
      <c r="AU25" s="10">
        <f>Listas!C41</f>
        <v>45525</v>
      </c>
      <c r="AV25" s="64"/>
      <c r="AW25" s="64"/>
      <c r="AX25" s="64"/>
      <c r="AY25" s="9"/>
      <c r="AZ25" s="10">
        <f>Listas!C41</f>
        <v>45525</v>
      </c>
      <c r="BA25" s="64"/>
      <c r="BB25" s="64"/>
      <c r="BC25" s="64"/>
      <c r="BD25" s="9"/>
      <c r="BE25" s="10">
        <f>Listas!C41</f>
        <v>45525</v>
      </c>
      <c r="BF25" s="64"/>
      <c r="BG25" s="64"/>
      <c r="BH25" s="64"/>
      <c r="BI25" s="9"/>
      <c r="BJ25" s="10">
        <f>Listas!C41</f>
        <v>45525</v>
      </c>
      <c r="BK25" s="64"/>
      <c r="BL25" s="64"/>
      <c r="BM25" s="64"/>
    </row>
    <row r="26" spans="1:65">
      <c r="A26" s="9"/>
      <c r="B26" s="10">
        <f>Listas!C42</f>
        <v>45526</v>
      </c>
      <c r="C26" s="64"/>
      <c r="D26" s="64"/>
      <c r="E26" s="64"/>
      <c r="F26" s="9"/>
      <c r="G26" s="10">
        <f>Listas!C42</f>
        <v>45526</v>
      </c>
      <c r="H26" s="64"/>
      <c r="I26" s="64"/>
      <c r="J26" s="64"/>
      <c r="K26" s="9"/>
      <c r="L26" s="10">
        <f>Listas!C42</f>
        <v>45526</v>
      </c>
      <c r="M26" s="64"/>
      <c r="N26" s="64"/>
      <c r="O26" s="64"/>
      <c r="P26" s="9"/>
      <c r="Q26" s="10">
        <f>Listas!C42</f>
        <v>45526</v>
      </c>
      <c r="R26" s="64"/>
      <c r="S26" s="64"/>
      <c r="T26" s="64"/>
      <c r="U26" s="9"/>
      <c r="V26" s="10">
        <f>Listas!C42</f>
        <v>45526</v>
      </c>
      <c r="W26" s="64"/>
      <c r="X26" s="64"/>
      <c r="Y26" s="64"/>
      <c r="Z26" s="9"/>
      <c r="AA26" s="10">
        <f>Listas!C42</f>
        <v>45526</v>
      </c>
      <c r="AB26" s="64"/>
      <c r="AC26" s="64"/>
      <c r="AD26" s="64"/>
      <c r="AE26" s="9"/>
      <c r="AF26" s="10">
        <f>Listas!C42</f>
        <v>45526</v>
      </c>
      <c r="AG26" s="64"/>
      <c r="AH26" s="64"/>
      <c r="AI26" s="64"/>
      <c r="AJ26" s="9"/>
      <c r="AK26" s="10">
        <f>Listas!C42</f>
        <v>45526</v>
      </c>
      <c r="AL26" s="64"/>
      <c r="AM26" s="64"/>
      <c r="AN26" s="64"/>
      <c r="AO26" s="9"/>
      <c r="AP26" s="10">
        <f>Listas!C42</f>
        <v>45526</v>
      </c>
      <c r="AQ26" s="64"/>
      <c r="AR26" s="64"/>
      <c r="AS26" s="64"/>
      <c r="AT26" s="9"/>
      <c r="AU26" s="10">
        <f>Listas!C42</f>
        <v>45526</v>
      </c>
      <c r="AV26" s="64"/>
      <c r="AW26" s="64"/>
      <c r="AX26" s="64"/>
      <c r="AY26" s="9"/>
      <c r="AZ26" s="10">
        <f>Listas!C42</f>
        <v>45526</v>
      </c>
      <c r="BA26" s="64"/>
      <c r="BB26" s="64"/>
      <c r="BC26" s="64"/>
      <c r="BD26" s="9"/>
      <c r="BE26" s="10">
        <f>Listas!C42</f>
        <v>45526</v>
      </c>
      <c r="BF26" s="64"/>
      <c r="BG26" s="64"/>
      <c r="BH26" s="64"/>
      <c r="BI26" s="9"/>
      <c r="BJ26" s="10">
        <f>Listas!C42</f>
        <v>45526</v>
      </c>
      <c r="BK26" s="64"/>
      <c r="BL26" s="64"/>
      <c r="BM26" s="64"/>
    </row>
    <row r="27" spans="1:65">
      <c r="A27" s="9"/>
      <c r="B27" s="10">
        <f>Listas!C43</f>
        <v>45527</v>
      </c>
      <c r="C27" s="64"/>
      <c r="D27" s="64"/>
      <c r="E27" s="64"/>
      <c r="F27" s="9"/>
      <c r="G27" s="10">
        <f>Listas!C43</f>
        <v>45527</v>
      </c>
      <c r="H27" s="64"/>
      <c r="I27" s="64"/>
      <c r="J27" s="64"/>
      <c r="K27" s="9"/>
      <c r="L27" s="10">
        <f>Listas!C43</f>
        <v>45527</v>
      </c>
      <c r="M27" s="64"/>
      <c r="N27" s="64"/>
      <c r="O27" s="64"/>
      <c r="P27" s="9"/>
      <c r="Q27" s="10">
        <f>Listas!C43</f>
        <v>45527</v>
      </c>
      <c r="R27" s="64"/>
      <c r="S27" s="64"/>
      <c r="T27" s="64"/>
      <c r="U27" s="9"/>
      <c r="V27" s="10">
        <f>Listas!C43</f>
        <v>45527</v>
      </c>
      <c r="W27" s="64"/>
      <c r="X27" s="64"/>
      <c r="Y27" s="64"/>
      <c r="Z27" s="9"/>
      <c r="AA27" s="10">
        <f>Listas!C43</f>
        <v>45527</v>
      </c>
      <c r="AB27" s="64"/>
      <c r="AC27" s="64"/>
      <c r="AD27" s="64"/>
      <c r="AE27" s="9"/>
      <c r="AF27" s="10">
        <f>Listas!C43</f>
        <v>45527</v>
      </c>
      <c r="AG27" s="64"/>
      <c r="AH27" s="64"/>
      <c r="AI27" s="64"/>
      <c r="AJ27" s="9"/>
      <c r="AK27" s="10">
        <f>Listas!C43</f>
        <v>45527</v>
      </c>
      <c r="AL27" s="64"/>
      <c r="AM27" s="64"/>
      <c r="AN27" s="64"/>
      <c r="AO27" s="9"/>
      <c r="AP27" s="10">
        <f>Listas!C43</f>
        <v>45527</v>
      </c>
      <c r="AQ27" s="64"/>
      <c r="AR27" s="64"/>
      <c r="AS27" s="64"/>
      <c r="AT27" s="9"/>
      <c r="AU27" s="10">
        <f>Listas!C43</f>
        <v>45527</v>
      </c>
      <c r="AV27" s="64"/>
      <c r="AW27" s="64"/>
      <c r="AX27" s="64"/>
      <c r="AY27" s="9"/>
      <c r="AZ27" s="10">
        <f>Listas!C43</f>
        <v>45527</v>
      </c>
      <c r="BA27" s="64"/>
      <c r="BB27" s="64"/>
      <c r="BC27" s="64"/>
      <c r="BD27" s="9"/>
      <c r="BE27" s="10">
        <f>Listas!C43</f>
        <v>45527</v>
      </c>
      <c r="BF27" s="64"/>
      <c r="BG27" s="64"/>
      <c r="BH27" s="64"/>
      <c r="BI27" s="9"/>
      <c r="BJ27" s="10">
        <f>Listas!C43</f>
        <v>45527</v>
      </c>
      <c r="BK27" s="64"/>
      <c r="BL27" s="64"/>
      <c r="BM27" s="64"/>
    </row>
    <row r="28" spans="1:65">
      <c r="A28" s="9"/>
      <c r="B28" s="10">
        <f>Listas!C44</f>
        <v>45528</v>
      </c>
      <c r="C28" s="64"/>
      <c r="D28" s="64"/>
      <c r="E28" s="64"/>
      <c r="F28" s="9"/>
      <c r="G28" s="10">
        <f>Listas!C44</f>
        <v>45528</v>
      </c>
      <c r="H28" s="64"/>
      <c r="I28" s="64"/>
      <c r="J28" s="64"/>
      <c r="K28" s="9"/>
      <c r="L28" s="10">
        <f>Listas!C44</f>
        <v>45528</v>
      </c>
      <c r="M28" s="64"/>
      <c r="N28" s="64"/>
      <c r="O28" s="64"/>
      <c r="P28" s="9"/>
      <c r="Q28" s="10">
        <f>Listas!C44</f>
        <v>45528</v>
      </c>
      <c r="R28" s="64"/>
      <c r="S28" s="64"/>
      <c r="T28" s="64"/>
      <c r="U28" s="9"/>
      <c r="V28" s="10">
        <f>Listas!C44</f>
        <v>45528</v>
      </c>
      <c r="W28" s="64"/>
      <c r="X28" s="64"/>
      <c r="Y28" s="64"/>
      <c r="Z28" s="9"/>
      <c r="AA28" s="10">
        <f>Listas!C44</f>
        <v>45528</v>
      </c>
      <c r="AB28" s="64"/>
      <c r="AC28" s="64"/>
      <c r="AD28" s="64"/>
      <c r="AE28" s="9"/>
      <c r="AF28" s="10">
        <f>Listas!C44</f>
        <v>45528</v>
      </c>
      <c r="AG28" s="64"/>
      <c r="AH28" s="64"/>
      <c r="AI28" s="64"/>
      <c r="AJ28" s="9"/>
      <c r="AK28" s="10">
        <f>Listas!C44</f>
        <v>45528</v>
      </c>
      <c r="AL28" s="64"/>
      <c r="AM28" s="64"/>
      <c r="AN28" s="64"/>
      <c r="AO28" s="9"/>
      <c r="AP28" s="10">
        <f>Listas!C44</f>
        <v>45528</v>
      </c>
      <c r="AQ28" s="64"/>
      <c r="AR28" s="64"/>
      <c r="AS28" s="64"/>
      <c r="AT28" s="9"/>
      <c r="AU28" s="10">
        <f>Listas!C44</f>
        <v>45528</v>
      </c>
      <c r="AV28" s="64"/>
      <c r="AW28" s="64"/>
      <c r="AX28" s="64"/>
      <c r="AY28" s="9"/>
      <c r="AZ28" s="10">
        <f>Listas!C44</f>
        <v>45528</v>
      </c>
      <c r="BA28" s="64"/>
      <c r="BB28" s="64"/>
      <c r="BC28" s="64"/>
      <c r="BD28" s="9"/>
      <c r="BE28" s="10">
        <f>Listas!C44</f>
        <v>45528</v>
      </c>
      <c r="BF28" s="64"/>
      <c r="BG28" s="64"/>
      <c r="BH28" s="64"/>
      <c r="BI28" s="9"/>
      <c r="BJ28" s="10">
        <f>Listas!C44</f>
        <v>45528</v>
      </c>
      <c r="BK28" s="64"/>
      <c r="BL28" s="64"/>
      <c r="BM28" s="64"/>
    </row>
    <row r="29" spans="1:65">
      <c r="A29" s="9"/>
      <c r="B29" s="10">
        <f>Listas!C45</f>
        <v>45529</v>
      </c>
      <c r="C29" s="64"/>
      <c r="D29" s="64"/>
      <c r="E29" s="64"/>
      <c r="F29" s="9"/>
      <c r="G29" s="10">
        <f>Listas!C45</f>
        <v>45529</v>
      </c>
      <c r="H29" s="64"/>
      <c r="I29" s="64"/>
      <c r="J29" s="64"/>
      <c r="K29" s="9"/>
      <c r="L29" s="10">
        <f>Listas!C45</f>
        <v>45529</v>
      </c>
      <c r="M29" s="64"/>
      <c r="N29" s="64"/>
      <c r="O29" s="64"/>
      <c r="P29" s="9"/>
      <c r="Q29" s="10">
        <f>Listas!C45</f>
        <v>45529</v>
      </c>
      <c r="R29" s="64"/>
      <c r="S29" s="64"/>
      <c r="T29" s="64"/>
      <c r="U29" s="9"/>
      <c r="V29" s="10">
        <f>Listas!C45</f>
        <v>45529</v>
      </c>
      <c r="W29" s="64"/>
      <c r="X29" s="64"/>
      <c r="Y29" s="64"/>
      <c r="Z29" s="9"/>
      <c r="AA29" s="10">
        <f>Listas!C45</f>
        <v>45529</v>
      </c>
      <c r="AB29" s="64"/>
      <c r="AC29" s="64"/>
      <c r="AD29" s="64"/>
      <c r="AE29" s="9"/>
      <c r="AF29" s="10">
        <f>Listas!C45</f>
        <v>45529</v>
      </c>
      <c r="AG29" s="64"/>
      <c r="AH29" s="64"/>
      <c r="AI29" s="64"/>
      <c r="AJ29" s="9"/>
      <c r="AK29" s="10">
        <f>Listas!C45</f>
        <v>45529</v>
      </c>
      <c r="AL29" s="64"/>
      <c r="AM29" s="64"/>
      <c r="AN29" s="64"/>
      <c r="AO29" s="9"/>
      <c r="AP29" s="10">
        <f>Listas!C45</f>
        <v>45529</v>
      </c>
      <c r="AQ29" s="64"/>
      <c r="AR29" s="64"/>
      <c r="AS29" s="64"/>
      <c r="AT29" s="9"/>
      <c r="AU29" s="10">
        <f>Listas!C45</f>
        <v>45529</v>
      </c>
      <c r="AV29" s="64"/>
      <c r="AW29" s="64"/>
      <c r="AX29" s="64"/>
      <c r="AY29" s="9"/>
      <c r="AZ29" s="10">
        <f>Listas!C45</f>
        <v>45529</v>
      </c>
      <c r="BA29" s="64"/>
      <c r="BB29" s="64"/>
      <c r="BC29" s="64"/>
      <c r="BD29" s="9"/>
      <c r="BE29" s="10">
        <f>Listas!C45</f>
        <v>45529</v>
      </c>
      <c r="BF29" s="64"/>
      <c r="BG29" s="64"/>
      <c r="BH29" s="64"/>
      <c r="BI29" s="9"/>
      <c r="BJ29" s="10">
        <f>Listas!C45</f>
        <v>45529</v>
      </c>
      <c r="BK29" s="64"/>
      <c r="BL29" s="64"/>
      <c r="BM29" s="64"/>
    </row>
    <row r="30" spans="1:65">
      <c r="A30" s="9"/>
      <c r="B30" s="10">
        <f>Listas!C46</f>
        <v>45530</v>
      </c>
      <c r="C30" s="64"/>
      <c r="D30" s="64"/>
      <c r="E30" s="64"/>
      <c r="F30" s="9"/>
      <c r="G30" s="10">
        <f>Listas!C46</f>
        <v>45530</v>
      </c>
      <c r="H30" s="64"/>
      <c r="I30" s="64"/>
      <c r="J30" s="64"/>
      <c r="K30" s="9"/>
      <c r="L30" s="10">
        <f>Listas!C46</f>
        <v>45530</v>
      </c>
      <c r="M30" s="64"/>
      <c r="N30" s="64"/>
      <c r="O30" s="64"/>
      <c r="P30" s="9"/>
      <c r="Q30" s="10">
        <f>Listas!C46</f>
        <v>45530</v>
      </c>
      <c r="R30" s="64"/>
      <c r="S30" s="64"/>
      <c r="T30" s="64"/>
      <c r="U30" s="9"/>
      <c r="V30" s="10">
        <f>Listas!C46</f>
        <v>45530</v>
      </c>
      <c r="W30" s="64"/>
      <c r="X30" s="64"/>
      <c r="Y30" s="64"/>
      <c r="Z30" s="9"/>
      <c r="AA30" s="10">
        <f>Listas!C46</f>
        <v>45530</v>
      </c>
      <c r="AB30" s="64"/>
      <c r="AC30" s="64"/>
      <c r="AD30" s="64"/>
      <c r="AE30" s="9"/>
      <c r="AF30" s="10">
        <f>Listas!C46</f>
        <v>45530</v>
      </c>
      <c r="AG30" s="64"/>
      <c r="AH30" s="64"/>
      <c r="AI30" s="64"/>
      <c r="AJ30" s="9"/>
      <c r="AK30" s="10">
        <f>Listas!C46</f>
        <v>45530</v>
      </c>
      <c r="AL30" s="64"/>
      <c r="AM30" s="64"/>
      <c r="AN30" s="64"/>
      <c r="AO30" s="9"/>
      <c r="AP30" s="10">
        <f>Listas!C46</f>
        <v>45530</v>
      </c>
      <c r="AQ30" s="64"/>
      <c r="AR30" s="64"/>
      <c r="AS30" s="64"/>
      <c r="AT30" s="9"/>
      <c r="AU30" s="10">
        <f>Listas!C46</f>
        <v>45530</v>
      </c>
      <c r="AV30" s="64"/>
      <c r="AW30" s="64"/>
      <c r="AX30" s="64"/>
      <c r="AY30" s="9"/>
      <c r="AZ30" s="10">
        <f>Listas!C46</f>
        <v>45530</v>
      </c>
      <c r="BA30" s="64"/>
      <c r="BB30" s="64"/>
      <c r="BC30" s="64"/>
      <c r="BD30" s="9"/>
      <c r="BE30" s="10">
        <f>Listas!C46</f>
        <v>45530</v>
      </c>
      <c r="BF30" s="64"/>
      <c r="BG30" s="64"/>
      <c r="BH30" s="64"/>
      <c r="BI30" s="9"/>
      <c r="BJ30" s="10">
        <f>Listas!C46</f>
        <v>45530</v>
      </c>
      <c r="BK30" s="64"/>
      <c r="BL30" s="64"/>
      <c r="BM30" s="64"/>
    </row>
    <row r="31" spans="1:65">
      <c r="A31" s="9"/>
      <c r="B31" s="10">
        <f>Listas!C47</f>
        <v>45531</v>
      </c>
      <c r="C31" s="64"/>
      <c r="D31" s="64"/>
      <c r="E31" s="64"/>
      <c r="F31" s="11"/>
      <c r="G31" s="10">
        <f>Listas!C47</f>
        <v>45531</v>
      </c>
      <c r="H31" s="64"/>
      <c r="I31" s="64"/>
      <c r="J31" s="64"/>
      <c r="K31" s="9"/>
      <c r="L31" s="10">
        <f>Listas!C47</f>
        <v>45531</v>
      </c>
      <c r="M31" s="64"/>
      <c r="N31" s="64"/>
      <c r="O31" s="64"/>
      <c r="P31" s="9"/>
      <c r="Q31" s="10">
        <f>Listas!C47</f>
        <v>45531</v>
      </c>
      <c r="R31" s="64"/>
      <c r="S31" s="64"/>
      <c r="T31" s="64"/>
      <c r="U31" s="9"/>
      <c r="V31" s="10">
        <f>Listas!C47</f>
        <v>45531</v>
      </c>
      <c r="W31" s="64"/>
      <c r="X31" s="64"/>
      <c r="Y31" s="64"/>
      <c r="Z31" s="9"/>
      <c r="AA31" s="10">
        <f>Listas!C47</f>
        <v>45531</v>
      </c>
      <c r="AB31" s="64"/>
      <c r="AC31" s="64"/>
      <c r="AD31" s="64"/>
      <c r="AE31" s="9"/>
      <c r="AF31" s="10">
        <f>Listas!C47</f>
        <v>45531</v>
      </c>
      <c r="AG31" s="64"/>
      <c r="AH31" s="64"/>
      <c r="AI31" s="64"/>
      <c r="AJ31" s="9"/>
      <c r="AK31" s="10">
        <f>Listas!C47</f>
        <v>45531</v>
      </c>
      <c r="AL31" s="64"/>
      <c r="AM31" s="64"/>
      <c r="AN31" s="64"/>
      <c r="AO31" s="9"/>
      <c r="AP31" s="10">
        <f>Listas!C47</f>
        <v>45531</v>
      </c>
      <c r="AQ31" s="64"/>
      <c r="AR31" s="64"/>
      <c r="AS31" s="64"/>
      <c r="AT31" s="9"/>
      <c r="AU31" s="10">
        <f>Listas!C47</f>
        <v>45531</v>
      </c>
      <c r="AV31" s="64"/>
      <c r="AW31" s="64"/>
      <c r="AX31" s="64"/>
      <c r="AY31" s="9"/>
      <c r="AZ31" s="10">
        <f>Listas!C47</f>
        <v>45531</v>
      </c>
      <c r="BA31" s="64"/>
      <c r="BB31" s="64"/>
      <c r="BC31" s="64"/>
      <c r="BD31" s="9"/>
      <c r="BE31" s="10">
        <f>Listas!C47</f>
        <v>45531</v>
      </c>
      <c r="BF31" s="64"/>
      <c r="BG31" s="64"/>
      <c r="BH31" s="64"/>
      <c r="BI31" s="9"/>
      <c r="BJ31" s="10">
        <f>Listas!C47</f>
        <v>45531</v>
      </c>
      <c r="BK31" s="64"/>
      <c r="BL31" s="64"/>
      <c r="BM31" s="64"/>
    </row>
    <row r="32" spans="1:65">
      <c r="A32" s="9"/>
      <c r="B32" s="10">
        <f>Listas!C48</f>
        <v>45532</v>
      </c>
      <c r="C32" s="64"/>
      <c r="D32" s="64"/>
      <c r="E32" s="64"/>
      <c r="F32" s="11"/>
      <c r="G32" s="10">
        <f>Listas!C48</f>
        <v>45532</v>
      </c>
      <c r="H32" s="64"/>
      <c r="I32" s="64"/>
      <c r="J32" s="64"/>
      <c r="K32" s="9"/>
      <c r="L32" s="10">
        <f>Listas!C48</f>
        <v>45532</v>
      </c>
      <c r="M32" s="64"/>
      <c r="N32" s="64"/>
      <c r="O32" s="64"/>
      <c r="P32" s="9"/>
      <c r="Q32" s="10">
        <f>Listas!C48</f>
        <v>45532</v>
      </c>
      <c r="R32" s="64"/>
      <c r="S32" s="64"/>
      <c r="T32" s="64"/>
      <c r="U32" s="9"/>
      <c r="V32" s="10">
        <f>Listas!C48</f>
        <v>45532</v>
      </c>
      <c r="W32" s="64"/>
      <c r="X32" s="64"/>
      <c r="Y32" s="64"/>
      <c r="Z32" s="9"/>
      <c r="AA32" s="10">
        <f>Listas!C48</f>
        <v>45532</v>
      </c>
      <c r="AB32" s="64"/>
      <c r="AC32" s="64"/>
      <c r="AD32" s="64"/>
      <c r="AE32" s="9"/>
      <c r="AF32" s="10">
        <f>Listas!C48</f>
        <v>45532</v>
      </c>
      <c r="AG32" s="64"/>
      <c r="AH32" s="64"/>
      <c r="AI32" s="64"/>
      <c r="AJ32" s="9"/>
      <c r="AK32" s="10">
        <f>Listas!C48</f>
        <v>45532</v>
      </c>
      <c r="AL32" s="64"/>
      <c r="AM32" s="64"/>
      <c r="AN32" s="64"/>
      <c r="AO32" s="9"/>
      <c r="AP32" s="10">
        <f>Listas!C48</f>
        <v>45532</v>
      </c>
      <c r="AQ32" s="64"/>
      <c r="AR32" s="64"/>
      <c r="AS32" s="64"/>
      <c r="AT32" s="9"/>
      <c r="AU32" s="10">
        <f>Listas!C48</f>
        <v>45532</v>
      </c>
      <c r="AV32" s="64"/>
      <c r="AW32" s="64"/>
      <c r="AX32" s="64"/>
      <c r="AY32" s="9"/>
      <c r="AZ32" s="10">
        <f>Listas!C48</f>
        <v>45532</v>
      </c>
      <c r="BA32" s="64"/>
      <c r="BB32" s="64"/>
      <c r="BC32" s="64"/>
      <c r="BD32" s="9"/>
      <c r="BE32" s="10">
        <f>Listas!C48</f>
        <v>45532</v>
      </c>
      <c r="BF32" s="64"/>
      <c r="BG32" s="64"/>
      <c r="BH32" s="64"/>
      <c r="BI32" s="9"/>
      <c r="BJ32" s="10">
        <f>Listas!C48</f>
        <v>45532</v>
      </c>
      <c r="BK32" s="64"/>
      <c r="BL32" s="64"/>
      <c r="BM32" s="64"/>
    </row>
    <row r="33" spans="1:65">
      <c r="A33" s="9"/>
      <c r="B33" s="10">
        <f>Listas!C49</f>
        <v>45533</v>
      </c>
      <c r="C33" s="64"/>
      <c r="D33" s="64"/>
      <c r="E33" s="64"/>
      <c r="F33" s="9"/>
      <c r="G33" s="10">
        <f>Listas!C49</f>
        <v>45533</v>
      </c>
      <c r="H33" s="64"/>
      <c r="I33" s="64"/>
      <c r="J33" s="64"/>
      <c r="K33" s="9"/>
      <c r="L33" s="10">
        <f>Listas!C49</f>
        <v>45533</v>
      </c>
      <c r="M33" s="64"/>
      <c r="N33" s="64"/>
      <c r="O33" s="64"/>
      <c r="P33" s="9"/>
      <c r="Q33" s="10">
        <f>Listas!C49</f>
        <v>45533</v>
      </c>
      <c r="R33" s="64"/>
      <c r="S33" s="64"/>
      <c r="T33" s="64"/>
      <c r="U33" s="9"/>
      <c r="V33" s="10">
        <f>Listas!C49</f>
        <v>45533</v>
      </c>
      <c r="W33" s="64"/>
      <c r="X33" s="64"/>
      <c r="Y33" s="64"/>
      <c r="Z33" s="9"/>
      <c r="AA33" s="10">
        <f>Listas!C49</f>
        <v>45533</v>
      </c>
      <c r="AB33" s="64"/>
      <c r="AC33" s="64"/>
      <c r="AD33" s="64"/>
      <c r="AE33" s="9"/>
      <c r="AF33" s="10">
        <f>Listas!C49</f>
        <v>45533</v>
      </c>
      <c r="AG33" s="64"/>
      <c r="AH33" s="64"/>
      <c r="AI33" s="64"/>
      <c r="AJ33" s="9"/>
      <c r="AK33" s="10">
        <f>Listas!C49</f>
        <v>45533</v>
      </c>
      <c r="AL33" s="64"/>
      <c r="AM33" s="64"/>
      <c r="AN33" s="64"/>
      <c r="AO33" s="9"/>
      <c r="AP33" s="10">
        <f>Listas!C49</f>
        <v>45533</v>
      </c>
      <c r="AQ33" s="64"/>
      <c r="AR33" s="64"/>
      <c r="AS33" s="64"/>
      <c r="AT33" s="9"/>
      <c r="AU33" s="10">
        <f>Listas!C49</f>
        <v>45533</v>
      </c>
      <c r="AV33" s="64"/>
      <c r="AW33" s="64"/>
      <c r="AX33" s="64"/>
      <c r="AY33" s="9"/>
      <c r="AZ33" s="10">
        <f>Listas!C49</f>
        <v>45533</v>
      </c>
      <c r="BA33" s="64"/>
      <c r="BB33" s="64"/>
      <c r="BC33" s="64"/>
      <c r="BD33" s="9"/>
      <c r="BE33" s="10">
        <f>Listas!C49</f>
        <v>45533</v>
      </c>
      <c r="BF33" s="64"/>
      <c r="BG33" s="64"/>
      <c r="BH33" s="64"/>
      <c r="BI33" s="12"/>
      <c r="BJ33" s="10">
        <f>Listas!C49</f>
        <v>45533</v>
      </c>
      <c r="BK33" s="64"/>
      <c r="BL33" s="64"/>
      <c r="BM33" s="64"/>
    </row>
    <row r="34" spans="1:65">
      <c r="A34" s="9"/>
      <c r="B34" s="10">
        <f>Listas!C50</f>
        <v>45534</v>
      </c>
      <c r="C34" s="64"/>
      <c r="D34" s="64"/>
      <c r="E34" s="64"/>
      <c r="F34" s="9"/>
      <c r="G34" s="10">
        <f>Listas!C50</f>
        <v>45534</v>
      </c>
      <c r="H34" s="64"/>
      <c r="I34" s="64"/>
      <c r="J34" s="64"/>
      <c r="K34" s="9"/>
      <c r="L34" s="10">
        <f>Listas!C50</f>
        <v>45534</v>
      </c>
      <c r="M34" s="64"/>
      <c r="N34" s="64"/>
      <c r="O34" s="64"/>
      <c r="P34" s="9"/>
      <c r="Q34" s="10">
        <f>Listas!C50</f>
        <v>45534</v>
      </c>
      <c r="R34" s="64"/>
      <c r="S34" s="64"/>
      <c r="T34" s="64"/>
      <c r="U34" s="9"/>
      <c r="V34" s="10">
        <f>Listas!C50</f>
        <v>45534</v>
      </c>
      <c r="W34" s="64"/>
      <c r="X34" s="64"/>
      <c r="Y34" s="64"/>
      <c r="Z34" s="9"/>
      <c r="AA34" s="10">
        <f>Listas!C50</f>
        <v>45534</v>
      </c>
      <c r="AB34" s="64"/>
      <c r="AC34" s="64"/>
      <c r="AD34" s="64"/>
      <c r="AE34" s="9"/>
      <c r="AF34" s="10">
        <f>Listas!C50</f>
        <v>45534</v>
      </c>
      <c r="AG34" s="64"/>
      <c r="AH34" s="64"/>
      <c r="AI34" s="64"/>
      <c r="AJ34" s="9"/>
      <c r="AK34" s="10">
        <f>Listas!C50</f>
        <v>45534</v>
      </c>
      <c r="AL34" s="64"/>
      <c r="AM34" s="64"/>
      <c r="AN34" s="64"/>
      <c r="AO34" s="9"/>
      <c r="AP34" s="10">
        <f>Listas!C50</f>
        <v>45534</v>
      </c>
      <c r="AQ34" s="64"/>
      <c r="AR34" s="64"/>
      <c r="AS34" s="64"/>
      <c r="AT34" s="9"/>
      <c r="AU34" s="10">
        <f>Listas!C50</f>
        <v>45534</v>
      </c>
      <c r="AV34" s="64"/>
      <c r="AW34" s="64"/>
      <c r="AX34" s="64"/>
      <c r="AY34" s="9"/>
      <c r="AZ34" s="10">
        <f>Listas!C50</f>
        <v>45534</v>
      </c>
      <c r="BA34" s="64"/>
      <c r="BB34" s="64"/>
      <c r="BC34" s="64"/>
      <c r="BD34" s="9"/>
      <c r="BE34" s="10">
        <f>Listas!C50</f>
        <v>45534</v>
      </c>
      <c r="BF34" s="64"/>
      <c r="BG34" s="64"/>
      <c r="BH34" s="64"/>
      <c r="BI34" s="12"/>
      <c r="BJ34" s="10">
        <f>Listas!C50</f>
        <v>45534</v>
      </c>
      <c r="BK34" s="64"/>
      <c r="BL34" s="64"/>
      <c r="BM34" s="64"/>
    </row>
    <row r="35" spans="1:65">
      <c r="A35" s="9"/>
      <c r="B35" s="10">
        <f>Listas!C51</f>
        <v>45535</v>
      </c>
      <c r="C35" s="64"/>
      <c r="D35" s="64"/>
      <c r="E35" s="64"/>
      <c r="F35" s="9"/>
      <c r="G35" s="10">
        <f>Listas!C51</f>
        <v>45535</v>
      </c>
      <c r="H35" s="64"/>
      <c r="I35" s="64"/>
      <c r="J35" s="64"/>
      <c r="K35" s="9"/>
      <c r="L35" s="10">
        <f>Listas!C51</f>
        <v>45535</v>
      </c>
      <c r="M35" s="64"/>
      <c r="N35" s="64"/>
      <c r="O35" s="64"/>
      <c r="P35" s="9"/>
      <c r="Q35" s="10">
        <f>Listas!C51</f>
        <v>45535</v>
      </c>
      <c r="R35" s="64"/>
      <c r="S35" s="64"/>
      <c r="T35" s="64"/>
      <c r="U35" s="9"/>
      <c r="V35" s="10">
        <f>Listas!C51</f>
        <v>45535</v>
      </c>
      <c r="W35" s="64"/>
      <c r="X35" s="64"/>
      <c r="Y35" s="64"/>
      <c r="Z35" s="9"/>
      <c r="AA35" s="10">
        <f>Listas!C51</f>
        <v>45535</v>
      </c>
      <c r="AB35" s="64"/>
      <c r="AC35" s="64"/>
      <c r="AD35" s="64"/>
      <c r="AE35" s="9"/>
      <c r="AF35" s="10">
        <f>Listas!C51</f>
        <v>45535</v>
      </c>
      <c r="AG35" s="64"/>
      <c r="AH35" s="64"/>
      <c r="AI35" s="64"/>
      <c r="AJ35" s="9"/>
      <c r="AK35" s="10">
        <f>Listas!C51</f>
        <v>45535</v>
      </c>
      <c r="AL35" s="64"/>
      <c r="AM35" s="64"/>
      <c r="AN35" s="64"/>
      <c r="AO35" s="9"/>
      <c r="AP35" s="10">
        <f>Listas!C51</f>
        <v>45535</v>
      </c>
      <c r="AQ35" s="64"/>
      <c r="AR35" s="64"/>
      <c r="AS35" s="64"/>
      <c r="AT35" s="9"/>
      <c r="AU35" s="10">
        <f>Listas!C51</f>
        <v>45535</v>
      </c>
      <c r="AV35" s="64"/>
      <c r="AW35" s="64"/>
      <c r="AX35" s="64"/>
      <c r="AY35" s="9"/>
      <c r="AZ35" s="10">
        <f>Listas!C51</f>
        <v>45535</v>
      </c>
      <c r="BA35" s="64"/>
      <c r="BB35" s="64"/>
      <c r="BC35" s="64"/>
      <c r="BD35" s="9"/>
      <c r="BE35" s="10">
        <f>Listas!C51</f>
        <v>45535</v>
      </c>
      <c r="BF35" s="64"/>
      <c r="BG35" s="64"/>
      <c r="BH35" s="64"/>
      <c r="BI35" s="12"/>
      <c r="BJ35" s="10">
        <f>Listas!C51</f>
        <v>45535</v>
      </c>
      <c r="BK35" s="64"/>
      <c r="BL35" s="64"/>
      <c r="BM35" s="64"/>
    </row>
    <row r="36" spans="1:65">
      <c r="B36" s="12"/>
      <c r="C36" s="12"/>
      <c r="D36" s="12"/>
      <c r="E36" s="12"/>
      <c r="F36" s="12"/>
      <c r="G36" s="12"/>
      <c r="H36" s="9"/>
      <c r="I36" s="9"/>
      <c r="J36" s="9"/>
      <c r="K36" s="12"/>
      <c r="L36" s="12"/>
      <c r="M36" s="65"/>
      <c r="N36" s="65"/>
      <c r="O36" s="65"/>
      <c r="P36" s="12"/>
      <c r="Q36" s="12"/>
      <c r="R36" s="12"/>
      <c r="S36" s="12"/>
      <c r="T36" s="12"/>
      <c r="U36" s="12"/>
      <c r="V36" s="12"/>
      <c r="W36" s="9"/>
      <c r="X36" s="9"/>
      <c r="Y36" s="9"/>
      <c r="Z36" s="12"/>
      <c r="AA36" s="12"/>
      <c r="AB36" s="31"/>
      <c r="AC36" s="31"/>
      <c r="AD36" s="31"/>
      <c r="AE36" s="12"/>
      <c r="AF36" s="12"/>
      <c r="AG36" s="9"/>
      <c r="AH36" s="9"/>
      <c r="AI36" s="9"/>
      <c r="AJ36" s="12"/>
      <c r="AK36" s="12"/>
      <c r="AL36" s="31"/>
      <c r="AM36" s="31"/>
      <c r="AN36" s="31"/>
      <c r="AO36" s="12"/>
      <c r="AP36" s="12"/>
      <c r="AQ36" s="9"/>
      <c r="AR36" s="9"/>
      <c r="AS36" s="9"/>
      <c r="AT36" s="12"/>
      <c r="AU36" s="12"/>
      <c r="AV36" s="9"/>
      <c r="AW36" s="9"/>
      <c r="AX36" s="9"/>
      <c r="AY36" s="12"/>
      <c r="AZ36" s="12"/>
      <c r="BA36" s="31"/>
      <c r="BB36" s="31"/>
      <c r="BC36" s="31"/>
      <c r="BD36" s="12"/>
      <c r="BE36" s="12"/>
      <c r="BF36" s="9"/>
      <c r="BG36" s="9"/>
      <c r="BH36" s="9"/>
      <c r="BI36" s="12"/>
      <c r="BJ36" s="12"/>
      <c r="BK36" s="31"/>
      <c r="BL36" s="31"/>
    </row>
    <row r="37" spans="1:65">
      <c r="B37" s="12"/>
      <c r="C37" s="12"/>
      <c r="D37" s="12"/>
      <c r="E37" s="12"/>
      <c r="F37" s="12"/>
      <c r="G37" s="12"/>
      <c r="H37" s="9"/>
      <c r="I37" s="9"/>
      <c r="J37" s="9"/>
      <c r="K37" s="12"/>
      <c r="L37" s="12"/>
      <c r="M37" s="65"/>
      <c r="N37" s="65"/>
      <c r="O37" s="65"/>
      <c r="P37" s="12"/>
      <c r="Q37" s="12"/>
      <c r="R37" s="12"/>
      <c r="S37" s="12"/>
      <c r="T37" s="12"/>
      <c r="U37" s="12"/>
      <c r="V37" s="12"/>
      <c r="W37" s="9"/>
      <c r="X37" s="9"/>
      <c r="Y37" s="9"/>
      <c r="Z37" s="12"/>
      <c r="AA37" s="12"/>
      <c r="AB37" s="9"/>
      <c r="AC37" s="9"/>
      <c r="AD37" s="9"/>
      <c r="AE37" s="12"/>
      <c r="AF37" s="12"/>
      <c r="AG37" s="9"/>
      <c r="AH37" s="9"/>
      <c r="AI37" s="9"/>
      <c r="AJ37" s="12"/>
      <c r="AK37" s="12"/>
      <c r="AL37" s="9"/>
      <c r="AM37" s="9"/>
      <c r="AN37" s="9"/>
      <c r="AO37" s="12"/>
      <c r="AP37" s="12"/>
      <c r="AQ37" s="12"/>
      <c r="AR37" s="12"/>
      <c r="AS37" s="12"/>
      <c r="AT37" s="12"/>
      <c r="AU37" s="12"/>
      <c r="AV37" s="9"/>
      <c r="AW37" s="9"/>
      <c r="AX37" s="9"/>
      <c r="AY37" s="12"/>
      <c r="AZ37" s="12"/>
      <c r="BA37" s="31"/>
      <c r="BB37" s="31"/>
      <c r="BC37" s="31"/>
      <c r="BD37" s="12"/>
      <c r="BE37" s="12"/>
      <c r="BF37" s="9"/>
      <c r="BG37" s="9"/>
      <c r="BH37" s="9"/>
      <c r="BI37" s="12"/>
      <c r="BJ37" s="12"/>
      <c r="BK37" s="31"/>
      <c r="BL37" s="31"/>
    </row>
    <row r="38" spans="1:65">
      <c r="B38" s="12"/>
      <c r="C38" s="12"/>
      <c r="D38" s="12"/>
      <c r="E38" s="12"/>
      <c r="F38" s="12"/>
      <c r="G38" s="12"/>
      <c r="H38" s="9"/>
      <c r="I38" s="9"/>
      <c r="J38" s="9"/>
      <c r="K38" s="12"/>
      <c r="L38" s="12"/>
      <c r="M38" s="65"/>
      <c r="N38" s="65"/>
      <c r="O38" s="65"/>
      <c r="P38" s="12"/>
      <c r="Q38" s="12"/>
      <c r="R38" s="12"/>
      <c r="S38" s="12"/>
      <c r="T38" s="12"/>
      <c r="U38" s="12"/>
      <c r="V38" s="12"/>
      <c r="W38" s="9"/>
      <c r="X38" s="9"/>
      <c r="Y38" s="9"/>
      <c r="Z38" s="12"/>
      <c r="AA38" s="12"/>
      <c r="AB38" s="9"/>
      <c r="AC38" s="9"/>
      <c r="AD38" s="9"/>
      <c r="AE38" s="12"/>
      <c r="AF38" s="12"/>
      <c r="AG38" s="9"/>
      <c r="AH38" s="9"/>
      <c r="AI38" s="9"/>
      <c r="AJ38" s="12"/>
      <c r="AK38" s="12"/>
      <c r="AL38" s="9"/>
      <c r="AM38" s="9"/>
      <c r="AN38" s="9"/>
      <c r="AO38" s="12"/>
      <c r="AP38" s="12"/>
      <c r="AQ38" s="12"/>
      <c r="AR38" s="12"/>
      <c r="AS38" s="12"/>
      <c r="AT38" s="12"/>
      <c r="AU38" s="12"/>
      <c r="AV38" s="9"/>
      <c r="AW38" s="9"/>
      <c r="AX38" s="9"/>
      <c r="AY38" s="12"/>
      <c r="AZ38" s="12"/>
      <c r="BA38" s="31"/>
      <c r="BB38" s="31"/>
      <c r="BC38" s="31"/>
      <c r="BD38" s="12"/>
      <c r="BE38" s="12"/>
      <c r="BF38" s="12"/>
      <c r="BG38" s="12"/>
      <c r="BH38" s="12"/>
      <c r="BI38" s="12"/>
      <c r="BJ38" s="12"/>
      <c r="BK38" s="31"/>
      <c r="BL38" s="31"/>
    </row>
    <row r="39" spans="1:65">
      <c r="H39" s="9"/>
      <c r="I39" s="9"/>
      <c r="J39" s="9"/>
      <c r="W39" s="9"/>
      <c r="X39" s="9"/>
      <c r="Y39" s="9"/>
      <c r="AG39" s="9"/>
      <c r="AH39" s="9"/>
      <c r="AI39" s="9"/>
      <c r="AL39" s="9"/>
      <c r="AM39" s="9"/>
      <c r="AN39" s="9"/>
      <c r="AQ39" s="12"/>
      <c r="AR39" s="12"/>
      <c r="AS39" s="12"/>
      <c r="AV39" s="9"/>
      <c r="AW39" s="9"/>
      <c r="AX39" s="9"/>
      <c r="BA39" s="31"/>
      <c r="BB39" s="31"/>
      <c r="BC39" s="31"/>
      <c r="BF39" s="12"/>
      <c r="BG39" s="12"/>
      <c r="BH39" s="12"/>
      <c r="BI39" s="12"/>
    </row>
    <row r="40" spans="1:65">
      <c r="H40" s="9"/>
      <c r="I40" s="9"/>
      <c r="J40" s="9"/>
      <c r="W40" s="9"/>
      <c r="X40" s="9"/>
      <c r="Y40" s="9"/>
      <c r="AG40" s="9"/>
      <c r="AH40" s="9"/>
      <c r="AI40" s="9"/>
      <c r="AL40" s="9"/>
      <c r="AM40" s="9"/>
      <c r="AN40" s="9"/>
      <c r="AQ40" s="12"/>
      <c r="AR40" s="12"/>
      <c r="AS40" s="12"/>
      <c r="AV40" s="9"/>
      <c r="AW40" s="9"/>
      <c r="AX40" s="9"/>
      <c r="BA40" s="9"/>
      <c r="BB40" s="9"/>
      <c r="BC40" s="9"/>
      <c r="BF40" s="12"/>
      <c r="BG40" s="12"/>
      <c r="BH40" s="12"/>
      <c r="BI40" s="12"/>
    </row>
    <row r="41" spans="1:65">
      <c r="H41" s="9"/>
      <c r="I41" s="9"/>
      <c r="J41" s="9"/>
      <c r="AG41" s="9"/>
      <c r="AH41" s="9"/>
      <c r="AI41" s="9"/>
      <c r="AL41" s="9"/>
      <c r="AM41" s="9"/>
      <c r="AN41" s="9"/>
      <c r="AQ41" s="12"/>
      <c r="AR41" s="12"/>
      <c r="AS41" s="12"/>
      <c r="AV41" s="9"/>
      <c r="AW41" s="9"/>
      <c r="AX41" s="9"/>
      <c r="BA41" s="9"/>
      <c r="BB41" s="9"/>
      <c r="BC41" s="9"/>
      <c r="BF41" s="12"/>
      <c r="BG41" s="12"/>
      <c r="BH41" s="12"/>
      <c r="BI41" s="12"/>
    </row>
    <row r="42" spans="1:65">
      <c r="H42" s="9"/>
      <c r="I42" s="9"/>
      <c r="J42" s="9"/>
      <c r="AG42" s="9"/>
      <c r="AH42" s="9"/>
      <c r="AI42" s="9"/>
      <c r="AL42" s="9"/>
      <c r="AM42" s="9"/>
      <c r="AN42" s="9"/>
      <c r="AQ42" s="12"/>
      <c r="AR42" s="12"/>
      <c r="AS42" s="12"/>
      <c r="AV42" s="9"/>
      <c r="AW42" s="9"/>
      <c r="AX42" s="9"/>
      <c r="BA42" s="9"/>
      <c r="BB42" s="9"/>
      <c r="BC42" s="9"/>
      <c r="BF42" s="12"/>
      <c r="BG42" s="12"/>
      <c r="BH42" s="12"/>
      <c r="BI42" s="12"/>
    </row>
    <row r="43" spans="1:65">
      <c r="H43" s="9"/>
      <c r="I43" s="9"/>
      <c r="J43" s="9"/>
      <c r="AG43" s="9"/>
      <c r="AH43" s="9"/>
      <c r="AI43" s="9"/>
      <c r="AL43" s="9"/>
      <c r="AM43" s="9"/>
      <c r="AN43" s="9"/>
      <c r="AQ43" s="12"/>
      <c r="AR43" s="12"/>
      <c r="AS43" s="12"/>
      <c r="AV43" s="9"/>
      <c r="AW43" s="9"/>
      <c r="AX43" s="9"/>
      <c r="BA43" s="9"/>
      <c r="BB43" s="9"/>
      <c r="BC43" s="9"/>
      <c r="BF43" s="12"/>
      <c r="BG43" s="12"/>
      <c r="BH43" s="12"/>
      <c r="BI43" s="12"/>
    </row>
    <row r="44" spans="1:65">
      <c r="H44" s="9"/>
      <c r="I44" s="9"/>
      <c r="J44" s="9"/>
      <c r="AG44" s="9"/>
      <c r="AH44" s="9"/>
      <c r="AI44" s="9"/>
      <c r="AL44" s="9"/>
      <c r="AM44" s="9"/>
      <c r="AN44" s="9"/>
      <c r="AQ44" s="12"/>
      <c r="AR44" s="12"/>
      <c r="AS44" s="12"/>
      <c r="AV44" s="9"/>
      <c r="AW44" s="9"/>
      <c r="AX44" s="9"/>
      <c r="BA44" s="9"/>
      <c r="BB44" s="9"/>
      <c r="BC44" s="9"/>
      <c r="BF44" s="12"/>
      <c r="BG44" s="12"/>
      <c r="BH44" s="12"/>
      <c r="BI44" s="12"/>
    </row>
    <row r="45" spans="1:65">
      <c r="AG45" s="9"/>
      <c r="AH45" s="9"/>
      <c r="AI45" s="9"/>
      <c r="AL45" s="9"/>
      <c r="AM45" s="9"/>
      <c r="AN45" s="9"/>
      <c r="AV45" s="9"/>
      <c r="AW45" s="9"/>
      <c r="AX45" s="9"/>
      <c r="BF45" s="12"/>
      <c r="BG45" s="12"/>
      <c r="BH45" s="12"/>
      <c r="BI45" s="12"/>
    </row>
    <row r="46" spans="1:65">
      <c r="AG46" s="9"/>
      <c r="AH46" s="9"/>
      <c r="AI46" s="9"/>
      <c r="AL46" s="9"/>
      <c r="AM46" s="9"/>
      <c r="AN46" s="9"/>
      <c r="BF46" s="12"/>
      <c r="BG46" s="12"/>
      <c r="BH46" s="12"/>
      <c r="BI46" s="12"/>
    </row>
    <row r="47" spans="1:65">
      <c r="AL47" s="9"/>
      <c r="AM47" s="9"/>
      <c r="AN47" s="9"/>
      <c r="BF47" s="12"/>
      <c r="BG47" s="12"/>
      <c r="BH47" s="12"/>
      <c r="BI47" s="12"/>
    </row>
    <row r="48" spans="1:65">
      <c r="AL48" s="9"/>
      <c r="AM48" s="9"/>
      <c r="AN48" s="9"/>
      <c r="BF48" s="12"/>
      <c r="BG48" s="12"/>
      <c r="BH48" s="12"/>
      <c r="BI48" s="12"/>
    </row>
    <row r="49" spans="38:61">
      <c r="AL49" s="12"/>
      <c r="AM49" s="12"/>
      <c r="AN49" s="12"/>
      <c r="BF49" s="12"/>
      <c r="BG49" s="12"/>
      <c r="BH49" s="12"/>
      <c r="BI49" s="12"/>
    </row>
    <row r="50" spans="38:61">
      <c r="AL50" s="12"/>
      <c r="AM50" s="12"/>
      <c r="AN50" s="12"/>
      <c r="BF50" s="12"/>
      <c r="BG50" s="12"/>
      <c r="BH50" s="12"/>
      <c r="BI50" s="12"/>
    </row>
    <row r="51" spans="38:61">
      <c r="AL51" s="12"/>
      <c r="AM51" s="12"/>
      <c r="AN51" s="12"/>
      <c r="BF51" s="12"/>
      <c r="BG51" s="12"/>
      <c r="BH51" s="12"/>
      <c r="BI51" s="12"/>
    </row>
    <row r="52" spans="38:61">
      <c r="AL52" s="12"/>
      <c r="AM52" s="12"/>
      <c r="AN52" s="12"/>
    </row>
    <row r="53" spans="38:61">
      <c r="AL53" s="12"/>
      <c r="AM53" s="12"/>
      <c r="AN53" s="12"/>
    </row>
  </sheetData>
  <mergeCells count="26">
    <mergeCell ref="AU2:AX2"/>
    <mergeCell ref="AZ2:BC2"/>
    <mergeCell ref="BE2:BH2"/>
    <mergeCell ref="BJ2:BM2"/>
    <mergeCell ref="G2:J2"/>
    <mergeCell ref="G3:J3"/>
    <mergeCell ref="Q2:T2"/>
    <mergeCell ref="Q3:T3"/>
    <mergeCell ref="AA2:AD2"/>
    <mergeCell ref="AA3:AD3"/>
    <mergeCell ref="BE3:BH3"/>
    <mergeCell ref="BJ3:BM3"/>
    <mergeCell ref="AK2:AN2"/>
    <mergeCell ref="AP2:AS2"/>
    <mergeCell ref="B2:E2"/>
    <mergeCell ref="L2:O2"/>
    <mergeCell ref="V2:Y2"/>
    <mergeCell ref="AF2:AI2"/>
    <mergeCell ref="B3:E3"/>
    <mergeCell ref="L3:O3"/>
    <mergeCell ref="V3:Y3"/>
    <mergeCell ref="AF3:AI3"/>
    <mergeCell ref="AK3:AN3"/>
    <mergeCell ref="AP3:AS3"/>
    <mergeCell ref="AU3:AX3"/>
    <mergeCell ref="AZ3:BC3"/>
  </mergeCells>
  <printOptions horizontalCentered="1" gridLines="1"/>
  <pageMargins left="0.7" right="0.7" top="0.75" bottom="0.75" header="0" footer="0"/>
  <pageSetup pageOrder="overThenDown" orientation="landscape" cellComments="atEnd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989"/>
  <sheetViews>
    <sheetView topLeftCell="B1" workbookViewId="0">
      <selection activeCell="E12" sqref="E12"/>
    </sheetView>
  </sheetViews>
  <sheetFormatPr defaultColWidth="14.42578125" defaultRowHeight="15" customHeight="1"/>
  <cols>
    <col min="1" max="2" width="8.7109375" customWidth="1"/>
    <col min="3" max="3" width="28.5703125" customWidth="1"/>
    <col min="4" max="5" width="11.7109375" customWidth="1"/>
    <col min="6" max="6" width="13.28515625" customWidth="1"/>
    <col min="7" max="7" width="9.140625" customWidth="1"/>
    <col min="8" max="8" width="12.7109375" customWidth="1"/>
    <col min="9" max="9" width="12.140625" customWidth="1"/>
    <col min="10" max="10" width="14.140625" customWidth="1"/>
    <col min="11" max="11" width="14.5703125" customWidth="1"/>
    <col min="12" max="12" width="15" customWidth="1"/>
    <col min="13" max="13" width="14.5703125" customWidth="1"/>
    <col min="14" max="14" width="15.85546875" customWidth="1"/>
    <col min="15" max="15" width="11.7109375" customWidth="1"/>
    <col min="16" max="26" width="8.7109375" customWidth="1"/>
  </cols>
  <sheetData>
    <row r="1" spans="1:26">
      <c r="A1" s="56" t="s">
        <v>38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</row>
    <row r="2" spans="1:26">
      <c r="A2" s="56"/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</row>
    <row r="3" spans="1:26" ht="18" customHeight="1">
      <c r="A3" s="56"/>
      <c r="B3" s="56"/>
      <c r="C3" s="133" t="s">
        <v>39</v>
      </c>
      <c r="D3" s="147"/>
      <c r="E3" s="75"/>
      <c r="F3" s="75"/>
      <c r="G3" s="56"/>
      <c r="H3" s="134" t="s">
        <v>40</v>
      </c>
      <c r="I3" s="135"/>
      <c r="J3" s="135"/>
      <c r="K3" s="135"/>
      <c r="L3" s="94"/>
      <c r="M3" s="94"/>
      <c r="N3" s="94"/>
      <c r="O3" s="94"/>
      <c r="P3" s="94"/>
      <c r="Q3" s="94"/>
      <c r="R3" s="56"/>
      <c r="S3" s="56"/>
      <c r="T3" s="56"/>
      <c r="U3" s="56"/>
      <c r="V3" s="56"/>
      <c r="W3" s="56"/>
      <c r="X3" s="56"/>
      <c r="Y3" s="56"/>
      <c r="Z3" s="56"/>
    </row>
    <row r="4" spans="1:26" ht="24" customHeight="1">
      <c r="A4" s="57"/>
      <c r="B4" s="57"/>
      <c r="C4" s="32" t="s">
        <v>41</v>
      </c>
      <c r="D4" s="91" t="s">
        <v>42</v>
      </c>
      <c r="E4" s="32" t="s">
        <v>43</v>
      </c>
      <c r="F4" s="32" t="s">
        <v>44</v>
      </c>
      <c r="G4" s="57"/>
      <c r="H4" s="76" t="s">
        <v>45</v>
      </c>
      <c r="L4" s="76"/>
      <c r="M4" s="96"/>
      <c r="R4" s="57"/>
      <c r="S4" s="57"/>
      <c r="T4" s="57"/>
      <c r="U4" s="57"/>
      <c r="V4" s="57"/>
      <c r="W4" s="57"/>
      <c r="X4" s="57"/>
      <c r="Y4" s="57"/>
      <c r="Z4" s="57"/>
    </row>
    <row r="5" spans="1:26">
      <c r="A5" s="56"/>
      <c r="B5" s="56"/>
      <c r="C5" s="33" t="s">
        <v>46</v>
      </c>
      <c r="D5" s="92">
        <f t="shared" ref="D5:E6" si="0">0.06885+0.01</f>
        <v>7.884999999999999E-2</v>
      </c>
      <c r="E5" s="34"/>
      <c r="F5" s="34"/>
      <c r="G5" s="58"/>
      <c r="H5" s="77" t="s">
        <v>47</v>
      </c>
      <c r="I5" s="78" t="s">
        <v>48</v>
      </c>
      <c r="J5" s="78" t="s">
        <v>7</v>
      </c>
      <c r="K5" s="78" t="s">
        <v>8</v>
      </c>
      <c r="L5" s="56"/>
      <c r="M5" s="95"/>
      <c r="N5" s="56"/>
      <c r="O5" s="56"/>
      <c r="P5" s="56"/>
      <c r="Q5" s="56"/>
      <c r="R5" s="56"/>
      <c r="S5" s="56"/>
      <c r="T5" s="56"/>
    </row>
    <row r="6" spans="1:26">
      <c r="A6" s="56"/>
      <c r="B6" s="56"/>
      <c r="C6" s="33" t="s">
        <v>49</v>
      </c>
      <c r="D6" s="92">
        <f t="shared" si="0"/>
        <v>7.884999999999999E-2</v>
      </c>
      <c r="E6" s="34"/>
      <c r="F6" s="34"/>
      <c r="G6" s="58"/>
      <c r="H6" s="97" t="s">
        <v>35</v>
      </c>
      <c r="I6" s="95">
        <v>0.81280000000000008</v>
      </c>
      <c r="J6" s="95">
        <v>0.7056</v>
      </c>
      <c r="K6" s="79"/>
      <c r="L6" s="56"/>
      <c r="M6" s="95"/>
      <c r="N6" s="56"/>
      <c r="O6" s="56"/>
      <c r="P6" s="56"/>
      <c r="Q6" s="56"/>
      <c r="R6" s="56"/>
      <c r="S6" s="56"/>
      <c r="T6" s="56"/>
    </row>
    <row r="7" spans="1:26">
      <c r="A7" s="56"/>
      <c r="B7" s="56"/>
      <c r="C7" s="33" t="s">
        <v>50</v>
      </c>
      <c r="D7" s="92">
        <v>7.9213469999999994E-2</v>
      </c>
      <c r="E7" s="34"/>
      <c r="F7" s="34"/>
      <c r="G7" s="58"/>
      <c r="H7" s="97" t="s">
        <v>4</v>
      </c>
      <c r="I7" s="95">
        <v>0.76429000000000014</v>
      </c>
      <c r="J7" s="95">
        <v>0.63014000000000003</v>
      </c>
      <c r="K7" s="79"/>
      <c r="L7" s="56"/>
      <c r="M7" s="95"/>
      <c r="N7" s="56"/>
      <c r="O7" s="56"/>
      <c r="P7" s="56"/>
      <c r="Q7" s="56"/>
      <c r="R7" s="56"/>
      <c r="S7" s="56"/>
      <c r="T7" s="56"/>
    </row>
    <row r="8" spans="1:26">
      <c r="A8" s="56"/>
      <c r="B8" s="56"/>
      <c r="C8" s="33" t="s">
        <v>51</v>
      </c>
      <c r="D8" s="92">
        <f>0.06885+0.01</f>
        <v>7.884999999999999E-2</v>
      </c>
      <c r="E8" s="34"/>
      <c r="F8" s="34"/>
      <c r="G8" s="58"/>
      <c r="H8" s="97" t="s">
        <v>5</v>
      </c>
      <c r="I8" s="95">
        <v>1.02268</v>
      </c>
      <c r="J8" s="95">
        <v>0.91336000000000006</v>
      </c>
      <c r="K8" s="79"/>
      <c r="L8" s="56"/>
      <c r="M8" s="95"/>
      <c r="N8" s="56"/>
      <c r="O8" s="56"/>
      <c r="P8" s="56"/>
      <c r="Q8" s="56"/>
      <c r="R8" s="56"/>
      <c r="S8" s="56"/>
      <c r="T8" s="56"/>
    </row>
    <row r="9" spans="1:26">
      <c r="A9" s="56"/>
      <c r="B9" s="56"/>
      <c r="C9" s="33" t="s">
        <v>52</v>
      </c>
      <c r="D9" s="92">
        <f t="shared" ref="D8:E10" si="1">0.06885+0.01</f>
        <v>7.884999999999999E-2</v>
      </c>
      <c r="E9" s="34"/>
      <c r="F9" s="34"/>
      <c r="G9" s="58"/>
      <c r="H9" s="76" t="s">
        <v>53</v>
      </c>
      <c r="I9" s="98"/>
      <c r="J9" s="98"/>
      <c r="K9" s="96"/>
      <c r="L9" s="56"/>
      <c r="M9" s="95"/>
      <c r="N9" s="56"/>
      <c r="O9" s="56"/>
      <c r="P9" s="56"/>
      <c r="Q9" s="56"/>
      <c r="R9" s="56"/>
      <c r="S9" s="56"/>
      <c r="T9" s="56"/>
    </row>
    <row r="10" spans="1:26">
      <c r="A10" s="56"/>
      <c r="B10" s="56"/>
      <c r="C10" s="33" t="s">
        <v>54</v>
      </c>
      <c r="D10" s="92">
        <v>9.6771789999999996E-2</v>
      </c>
      <c r="E10" s="34">
        <f t="shared" si="1"/>
        <v>7.884999999999999E-2</v>
      </c>
      <c r="F10" s="34"/>
      <c r="G10" s="58"/>
      <c r="H10" s="99" t="s">
        <v>35</v>
      </c>
      <c r="I10" s="95">
        <v>0.85240000000000005</v>
      </c>
      <c r="J10" s="95">
        <v>0.74480000000000002</v>
      </c>
      <c r="K10" s="79"/>
      <c r="L10" s="56"/>
      <c r="M10" s="95"/>
      <c r="N10" s="56"/>
      <c r="O10" s="56"/>
      <c r="P10" s="56"/>
      <c r="Q10" s="56"/>
      <c r="R10" s="56"/>
      <c r="S10" s="56"/>
      <c r="T10" s="56"/>
    </row>
    <row r="11" spans="1:26">
      <c r="A11" s="56"/>
      <c r="B11" s="56"/>
      <c r="C11" s="33" t="s">
        <v>55</v>
      </c>
      <c r="D11" s="92">
        <f>0.06885+0.01</f>
        <v>7.884999999999999E-2</v>
      </c>
      <c r="E11" s="34"/>
      <c r="F11" s="34"/>
      <c r="G11" s="58"/>
      <c r="H11" s="99" t="s">
        <v>4</v>
      </c>
      <c r="I11" s="95">
        <v>0.76429000000000014</v>
      </c>
      <c r="J11" s="95">
        <v>0.66542000000000001</v>
      </c>
      <c r="K11" s="79"/>
      <c r="L11" s="56"/>
      <c r="M11" s="95"/>
      <c r="N11" s="56"/>
      <c r="O11" s="56"/>
      <c r="P11" s="56"/>
      <c r="Q11" s="56"/>
      <c r="R11" s="56"/>
      <c r="S11" s="56"/>
      <c r="T11" s="56"/>
    </row>
    <row r="12" spans="1:26">
      <c r="A12" s="56"/>
      <c r="B12" s="56"/>
      <c r="C12" s="33" t="s">
        <v>56</v>
      </c>
      <c r="D12" s="92">
        <v>0.1503997</v>
      </c>
      <c r="E12" s="34">
        <v>8.7320099999999998E-2</v>
      </c>
      <c r="F12" s="34"/>
      <c r="G12" s="58"/>
      <c r="H12" s="99" t="s">
        <v>5</v>
      </c>
      <c r="I12" s="95">
        <v>1.0672299999999999</v>
      </c>
      <c r="J12" s="95">
        <v>0.95745999999999998</v>
      </c>
      <c r="K12" s="79"/>
      <c r="L12" s="56"/>
      <c r="M12" s="95"/>
      <c r="N12" s="56"/>
      <c r="O12" s="56"/>
      <c r="P12" s="56"/>
      <c r="Q12" s="56"/>
      <c r="R12" s="56"/>
      <c r="S12" s="56"/>
      <c r="T12" s="56"/>
    </row>
    <row r="13" spans="1:26">
      <c r="A13" s="56"/>
      <c r="B13" s="56"/>
      <c r="C13" s="33" t="s">
        <v>57</v>
      </c>
      <c r="D13" s="92">
        <v>0.16796781999999999</v>
      </c>
      <c r="E13" s="34"/>
      <c r="F13" s="34"/>
      <c r="G13" s="58"/>
      <c r="H13" s="56"/>
      <c r="I13" s="56"/>
      <c r="J13" s="96"/>
      <c r="K13" s="96"/>
      <c r="L13" s="56"/>
      <c r="M13" s="95"/>
      <c r="N13" s="56"/>
      <c r="O13" s="56"/>
      <c r="P13" s="56"/>
      <c r="Q13" s="56"/>
      <c r="R13" s="56"/>
      <c r="S13" s="56"/>
      <c r="T13" s="56"/>
    </row>
    <row r="14" spans="1:26">
      <c r="A14" s="56"/>
      <c r="B14" s="56"/>
      <c r="C14" s="33" t="s">
        <v>58</v>
      </c>
      <c r="D14" s="92">
        <v>8.7320099999999998E-2</v>
      </c>
      <c r="E14" s="34"/>
      <c r="F14" s="34"/>
      <c r="G14" s="58"/>
      <c r="H14" s="56"/>
      <c r="I14" s="56"/>
      <c r="L14" s="56"/>
      <c r="M14" s="56"/>
      <c r="N14" s="56"/>
      <c r="O14" s="56"/>
      <c r="P14" s="56"/>
      <c r="Q14" s="56"/>
      <c r="R14" s="56"/>
      <c r="S14" s="56"/>
      <c r="T14" s="56"/>
    </row>
    <row r="15" spans="1:26">
      <c r="A15" s="56"/>
      <c r="B15" s="56"/>
      <c r="C15" s="33" t="s">
        <v>59</v>
      </c>
      <c r="D15" s="92">
        <f t="shared" ref="D15:E16" si="2">0.06885+0.01</f>
        <v>7.884999999999999E-2</v>
      </c>
      <c r="E15" s="34"/>
      <c r="F15" s="34"/>
      <c r="G15" s="56"/>
      <c r="H15" s="86" t="s">
        <v>60</v>
      </c>
      <c r="I15" s="56"/>
      <c r="J15" s="36" t="s">
        <v>61</v>
      </c>
      <c r="K15" s="37" t="s">
        <v>62</v>
      </c>
      <c r="M15" s="59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6"/>
    </row>
    <row r="16" spans="1:26">
      <c r="A16" s="56"/>
      <c r="B16" s="56"/>
      <c r="C16" s="33" t="s">
        <v>63</v>
      </c>
      <c r="D16" s="92">
        <f t="shared" si="2"/>
        <v>7.884999999999999E-2</v>
      </c>
      <c r="E16" s="34"/>
      <c r="F16" s="34"/>
      <c r="G16" s="56"/>
      <c r="H16" s="35" t="s">
        <v>7</v>
      </c>
      <c r="I16" s="56"/>
      <c r="J16" s="38" t="s">
        <v>35</v>
      </c>
      <c r="K16" s="39">
        <v>0.54505000000000003</v>
      </c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</row>
    <row r="17" spans="1:26">
      <c r="A17" s="56"/>
      <c r="B17" s="56"/>
      <c r="C17" s="33" t="s">
        <v>64</v>
      </c>
      <c r="D17" s="92">
        <f>0.0799+0.015</f>
        <v>9.4899999999999998E-2</v>
      </c>
      <c r="E17" s="34"/>
      <c r="F17" s="34"/>
      <c r="G17" s="56"/>
      <c r="H17" s="87" t="s">
        <v>48</v>
      </c>
      <c r="I17" s="56"/>
      <c r="J17" s="40" t="s">
        <v>4</v>
      </c>
      <c r="K17" s="41">
        <v>0.66506200000000004</v>
      </c>
      <c r="L17" s="60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6"/>
      <c r="X17" s="56"/>
      <c r="Y17" s="56"/>
      <c r="Z17" s="56"/>
    </row>
    <row r="18" spans="1:26" ht="14.25">
      <c r="A18" s="56"/>
      <c r="B18" s="56"/>
      <c r="C18" s="56"/>
      <c r="D18" s="56"/>
      <c r="E18" s="56"/>
      <c r="F18" s="56"/>
      <c r="G18" s="56"/>
      <c r="H18" s="35" t="s">
        <v>8</v>
      </c>
      <c r="I18" s="56"/>
      <c r="J18" s="40" t="s">
        <v>5</v>
      </c>
      <c r="K18" s="41">
        <v>0.45235799999999998</v>
      </c>
      <c r="L18" s="60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6"/>
    </row>
    <row r="19" spans="1:26">
      <c r="A19" s="56"/>
      <c r="B19" s="56"/>
      <c r="C19" s="56"/>
      <c r="D19" s="56"/>
      <c r="E19" s="56"/>
      <c r="F19" s="56"/>
      <c r="G19" s="56"/>
      <c r="H19" s="100"/>
      <c r="I19" s="56"/>
      <c r="J19" s="101"/>
      <c r="K19" s="102"/>
      <c r="L19" s="60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</row>
    <row r="20" spans="1:26">
      <c r="A20" s="56"/>
      <c r="B20" s="56"/>
      <c r="C20" s="56" t="s">
        <v>65</v>
      </c>
      <c r="D20" s="2" t="s">
        <v>3</v>
      </c>
      <c r="E20" s="3" t="s">
        <v>4</v>
      </c>
      <c r="F20" s="4" t="s">
        <v>5</v>
      </c>
      <c r="G20" s="56"/>
      <c r="H20" s="56"/>
      <c r="I20" s="56"/>
      <c r="J20" s="62"/>
      <c r="K20" s="62"/>
      <c r="L20" s="61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</row>
    <row r="21" spans="1:26">
      <c r="A21" s="56"/>
      <c r="B21" s="56"/>
      <c r="C21" s="42">
        <v>45505</v>
      </c>
      <c r="D21" s="56"/>
      <c r="E21" s="56"/>
      <c r="F21" s="56"/>
      <c r="G21" s="56"/>
      <c r="H21" s="85"/>
      <c r="I21" s="56"/>
      <c r="J21" s="80"/>
      <c r="K21" s="80"/>
      <c r="L21" s="61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  <c r="Z21" s="56"/>
    </row>
    <row r="22" spans="1:26" ht="15.75" customHeight="1">
      <c r="A22" s="56"/>
      <c r="B22" s="56"/>
      <c r="C22" s="42">
        <v>45506</v>
      </c>
      <c r="D22" s="56"/>
      <c r="E22" s="56"/>
      <c r="F22" s="56"/>
      <c r="G22" s="56"/>
      <c r="H22" s="56"/>
      <c r="I22" s="85"/>
      <c r="J22" s="81"/>
      <c r="K22" s="82"/>
      <c r="L22" s="61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6"/>
    </row>
    <row r="23" spans="1:26" ht="15.75" customHeight="1">
      <c r="A23" s="56"/>
      <c r="B23" s="56"/>
      <c r="C23" s="42">
        <v>45507</v>
      </c>
      <c r="D23" s="56"/>
      <c r="E23" s="56"/>
      <c r="F23" s="56"/>
      <c r="G23" s="56"/>
      <c r="H23" s="56"/>
      <c r="I23" s="59"/>
      <c r="J23" s="83"/>
      <c r="K23" s="84"/>
      <c r="L23" s="80"/>
      <c r="M23" s="56"/>
      <c r="N23" s="56"/>
      <c r="O23" s="56"/>
      <c r="P23" s="56"/>
      <c r="Q23" s="56"/>
      <c r="R23" s="56"/>
      <c r="S23" s="56"/>
      <c r="T23" s="56"/>
      <c r="U23" s="56"/>
      <c r="V23" s="56"/>
      <c r="W23" s="56"/>
      <c r="X23" s="56"/>
      <c r="Y23" s="56"/>
      <c r="Z23" s="56"/>
    </row>
    <row r="24" spans="1:26" ht="15.75" customHeight="1">
      <c r="A24" s="56"/>
      <c r="B24" s="56"/>
      <c r="C24" s="42">
        <v>45508</v>
      </c>
      <c r="D24" s="56"/>
      <c r="E24" s="56"/>
      <c r="F24" s="56"/>
      <c r="G24" s="56"/>
      <c r="H24" s="56"/>
      <c r="I24" s="59"/>
      <c r="J24" s="83"/>
      <c r="K24" s="84"/>
      <c r="L24" s="82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</row>
    <row r="25" spans="1:26" ht="15.75" customHeight="1">
      <c r="A25" s="56"/>
      <c r="B25" s="56"/>
      <c r="C25" s="42">
        <v>45509</v>
      </c>
      <c r="D25" s="56"/>
      <c r="E25" s="56"/>
      <c r="F25" s="56"/>
      <c r="G25" s="56"/>
      <c r="H25" s="56"/>
      <c r="I25" s="59"/>
      <c r="J25" s="56"/>
      <c r="K25" s="56"/>
      <c r="L25" s="82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</row>
    <row r="26" spans="1:26" ht="15.75" customHeight="1">
      <c r="A26" s="56"/>
      <c r="B26" s="56"/>
      <c r="C26" s="42">
        <v>45510</v>
      </c>
      <c r="D26" s="56"/>
      <c r="E26" s="56"/>
      <c r="F26" s="56"/>
      <c r="G26" s="56"/>
      <c r="H26" s="56"/>
      <c r="I26" s="59"/>
      <c r="J26" s="56"/>
      <c r="K26" s="56"/>
      <c r="L26" s="82"/>
      <c r="M26" s="56"/>
      <c r="N26" s="56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</row>
    <row r="27" spans="1:26" ht="15.75" customHeight="1">
      <c r="A27" s="56"/>
      <c r="B27" s="56"/>
      <c r="C27" s="42">
        <v>45511</v>
      </c>
      <c r="D27" s="56"/>
      <c r="E27" s="56"/>
      <c r="F27" s="56"/>
      <c r="G27" s="56"/>
      <c r="H27" s="56"/>
      <c r="I27" s="59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</row>
    <row r="28" spans="1:26" ht="15.75" customHeight="1">
      <c r="A28" s="56"/>
      <c r="B28" s="56"/>
      <c r="C28" s="42">
        <v>45512</v>
      </c>
      <c r="D28" s="56"/>
      <c r="E28" s="56"/>
      <c r="F28" s="56"/>
      <c r="G28" s="56"/>
      <c r="H28" s="56"/>
      <c r="I28" s="59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</row>
    <row r="29" spans="1:26" ht="15.75" customHeight="1">
      <c r="A29" s="56"/>
      <c r="B29" s="56"/>
      <c r="C29" s="42">
        <v>45513</v>
      </c>
      <c r="D29" s="56"/>
      <c r="E29" s="56"/>
      <c r="F29" s="56"/>
      <c r="G29" s="56"/>
      <c r="H29" s="56"/>
      <c r="I29" s="59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</row>
    <row r="30" spans="1:26" ht="15.75" customHeight="1">
      <c r="A30" s="56"/>
      <c r="B30" s="56"/>
      <c r="C30" s="42">
        <v>45514</v>
      </c>
      <c r="D30" s="56"/>
      <c r="E30" s="56"/>
      <c r="F30" s="56"/>
      <c r="G30" s="56"/>
      <c r="H30" s="56"/>
      <c r="I30" s="59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</row>
    <row r="31" spans="1:26" ht="15.75" customHeight="1">
      <c r="A31" s="56"/>
      <c r="B31" s="56"/>
      <c r="C31" s="42">
        <v>45515</v>
      </c>
      <c r="D31" s="56"/>
      <c r="E31" s="56"/>
      <c r="F31" s="56"/>
      <c r="G31" s="56"/>
      <c r="H31" s="56"/>
      <c r="I31" s="59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</row>
    <row r="32" spans="1:26" ht="15.75" customHeight="1">
      <c r="A32" s="56"/>
      <c r="B32" s="56"/>
      <c r="C32" s="42">
        <v>45516</v>
      </c>
      <c r="D32" s="56"/>
      <c r="E32" s="56"/>
      <c r="F32" s="56"/>
      <c r="G32" s="56"/>
      <c r="H32" s="56"/>
      <c r="I32" s="59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6"/>
    </row>
    <row r="33" spans="1:26" ht="15.75" customHeight="1">
      <c r="A33" s="56"/>
      <c r="B33" s="56"/>
      <c r="C33" s="42">
        <v>45517</v>
      </c>
      <c r="D33" s="56"/>
      <c r="E33" s="56"/>
      <c r="F33" s="56"/>
      <c r="G33" s="56"/>
      <c r="H33" s="56"/>
      <c r="I33" s="59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6"/>
    </row>
    <row r="34" spans="1:26" ht="15.75" customHeight="1">
      <c r="A34" s="56"/>
      <c r="B34" s="56"/>
      <c r="C34" s="42">
        <v>45518</v>
      </c>
      <c r="D34" s="56"/>
      <c r="E34" s="56"/>
      <c r="F34" s="56"/>
      <c r="G34" s="56"/>
      <c r="H34" s="56"/>
      <c r="I34" s="59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</row>
    <row r="35" spans="1:26" ht="15.75" customHeight="1">
      <c r="A35" s="56"/>
      <c r="B35" s="56"/>
      <c r="C35" s="42">
        <v>45519</v>
      </c>
      <c r="D35" s="56"/>
      <c r="E35" s="56"/>
      <c r="F35" s="56"/>
      <c r="G35" s="56"/>
      <c r="H35" s="56"/>
      <c r="I35" s="59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56"/>
      <c r="Y35" s="56"/>
      <c r="Z35" s="56"/>
    </row>
    <row r="36" spans="1:26" ht="15.75" customHeight="1">
      <c r="A36" s="56"/>
      <c r="B36" s="56"/>
      <c r="C36" s="42">
        <v>45520</v>
      </c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</row>
    <row r="37" spans="1:26" ht="15.75" customHeight="1">
      <c r="A37" s="56"/>
      <c r="B37" s="56"/>
      <c r="C37" s="42">
        <v>45521</v>
      </c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56"/>
      <c r="Y37" s="56"/>
      <c r="Z37" s="56"/>
    </row>
    <row r="38" spans="1:26" ht="15.75" customHeight="1">
      <c r="A38" s="56"/>
      <c r="B38" s="56"/>
      <c r="C38" s="42">
        <v>45522</v>
      </c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56"/>
      <c r="Y38" s="56"/>
      <c r="Z38" s="56"/>
    </row>
    <row r="39" spans="1:26" ht="15.75" customHeight="1">
      <c r="A39" s="56"/>
      <c r="B39" s="56"/>
      <c r="C39" s="42">
        <v>45523</v>
      </c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6"/>
      <c r="U39" s="56"/>
      <c r="V39" s="56"/>
      <c r="W39" s="56"/>
      <c r="X39" s="56"/>
      <c r="Y39" s="56"/>
      <c r="Z39" s="56"/>
    </row>
    <row r="40" spans="1:26" ht="15.75" customHeight="1">
      <c r="A40" s="56"/>
      <c r="B40" s="56"/>
      <c r="C40" s="42">
        <v>45524</v>
      </c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56"/>
      <c r="Z40" s="56"/>
    </row>
    <row r="41" spans="1:26" ht="15.75" customHeight="1">
      <c r="A41" s="56"/>
      <c r="B41" s="56"/>
      <c r="C41" s="42">
        <v>45525</v>
      </c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56"/>
      <c r="Q41" s="56"/>
      <c r="R41" s="56"/>
      <c r="S41" s="56"/>
      <c r="T41" s="56"/>
      <c r="U41" s="56"/>
      <c r="V41" s="56"/>
      <c r="W41" s="56"/>
      <c r="X41" s="56"/>
      <c r="Y41" s="56"/>
      <c r="Z41" s="56"/>
    </row>
    <row r="42" spans="1:26" ht="15.75" customHeight="1">
      <c r="A42" s="56"/>
      <c r="B42" s="56"/>
      <c r="C42" s="42">
        <v>45526</v>
      </c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6"/>
      <c r="P42" s="56"/>
      <c r="Q42" s="56"/>
      <c r="R42" s="56"/>
      <c r="S42" s="56"/>
      <c r="T42" s="56"/>
      <c r="U42" s="56"/>
      <c r="V42" s="56"/>
      <c r="W42" s="56"/>
      <c r="X42" s="56"/>
      <c r="Y42" s="56"/>
      <c r="Z42" s="56"/>
    </row>
    <row r="43" spans="1:26" ht="15.75" customHeight="1">
      <c r="A43" s="56"/>
      <c r="B43" s="56"/>
      <c r="C43" s="42">
        <v>45527</v>
      </c>
      <c r="D43" s="56"/>
      <c r="E43" s="56"/>
      <c r="F43" s="56"/>
      <c r="G43" s="56"/>
      <c r="H43" s="56"/>
      <c r="I43" s="56"/>
      <c r="J43" s="56"/>
      <c r="K43" s="56"/>
      <c r="L43" s="56"/>
      <c r="M43" s="56"/>
      <c r="N43" s="56"/>
      <c r="O43" s="56"/>
      <c r="P43" s="56"/>
      <c r="Q43" s="56"/>
      <c r="R43" s="56"/>
      <c r="S43" s="56"/>
      <c r="T43" s="56"/>
      <c r="U43" s="56"/>
      <c r="V43" s="56"/>
      <c r="W43" s="56"/>
      <c r="X43" s="56"/>
      <c r="Y43" s="56"/>
      <c r="Z43" s="56"/>
    </row>
    <row r="44" spans="1:26" ht="15.75" customHeight="1">
      <c r="A44" s="56"/>
      <c r="B44" s="56"/>
      <c r="C44" s="42">
        <v>45528</v>
      </c>
      <c r="D44" s="56"/>
      <c r="E44" s="56"/>
      <c r="F44" s="56"/>
      <c r="G44" s="56"/>
      <c r="H44" s="56"/>
      <c r="I44" s="56"/>
      <c r="J44" s="56"/>
      <c r="K44" s="56"/>
      <c r="L44" s="56"/>
      <c r="M44" s="56"/>
      <c r="N44" s="56"/>
      <c r="O44" s="56"/>
      <c r="P44" s="56"/>
      <c r="Q44" s="56"/>
      <c r="R44" s="56"/>
      <c r="S44" s="56"/>
      <c r="T44" s="56"/>
      <c r="U44" s="56"/>
      <c r="V44" s="56"/>
      <c r="W44" s="56"/>
      <c r="X44" s="56"/>
      <c r="Y44" s="56"/>
      <c r="Z44" s="56"/>
    </row>
    <row r="45" spans="1:26" ht="15.75" customHeight="1">
      <c r="A45" s="56"/>
      <c r="B45" s="56"/>
      <c r="C45" s="42">
        <v>45529</v>
      </c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6"/>
      <c r="P45" s="56"/>
      <c r="Q45" s="56"/>
      <c r="R45" s="56"/>
      <c r="S45" s="56"/>
      <c r="T45" s="56"/>
      <c r="U45" s="56"/>
      <c r="V45" s="56"/>
      <c r="W45" s="56"/>
      <c r="X45" s="56"/>
      <c r="Y45" s="56"/>
      <c r="Z45" s="56"/>
    </row>
    <row r="46" spans="1:26" ht="15.75" customHeight="1">
      <c r="A46" s="56"/>
      <c r="B46" s="56"/>
      <c r="C46" s="42">
        <v>45530</v>
      </c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6"/>
      <c r="R46" s="56"/>
      <c r="S46" s="56"/>
      <c r="T46" s="56"/>
      <c r="U46" s="56"/>
      <c r="V46" s="56"/>
      <c r="W46" s="56"/>
      <c r="X46" s="56"/>
      <c r="Y46" s="56"/>
      <c r="Z46" s="56"/>
    </row>
    <row r="47" spans="1:26" ht="15.75" customHeight="1">
      <c r="A47" s="56"/>
      <c r="B47" s="56"/>
      <c r="C47" s="42">
        <v>45531</v>
      </c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6"/>
      <c r="P47" s="56"/>
      <c r="Q47" s="56"/>
      <c r="R47" s="56"/>
      <c r="S47" s="56"/>
      <c r="T47" s="56"/>
      <c r="U47" s="56"/>
      <c r="V47" s="56"/>
      <c r="W47" s="56"/>
      <c r="X47" s="56"/>
      <c r="Y47" s="56"/>
      <c r="Z47" s="56"/>
    </row>
    <row r="48" spans="1:26" ht="15.75" customHeight="1">
      <c r="A48" s="56"/>
      <c r="B48" s="56"/>
      <c r="C48" s="42">
        <v>45532</v>
      </c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6"/>
      <c r="P48" s="56"/>
      <c r="Q48" s="56"/>
      <c r="R48" s="56"/>
      <c r="S48" s="56"/>
      <c r="T48" s="56"/>
      <c r="U48" s="56"/>
      <c r="V48" s="56"/>
      <c r="W48" s="56"/>
      <c r="X48" s="56"/>
      <c r="Y48" s="56"/>
      <c r="Z48" s="56"/>
    </row>
    <row r="49" spans="1:26" ht="15.75" customHeight="1">
      <c r="A49" s="56"/>
      <c r="B49" s="56"/>
      <c r="C49" s="42">
        <v>45533</v>
      </c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</row>
    <row r="50" spans="1:26" ht="15.75" customHeight="1">
      <c r="A50" s="56"/>
      <c r="B50" s="56"/>
      <c r="C50" s="42">
        <v>45534</v>
      </c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6"/>
      <c r="P50" s="56"/>
      <c r="Q50" s="56"/>
      <c r="R50" s="56"/>
      <c r="S50" s="56"/>
      <c r="T50" s="56"/>
      <c r="U50" s="56"/>
      <c r="V50" s="56"/>
      <c r="W50" s="56"/>
      <c r="X50" s="56"/>
      <c r="Y50" s="56"/>
      <c r="Z50" s="56"/>
    </row>
    <row r="51" spans="1:26" ht="15.75" customHeight="1">
      <c r="A51" s="56"/>
      <c r="B51" s="56"/>
      <c r="C51" s="42">
        <v>45535</v>
      </c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6"/>
      <c r="P51" s="56"/>
      <c r="Q51" s="56"/>
      <c r="R51" s="56"/>
      <c r="S51" s="56"/>
      <c r="T51" s="56"/>
      <c r="U51" s="56"/>
      <c r="V51" s="56"/>
      <c r="W51" s="56"/>
      <c r="X51" s="56"/>
      <c r="Y51" s="56"/>
      <c r="Z51" s="56"/>
    </row>
    <row r="52" spans="1:26" ht="15.75" customHeight="1">
      <c r="A52" s="56"/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6"/>
      <c r="P52" s="56"/>
      <c r="Q52" s="56"/>
      <c r="R52" s="56"/>
      <c r="S52" s="56"/>
      <c r="T52" s="56"/>
      <c r="U52" s="56"/>
      <c r="V52" s="56"/>
      <c r="W52" s="56"/>
      <c r="X52" s="56"/>
      <c r="Y52" s="56"/>
      <c r="Z52" s="56"/>
    </row>
    <row r="53" spans="1:26" ht="15.75" customHeight="1">
      <c r="A53" s="56"/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6"/>
      <c r="P53" s="56"/>
      <c r="Q53" s="56"/>
      <c r="R53" s="56"/>
      <c r="S53" s="56"/>
      <c r="T53" s="56"/>
      <c r="U53" s="56"/>
      <c r="V53" s="56"/>
      <c r="W53" s="56"/>
      <c r="X53" s="56"/>
      <c r="Y53" s="56"/>
      <c r="Z53" s="56"/>
    </row>
    <row r="54" spans="1:26" ht="15.75" customHeight="1">
      <c r="A54" s="56"/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6"/>
      <c r="P54" s="56"/>
      <c r="Q54" s="56"/>
      <c r="R54" s="56"/>
      <c r="S54" s="56"/>
      <c r="T54" s="56"/>
      <c r="U54" s="56"/>
      <c r="V54" s="56"/>
      <c r="W54" s="56"/>
      <c r="X54" s="56"/>
      <c r="Y54" s="56"/>
      <c r="Z54" s="56"/>
    </row>
    <row r="55" spans="1:26" ht="15.75" customHeight="1">
      <c r="A55" s="56"/>
      <c r="B55" s="56"/>
      <c r="C55" s="56"/>
      <c r="D55" s="56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6"/>
      <c r="P55" s="56"/>
      <c r="Q55" s="56"/>
      <c r="R55" s="56"/>
      <c r="S55" s="56"/>
      <c r="T55" s="56"/>
      <c r="U55" s="56"/>
      <c r="V55" s="56"/>
      <c r="W55" s="56"/>
      <c r="X55" s="56"/>
      <c r="Y55" s="56"/>
      <c r="Z55" s="56"/>
    </row>
    <row r="56" spans="1:26" ht="15.75" customHeight="1">
      <c r="A56" s="56"/>
      <c r="B56" s="56"/>
      <c r="C56" s="56"/>
      <c r="D56" s="56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6"/>
      <c r="P56" s="56"/>
      <c r="Q56" s="56"/>
      <c r="R56" s="56"/>
      <c r="S56" s="56"/>
      <c r="T56" s="56"/>
      <c r="U56" s="56"/>
      <c r="V56" s="56"/>
      <c r="W56" s="56"/>
      <c r="X56" s="56"/>
      <c r="Y56" s="56"/>
      <c r="Z56" s="56"/>
    </row>
    <row r="57" spans="1:26" ht="15.75" customHeight="1">
      <c r="A57" s="56"/>
      <c r="B57" s="56"/>
      <c r="C57" s="56"/>
      <c r="D57" s="56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6"/>
      <c r="P57" s="56"/>
      <c r="Q57" s="56"/>
      <c r="R57" s="56"/>
      <c r="S57" s="56"/>
      <c r="T57" s="56"/>
      <c r="U57" s="56"/>
      <c r="V57" s="56"/>
      <c r="W57" s="56"/>
      <c r="X57" s="56"/>
      <c r="Y57" s="56"/>
      <c r="Z57" s="56"/>
    </row>
    <row r="58" spans="1:26" ht="15.75" customHeight="1">
      <c r="A58" s="56"/>
      <c r="B58" s="56"/>
      <c r="C58" s="56"/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6"/>
      <c r="P58" s="56"/>
      <c r="Q58" s="56"/>
      <c r="R58" s="56"/>
      <c r="S58" s="56"/>
      <c r="T58" s="56"/>
      <c r="U58" s="56"/>
      <c r="V58" s="56"/>
      <c r="W58" s="56"/>
      <c r="X58" s="56"/>
      <c r="Y58" s="56"/>
      <c r="Z58" s="56"/>
    </row>
    <row r="59" spans="1:26" ht="15.75" customHeight="1">
      <c r="A59" s="56"/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6"/>
      <c r="P59" s="56"/>
      <c r="Q59" s="56"/>
      <c r="R59" s="56"/>
      <c r="S59" s="56"/>
      <c r="T59" s="56"/>
      <c r="U59" s="56"/>
      <c r="V59" s="56"/>
      <c r="W59" s="56"/>
      <c r="X59" s="56"/>
      <c r="Y59" s="56"/>
      <c r="Z59" s="56"/>
    </row>
    <row r="60" spans="1:26" ht="15.75" customHeight="1">
      <c r="A60" s="56"/>
      <c r="B60" s="56"/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56"/>
      <c r="P60" s="56"/>
      <c r="Q60" s="56"/>
      <c r="R60" s="56"/>
      <c r="S60" s="56"/>
      <c r="T60" s="56"/>
      <c r="U60" s="56"/>
      <c r="V60" s="56"/>
      <c r="W60" s="56"/>
      <c r="X60" s="56"/>
      <c r="Y60" s="56"/>
      <c r="Z60" s="56"/>
    </row>
    <row r="61" spans="1:26" ht="15.75" customHeight="1">
      <c r="A61" s="56"/>
      <c r="B61" s="56"/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56"/>
      <c r="P61" s="56"/>
      <c r="Q61" s="56"/>
      <c r="R61" s="56"/>
      <c r="S61" s="56"/>
      <c r="T61" s="56"/>
      <c r="U61" s="56"/>
      <c r="V61" s="56"/>
      <c r="W61" s="56"/>
      <c r="X61" s="56"/>
      <c r="Y61" s="56"/>
      <c r="Z61" s="56"/>
    </row>
    <row r="62" spans="1:26" ht="15.75" customHeight="1">
      <c r="A62" s="56"/>
      <c r="B62" s="56"/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56"/>
      <c r="P62" s="56"/>
      <c r="Q62" s="56"/>
      <c r="R62" s="56"/>
      <c r="S62" s="56"/>
      <c r="T62" s="56"/>
      <c r="U62" s="56"/>
      <c r="V62" s="56"/>
      <c r="W62" s="56"/>
      <c r="X62" s="56"/>
      <c r="Y62" s="56"/>
      <c r="Z62" s="56"/>
    </row>
    <row r="63" spans="1:26" ht="15.75" customHeight="1">
      <c r="A63" s="56"/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56"/>
      <c r="W63" s="56"/>
      <c r="X63" s="56"/>
      <c r="Y63" s="56"/>
      <c r="Z63" s="56"/>
    </row>
    <row r="64" spans="1:26" ht="15.75" customHeight="1">
      <c r="A64" s="56"/>
      <c r="B64" s="56"/>
      <c r="C64" s="56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  <c r="Z64" s="56"/>
    </row>
    <row r="65" spans="1:26" ht="15.75" customHeight="1">
      <c r="A65" s="56"/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56"/>
      <c r="W65" s="56"/>
      <c r="X65" s="56"/>
      <c r="Y65" s="56"/>
      <c r="Z65" s="56"/>
    </row>
    <row r="66" spans="1:26" ht="15.75" customHeight="1">
      <c r="A66" s="56"/>
      <c r="B66" s="56"/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56"/>
      <c r="W66" s="56"/>
      <c r="X66" s="56"/>
      <c r="Y66" s="56"/>
      <c r="Z66" s="56"/>
    </row>
    <row r="67" spans="1:26" ht="15.75" customHeight="1">
      <c r="A67" s="56"/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6"/>
      <c r="P67" s="56"/>
      <c r="Q67" s="56"/>
      <c r="R67" s="56"/>
      <c r="S67" s="56"/>
      <c r="T67" s="56"/>
      <c r="U67" s="56"/>
      <c r="V67" s="56"/>
      <c r="W67" s="56"/>
      <c r="X67" s="56"/>
      <c r="Y67" s="56"/>
      <c r="Z67" s="56"/>
    </row>
    <row r="68" spans="1:26" ht="15.75" customHeight="1">
      <c r="A68" s="56"/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6"/>
      <c r="P68" s="56"/>
      <c r="Q68" s="56"/>
      <c r="R68" s="56"/>
      <c r="S68" s="56"/>
      <c r="T68" s="56"/>
      <c r="U68" s="56"/>
      <c r="V68" s="56"/>
      <c r="W68" s="56"/>
      <c r="X68" s="56"/>
      <c r="Y68" s="56"/>
      <c r="Z68" s="56"/>
    </row>
    <row r="69" spans="1:26" ht="15.75" customHeight="1">
      <c r="A69" s="56"/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6"/>
      <c r="P69" s="56"/>
      <c r="Q69" s="56"/>
      <c r="R69" s="56"/>
      <c r="S69" s="56"/>
      <c r="T69" s="56"/>
      <c r="U69" s="56"/>
      <c r="V69" s="56"/>
      <c r="W69" s="56"/>
      <c r="X69" s="56"/>
      <c r="Y69" s="56"/>
      <c r="Z69" s="56"/>
    </row>
    <row r="70" spans="1:26" ht="15.75" customHeight="1">
      <c r="A70" s="56"/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6"/>
      <c r="P70" s="56"/>
      <c r="Q70" s="56"/>
      <c r="R70" s="56"/>
      <c r="S70" s="56"/>
      <c r="T70" s="56"/>
      <c r="U70" s="56"/>
      <c r="V70" s="56"/>
      <c r="W70" s="56"/>
      <c r="X70" s="56"/>
      <c r="Y70" s="56"/>
      <c r="Z70" s="56"/>
    </row>
    <row r="71" spans="1:26" ht="15.75" customHeight="1">
      <c r="A71" s="56"/>
      <c r="B71" s="56"/>
      <c r="C71" s="56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6"/>
      <c r="P71" s="56"/>
      <c r="Q71" s="56"/>
      <c r="R71" s="56"/>
      <c r="S71" s="56"/>
      <c r="T71" s="56"/>
      <c r="U71" s="56"/>
      <c r="V71" s="56"/>
      <c r="W71" s="56"/>
      <c r="X71" s="56"/>
      <c r="Y71" s="56"/>
      <c r="Z71" s="56"/>
    </row>
    <row r="72" spans="1:26" ht="15.75" customHeight="1">
      <c r="A72" s="56"/>
      <c r="B72" s="56"/>
      <c r="C72" s="56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6"/>
      <c r="P72" s="56"/>
      <c r="Q72" s="56"/>
      <c r="R72" s="56"/>
      <c r="S72" s="56"/>
      <c r="T72" s="56"/>
      <c r="U72" s="56"/>
      <c r="V72" s="56"/>
      <c r="W72" s="56"/>
      <c r="X72" s="56"/>
      <c r="Y72" s="56"/>
      <c r="Z72" s="56"/>
    </row>
    <row r="73" spans="1:26" ht="15.75" customHeight="1">
      <c r="A73" s="56"/>
      <c r="B73" s="56"/>
      <c r="C73" s="56"/>
      <c r="D73" s="56"/>
      <c r="E73" s="56"/>
      <c r="F73" s="56"/>
      <c r="G73" s="56"/>
      <c r="H73" s="56"/>
      <c r="I73" s="56"/>
      <c r="J73" s="56"/>
      <c r="K73" s="56"/>
      <c r="L73" s="56"/>
      <c r="M73" s="56"/>
      <c r="N73" s="56"/>
      <c r="O73" s="56"/>
      <c r="P73" s="56"/>
      <c r="Q73" s="56"/>
      <c r="R73" s="56"/>
      <c r="S73" s="56"/>
      <c r="T73" s="56"/>
      <c r="U73" s="56"/>
      <c r="V73" s="56"/>
      <c r="W73" s="56"/>
      <c r="X73" s="56"/>
      <c r="Y73" s="56"/>
      <c r="Z73" s="56"/>
    </row>
    <row r="74" spans="1:26" ht="15.75" customHeight="1">
      <c r="A74" s="56"/>
      <c r="B74" s="56"/>
      <c r="C74" s="56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6"/>
      <c r="P74" s="56"/>
      <c r="Q74" s="56"/>
      <c r="R74" s="56"/>
      <c r="S74" s="56"/>
      <c r="T74" s="56"/>
      <c r="U74" s="56"/>
      <c r="V74" s="56"/>
      <c r="W74" s="56"/>
      <c r="X74" s="56"/>
      <c r="Y74" s="56"/>
      <c r="Z74" s="56"/>
    </row>
    <row r="75" spans="1:26" ht="15.75" customHeight="1">
      <c r="A75" s="56"/>
      <c r="B75" s="56"/>
      <c r="C75" s="56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6"/>
      <c r="P75" s="56"/>
      <c r="Q75" s="56"/>
      <c r="R75" s="56"/>
      <c r="S75" s="56"/>
      <c r="T75" s="56"/>
      <c r="U75" s="56"/>
      <c r="V75" s="56"/>
      <c r="W75" s="56"/>
      <c r="X75" s="56"/>
      <c r="Y75" s="56"/>
      <c r="Z75" s="56"/>
    </row>
    <row r="76" spans="1:26" ht="15.75" customHeight="1">
      <c r="A76" s="56"/>
      <c r="B76" s="56"/>
      <c r="C76" s="56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6"/>
      <c r="P76" s="56"/>
      <c r="Q76" s="56"/>
      <c r="R76" s="56"/>
      <c r="S76" s="56"/>
      <c r="T76" s="56"/>
      <c r="U76" s="56"/>
      <c r="V76" s="56"/>
      <c r="W76" s="56"/>
      <c r="X76" s="56"/>
      <c r="Y76" s="56"/>
      <c r="Z76" s="56"/>
    </row>
    <row r="77" spans="1:26" ht="15.75" customHeight="1">
      <c r="A77" s="56"/>
      <c r="B77" s="56"/>
      <c r="C77" s="56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6"/>
      <c r="P77" s="56"/>
      <c r="Q77" s="56"/>
      <c r="R77" s="56"/>
      <c r="S77" s="56"/>
      <c r="T77" s="56"/>
      <c r="U77" s="56"/>
      <c r="V77" s="56"/>
      <c r="W77" s="56"/>
      <c r="X77" s="56"/>
      <c r="Y77" s="56"/>
      <c r="Z77" s="56"/>
    </row>
    <row r="78" spans="1:26" ht="15.75" customHeight="1">
      <c r="A78" s="56"/>
      <c r="B78" s="56"/>
      <c r="C78" s="56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6"/>
      <c r="P78" s="56"/>
      <c r="Q78" s="56"/>
      <c r="R78" s="56"/>
      <c r="S78" s="56"/>
      <c r="T78" s="56"/>
      <c r="U78" s="56"/>
      <c r="V78" s="56"/>
      <c r="W78" s="56"/>
      <c r="X78" s="56"/>
      <c r="Y78" s="56"/>
      <c r="Z78" s="56"/>
    </row>
    <row r="79" spans="1:26" ht="15.75" customHeight="1">
      <c r="A79" s="56"/>
      <c r="B79" s="56"/>
      <c r="C79" s="56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6"/>
      <c r="P79" s="56"/>
      <c r="Q79" s="56"/>
      <c r="R79" s="56"/>
      <c r="S79" s="56"/>
      <c r="T79" s="56"/>
      <c r="U79" s="56"/>
      <c r="V79" s="56"/>
      <c r="W79" s="56"/>
      <c r="X79" s="56"/>
      <c r="Y79" s="56"/>
      <c r="Z79" s="56"/>
    </row>
    <row r="80" spans="1:26" ht="15.75" customHeight="1">
      <c r="A80" s="56"/>
      <c r="B80" s="56"/>
      <c r="C80" s="56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6"/>
      <c r="P80" s="56"/>
      <c r="Q80" s="56"/>
      <c r="R80" s="56"/>
      <c r="S80" s="56"/>
      <c r="T80" s="56"/>
      <c r="U80" s="56"/>
      <c r="V80" s="56"/>
      <c r="W80" s="56"/>
      <c r="X80" s="56"/>
      <c r="Y80" s="56"/>
      <c r="Z80" s="56"/>
    </row>
    <row r="81" spans="1:26" ht="15.75" customHeight="1">
      <c r="A81" s="56"/>
      <c r="B81" s="56"/>
      <c r="C81" s="56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6"/>
      <c r="P81" s="56"/>
      <c r="Q81" s="56"/>
      <c r="R81" s="56"/>
      <c r="S81" s="56"/>
      <c r="T81" s="56"/>
      <c r="U81" s="56"/>
      <c r="V81" s="56"/>
      <c r="W81" s="56"/>
      <c r="X81" s="56"/>
      <c r="Y81" s="56"/>
      <c r="Z81" s="56"/>
    </row>
    <row r="82" spans="1:26" ht="15.75" customHeight="1">
      <c r="A82" s="56"/>
      <c r="B82" s="56"/>
      <c r="C82" s="56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6"/>
      <c r="P82" s="56"/>
      <c r="Q82" s="56"/>
      <c r="R82" s="56"/>
      <c r="S82" s="56"/>
      <c r="T82" s="56"/>
      <c r="U82" s="56"/>
      <c r="V82" s="56"/>
      <c r="W82" s="56"/>
      <c r="X82" s="56"/>
      <c r="Y82" s="56"/>
      <c r="Z82" s="56"/>
    </row>
    <row r="83" spans="1:26" ht="15.75" customHeight="1">
      <c r="A83" s="56"/>
      <c r="B83" s="56"/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6"/>
      <c r="P83" s="56"/>
      <c r="Q83" s="56"/>
      <c r="R83" s="56"/>
      <c r="S83" s="56"/>
      <c r="T83" s="56"/>
      <c r="U83" s="56"/>
      <c r="V83" s="56"/>
      <c r="W83" s="56"/>
      <c r="X83" s="56"/>
      <c r="Y83" s="56"/>
      <c r="Z83" s="56"/>
    </row>
    <row r="84" spans="1:26" ht="15.75" customHeight="1">
      <c r="A84" s="56"/>
      <c r="B84" s="56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6"/>
      <c r="P84" s="56"/>
      <c r="Q84" s="56"/>
      <c r="R84" s="56"/>
      <c r="S84" s="56"/>
      <c r="T84" s="56"/>
      <c r="U84" s="56"/>
      <c r="V84" s="56"/>
      <c r="W84" s="56"/>
      <c r="X84" s="56"/>
      <c r="Y84" s="56"/>
      <c r="Z84" s="56"/>
    </row>
    <row r="85" spans="1:26" ht="15.75" customHeight="1">
      <c r="A85" s="56"/>
      <c r="B85" s="56"/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6"/>
      <c r="P85" s="56"/>
      <c r="Q85" s="56"/>
      <c r="R85" s="56"/>
      <c r="S85" s="56"/>
      <c r="T85" s="56"/>
      <c r="U85" s="56"/>
      <c r="V85" s="56"/>
      <c r="W85" s="56"/>
      <c r="X85" s="56"/>
      <c r="Y85" s="56"/>
      <c r="Z85" s="56"/>
    </row>
    <row r="86" spans="1:26" ht="15.75" customHeight="1">
      <c r="A86" s="56"/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6"/>
      <c r="P86" s="56"/>
      <c r="Q86" s="56"/>
      <c r="R86" s="56"/>
      <c r="S86" s="56"/>
      <c r="T86" s="56"/>
      <c r="U86" s="56"/>
      <c r="V86" s="56"/>
      <c r="W86" s="56"/>
      <c r="X86" s="56"/>
      <c r="Y86" s="56"/>
      <c r="Z86" s="56"/>
    </row>
    <row r="87" spans="1:26" ht="15.75" customHeight="1">
      <c r="A87" s="56"/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6"/>
      <c r="P87" s="56"/>
      <c r="Q87" s="56"/>
      <c r="R87" s="56"/>
      <c r="S87" s="56"/>
      <c r="T87" s="56"/>
      <c r="U87" s="56"/>
      <c r="V87" s="56"/>
      <c r="W87" s="56"/>
      <c r="X87" s="56"/>
      <c r="Y87" s="56"/>
      <c r="Z87" s="56"/>
    </row>
    <row r="88" spans="1:26" ht="15.75" customHeight="1">
      <c r="A88" s="56"/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6"/>
      <c r="P88" s="56"/>
      <c r="Q88" s="56"/>
      <c r="R88" s="56"/>
      <c r="S88" s="56"/>
      <c r="T88" s="56"/>
      <c r="U88" s="56"/>
      <c r="V88" s="56"/>
      <c r="W88" s="56"/>
      <c r="X88" s="56"/>
      <c r="Y88" s="56"/>
      <c r="Z88" s="56"/>
    </row>
    <row r="89" spans="1:26" ht="15.75" customHeight="1">
      <c r="A89" s="56"/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6"/>
      <c r="P89" s="56"/>
      <c r="Q89" s="56"/>
      <c r="R89" s="56"/>
      <c r="S89" s="56"/>
      <c r="T89" s="56"/>
      <c r="U89" s="56"/>
      <c r="V89" s="56"/>
      <c r="W89" s="56"/>
      <c r="X89" s="56"/>
      <c r="Y89" s="56"/>
      <c r="Z89" s="56"/>
    </row>
    <row r="90" spans="1:26" ht="15.75" customHeight="1">
      <c r="A90" s="56"/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6"/>
      <c r="P90" s="56"/>
      <c r="Q90" s="56"/>
      <c r="R90" s="56"/>
      <c r="S90" s="56"/>
      <c r="T90" s="56"/>
      <c r="U90" s="56"/>
      <c r="V90" s="56"/>
      <c r="W90" s="56"/>
      <c r="X90" s="56"/>
      <c r="Y90" s="56"/>
      <c r="Z90" s="56"/>
    </row>
    <row r="91" spans="1:26" ht="15.75" customHeight="1">
      <c r="A91" s="56"/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6"/>
      <c r="P91" s="56"/>
      <c r="Q91" s="56"/>
      <c r="R91" s="56"/>
      <c r="S91" s="56"/>
      <c r="T91" s="56"/>
      <c r="U91" s="56"/>
      <c r="V91" s="56"/>
      <c r="W91" s="56"/>
      <c r="X91" s="56"/>
      <c r="Y91" s="56"/>
      <c r="Z91" s="56"/>
    </row>
    <row r="92" spans="1:26" ht="15.75" customHeight="1">
      <c r="A92" s="56"/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6"/>
      <c r="P92" s="56"/>
      <c r="Q92" s="56"/>
      <c r="R92" s="56"/>
      <c r="S92" s="56"/>
      <c r="T92" s="56"/>
      <c r="U92" s="56"/>
      <c r="V92" s="56"/>
      <c r="W92" s="56"/>
      <c r="X92" s="56"/>
      <c r="Y92" s="56"/>
      <c r="Z92" s="56"/>
    </row>
    <row r="93" spans="1:26" ht="15.75" customHeight="1">
      <c r="A93" s="56"/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6"/>
      <c r="P93" s="56"/>
      <c r="Q93" s="56"/>
      <c r="R93" s="56"/>
      <c r="S93" s="56"/>
      <c r="T93" s="56"/>
      <c r="U93" s="56"/>
      <c r="V93" s="56"/>
      <c r="W93" s="56"/>
      <c r="X93" s="56"/>
      <c r="Y93" s="56"/>
      <c r="Z93" s="56"/>
    </row>
    <row r="94" spans="1:26" ht="15.75" customHeight="1">
      <c r="A94" s="56"/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6"/>
      <c r="P94" s="56"/>
      <c r="Q94" s="56"/>
      <c r="R94" s="56"/>
      <c r="S94" s="56"/>
      <c r="T94" s="56"/>
      <c r="U94" s="56"/>
      <c r="V94" s="56"/>
      <c r="W94" s="56"/>
      <c r="X94" s="56"/>
      <c r="Y94" s="56"/>
      <c r="Z94" s="56"/>
    </row>
    <row r="95" spans="1:26" ht="15.75" customHeight="1">
      <c r="A95" s="56"/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6"/>
      <c r="P95" s="56"/>
      <c r="Q95" s="56"/>
      <c r="R95" s="56"/>
      <c r="S95" s="56"/>
      <c r="T95" s="56"/>
      <c r="U95" s="56"/>
      <c r="V95" s="56"/>
      <c r="W95" s="56"/>
      <c r="X95" s="56"/>
      <c r="Y95" s="56"/>
      <c r="Z95" s="56"/>
    </row>
    <row r="96" spans="1:26" ht="15.75" customHeight="1">
      <c r="A96" s="56"/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6"/>
      <c r="P96" s="56"/>
      <c r="Q96" s="56"/>
      <c r="R96" s="56"/>
      <c r="S96" s="56"/>
      <c r="T96" s="56"/>
      <c r="U96" s="56"/>
      <c r="V96" s="56"/>
      <c r="W96" s="56"/>
      <c r="X96" s="56"/>
      <c r="Y96" s="56"/>
      <c r="Z96" s="56"/>
    </row>
    <row r="97" spans="1:26" ht="15.75" customHeight="1">
      <c r="A97" s="56"/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6"/>
      <c r="P97" s="56"/>
      <c r="Q97" s="56"/>
      <c r="R97" s="56"/>
      <c r="S97" s="56"/>
      <c r="T97" s="56"/>
      <c r="U97" s="56"/>
      <c r="V97" s="56"/>
      <c r="W97" s="56"/>
      <c r="X97" s="56"/>
      <c r="Y97" s="56"/>
      <c r="Z97" s="56"/>
    </row>
    <row r="98" spans="1:26" ht="15.75" customHeight="1">
      <c r="A98" s="56"/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6"/>
      <c r="P98" s="56"/>
      <c r="Q98" s="56"/>
      <c r="R98" s="56"/>
      <c r="S98" s="56"/>
      <c r="T98" s="56"/>
      <c r="U98" s="56"/>
      <c r="V98" s="56"/>
      <c r="W98" s="56"/>
      <c r="X98" s="56"/>
      <c r="Y98" s="56"/>
      <c r="Z98" s="56"/>
    </row>
    <row r="99" spans="1:26" ht="15.75" customHeight="1">
      <c r="A99" s="56"/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6"/>
      <c r="P99" s="56"/>
      <c r="Q99" s="56"/>
      <c r="R99" s="56"/>
      <c r="S99" s="56"/>
      <c r="T99" s="56"/>
      <c r="U99" s="56"/>
      <c r="V99" s="56"/>
      <c r="W99" s="56"/>
      <c r="X99" s="56"/>
      <c r="Y99" s="56"/>
      <c r="Z99" s="56"/>
    </row>
    <row r="100" spans="1:26" ht="15.75" customHeight="1">
      <c r="A100" s="56"/>
      <c r="B100" s="56"/>
      <c r="C100" s="56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6"/>
      <c r="P100" s="56"/>
      <c r="Q100" s="56"/>
      <c r="R100" s="56"/>
      <c r="S100" s="56"/>
      <c r="T100" s="56"/>
      <c r="U100" s="56"/>
      <c r="V100" s="56"/>
      <c r="W100" s="56"/>
      <c r="X100" s="56"/>
      <c r="Y100" s="56"/>
      <c r="Z100" s="56"/>
    </row>
    <row r="101" spans="1:26" ht="15.75" customHeight="1">
      <c r="A101" s="56"/>
      <c r="B101" s="56"/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6"/>
      <c r="P101" s="56"/>
      <c r="Q101" s="56"/>
      <c r="R101" s="56"/>
      <c r="S101" s="56"/>
      <c r="T101" s="56"/>
      <c r="U101" s="56"/>
      <c r="V101" s="56"/>
      <c r="W101" s="56"/>
      <c r="X101" s="56"/>
      <c r="Y101" s="56"/>
      <c r="Z101" s="56"/>
    </row>
    <row r="102" spans="1:26" ht="15.75" customHeight="1">
      <c r="A102" s="56"/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6"/>
      <c r="P102" s="56"/>
      <c r="Q102" s="56"/>
      <c r="R102" s="56"/>
      <c r="S102" s="56"/>
      <c r="T102" s="56"/>
      <c r="U102" s="56"/>
      <c r="V102" s="56"/>
      <c r="W102" s="56"/>
      <c r="X102" s="56"/>
      <c r="Y102" s="56"/>
      <c r="Z102" s="56"/>
    </row>
    <row r="103" spans="1:26" ht="15.75" customHeight="1">
      <c r="A103" s="56"/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6"/>
      <c r="P103" s="56"/>
      <c r="Q103" s="56"/>
      <c r="R103" s="56"/>
      <c r="S103" s="56"/>
      <c r="T103" s="56"/>
      <c r="U103" s="56"/>
      <c r="V103" s="56"/>
      <c r="W103" s="56"/>
      <c r="X103" s="56"/>
      <c r="Y103" s="56"/>
      <c r="Z103" s="56"/>
    </row>
    <row r="104" spans="1:26" ht="15.75" customHeight="1">
      <c r="A104" s="56"/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6"/>
      <c r="P104" s="56"/>
      <c r="Q104" s="56"/>
      <c r="R104" s="56"/>
      <c r="S104" s="56"/>
      <c r="T104" s="56"/>
      <c r="U104" s="56"/>
      <c r="V104" s="56"/>
      <c r="W104" s="56"/>
      <c r="X104" s="56"/>
      <c r="Y104" s="56"/>
      <c r="Z104" s="56"/>
    </row>
    <row r="105" spans="1:26" ht="15.75" customHeight="1">
      <c r="A105" s="56"/>
      <c r="B105" s="56"/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  <c r="O105" s="56"/>
      <c r="P105" s="56"/>
      <c r="Q105" s="56"/>
      <c r="R105" s="56"/>
      <c r="S105" s="56"/>
      <c r="T105" s="56"/>
      <c r="U105" s="56"/>
      <c r="V105" s="56"/>
      <c r="W105" s="56"/>
      <c r="X105" s="56"/>
      <c r="Y105" s="56"/>
      <c r="Z105" s="56"/>
    </row>
    <row r="106" spans="1:26" ht="15.75" customHeight="1">
      <c r="A106" s="56"/>
      <c r="B106" s="56"/>
      <c r="C106" s="56"/>
      <c r="D106" s="56"/>
      <c r="E106" s="56"/>
      <c r="F106" s="56"/>
      <c r="G106" s="56"/>
      <c r="H106" s="56"/>
      <c r="I106" s="56"/>
      <c r="J106" s="56"/>
      <c r="K106" s="56"/>
      <c r="L106" s="56"/>
      <c r="M106" s="56"/>
      <c r="N106" s="56"/>
      <c r="O106" s="56"/>
      <c r="P106" s="56"/>
      <c r="Q106" s="56"/>
      <c r="R106" s="56"/>
      <c r="S106" s="56"/>
      <c r="T106" s="56"/>
      <c r="U106" s="56"/>
      <c r="V106" s="56"/>
      <c r="W106" s="56"/>
      <c r="X106" s="56"/>
      <c r="Y106" s="56"/>
      <c r="Z106" s="56"/>
    </row>
    <row r="107" spans="1:26" ht="15.75" customHeight="1">
      <c r="A107" s="56"/>
      <c r="B107" s="56"/>
      <c r="C107" s="56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  <c r="O107" s="56"/>
      <c r="P107" s="56"/>
      <c r="Q107" s="56"/>
      <c r="R107" s="56"/>
      <c r="S107" s="56"/>
      <c r="T107" s="56"/>
      <c r="U107" s="56"/>
      <c r="V107" s="56"/>
      <c r="W107" s="56"/>
      <c r="X107" s="56"/>
      <c r="Y107" s="56"/>
      <c r="Z107" s="56"/>
    </row>
    <row r="108" spans="1:26" ht="15.75" customHeight="1">
      <c r="A108" s="56"/>
      <c r="B108" s="56"/>
      <c r="C108" s="56"/>
      <c r="D108" s="56"/>
      <c r="E108" s="56"/>
      <c r="F108" s="56"/>
      <c r="G108" s="56"/>
      <c r="H108" s="56"/>
      <c r="I108" s="56"/>
      <c r="J108" s="56"/>
      <c r="K108" s="56"/>
      <c r="L108" s="56"/>
      <c r="M108" s="56"/>
      <c r="N108" s="56"/>
      <c r="O108" s="56"/>
      <c r="P108" s="56"/>
      <c r="Q108" s="56"/>
      <c r="R108" s="56"/>
      <c r="S108" s="56"/>
      <c r="T108" s="56"/>
      <c r="U108" s="56"/>
      <c r="V108" s="56"/>
      <c r="W108" s="56"/>
      <c r="X108" s="56"/>
      <c r="Y108" s="56"/>
      <c r="Z108" s="56"/>
    </row>
    <row r="109" spans="1:26" ht="15.75" customHeight="1">
      <c r="A109" s="56"/>
      <c r="B109" s="56"/>
      <c r="C109" s="56"/>
      <c r="D109" s="56"/>
      <c r="E109" s="56"/>
      <c r="F109" s="56"/>
      <c r="G109" s="56"/>
      <c r="H109" s="56"/>
      <c r="I109" s="56"/>
      <c r="J109" s="56"/>
      <c r="K109" s="56"/>
      <c r="L109" s="56"/>
      <c r="M109" s="56"/>
      <c r="N109" s="56"/>
      <c r="O109" s="56"/>
      <c r="P109" s="56"/>
      <c r="Q109" s="56"/>
      <c r="R109" s="56"/>
      <c r="S109" s="56"/>
      <c r="T109" s="56"/>
      <c r="U109" s="56"/>
      <c r="V109" s="56"/>
      <c r="W109" s="56"/>
      <c r="X109" s="56"/>
      <c r="Y109" s="56"/>
      <c r="Z109" s="56"/>
    </row>
    <row r="110" spans="1:26" ht="15.75" customHeight="1">
      <c r="A110" s="56"/>
      <c r="B110" s="56"/>
      <c r="C110" s="56"/>
      <c r="D110" s="56"/>
      <c r="E110" s="56"/>
      <c r="F110" s="56"/>
      <c r="G110" s="56"/>
      <c r="H110" s="56"/>
      <c r="I110" s="56"/>
      <c r="J110" s="56"/>
      <c r="K110" s="56"/>
      <c r="L110" s="56"/>
      <c r="M110" s="56"/>
      <c r="N110" s="56"/>
      <c r="O110" s="56"/>
      <c r="P110" s="56"/>
      <c r="Q110" s="56"/>
      <c r="R110" s="56"/>
      <c r="S110" s="56"/>
      <c r="T110" s="56"/>
      <c r="U110" s="56"/>
      <c r="V110" s="56"/>
      <c r="W110" s="56"/>
      <c r="X110" s="56"/>
      <c r="Y110" s="56"/>
      <c r="Z110" s="56"/>
    </row>
    <row r="111" spans="1:26" ht="15.75" customHeight="1">
      <c r="A111" s="56"/>
      <c r="B111" s="56"/>
      <c r="C111" s="56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  <c r="O111" s="56"/>
      <c r="P111" s="56"/>
      <c r="Q111" s="56"/>
      <c r="R111" s="56"/>
      <c r="S111" s="56"/>
      <c r="T111" s="56"/>
      <c r="U111" s="56"/>
      <c r="V111" s="56"/>
      <c r="W111" s="56"/>
      <c r="X111" s="56"/>
      <c r="Y111" s="56"/>
      <c r="Z111" s="56"/>
    </row>
    <row r="112" spans="1:26" ht="15.75" customHeight="1">
      <c r="A112" s="56"/>
      <c r="B112" s="56"/>
      <c r="C112" s="56"/>
      <c r="D112" s="56"/>
      <c r="E112" s="56"/>
      <c r="F112" s="56"/>
      <c r="G112" s="56"/>
      <c r="H112" s="56"/>
      <c r="I112" s="56"/>
      <c r="J112" s="56"/>
      <c r="K112" s="56"/>
      <c r="L112" s="56"/>
      <c r="M112" s="56"/>
      <c r="N112" s="56"/>
      <c r="O112" s="56"/>
      <c r="P112" s="56"/>
      <c r="Q112" s="56"/>
      <c r="R112" s="56"/>
      <c r="S112" s="56"/>
      <c r="T112" s="56"/>
      <c r="U112" s="56"/>
      <c r="V112" s="56"/>
      <c r="W112" s="56"/>
      <c r="X112" s="56"/>
      <c r="Y112" s="56"/>
      <c r="Z112" s="56"/>
    </row>
    <row r="113" spans="1:26" ht="15.75" customHeight="1">
      <c r="A113" s="56"/>
      <c r="B113" s="56"/>
      <c r="C113" s="56"/>
      <c r="D113" s="56"/>
      <c r="E113" s="56"/>
      <c r="F113" s="56"/>
      <c r="G113" s="56"/>
      <c r="H113" s="56"/>
      <c r="I113" s="56"/>
      <c r="J113" s="56"/>
      <c r="K113" s="56"/>
      <c r="L113" s="56"/>
      <c r="M113" s="56"/>
      <c r="N113" s="56"/>
      <c r="O113" s="56"/>
      <c r="P113" s="56"/>
      <c r="Q113" s="56"/>
      <c r="R113" s="56"/>
      <c r="S113" s="56"/>
      <c r="T113" s="56"/>
      <c r="U113" s="56"/>
      <c r="V113" s="56"/>
      <c r="W113" s="56"/>
      <c r="X113" s="56"/>
      <c r="Y113" s="56"/>
      <c r="Z113" s="56"/>
    </row>
    <row r="114" spans="1:26" ht="15.75" customHeight="1">
      <c r="A114" s="56"/>
      <c r="B114" s="56"/>
      <c r="C114" s="56"/>
      <c r="D114" s="56"/>
      <c r="E114" s="56"/>
      <c r="F114" s="56"/>
      <c r="G114" s="56"/>
      <c r="H114" s="56"/>
      <c r="I114" s="56"/>
      <c r="J114" s="56"/>
      <c r="K114" s="56"/>
      <c r="L114" s="56"/>
      <c r="M114" s="56"/>
      <c r="N114" s="56"/>
      <c r="O114" s="56"/>
      <c r="P114" s="56"/>
      <c r="Q114" s="56"/>
      <c r="R114" s="56"/>
      <c r="S114" s="56"/>
      <c r="T114" s="56"/>
      <c r="U114" s="56"/>
      <c r="V114" s="56"/>
      <c r="W114" s="56"/>
      <c r="X114" s="56"/>
      <c r="Y114" s="56"/>
      <c r="Z114" s="56"/>
    </row>
    <row r="115" spans="1:26" ht="15.75" customHeight="1">
      <c r="A115" s="56"/>
      <c r="B115" s="56"/>
      <c r="C115" s="56"/>
      <c r="D115" s="56"/>
      <c r="E115" s="56"/>
      <c r="F115" s="56"/>
      <c r="G115" s="56"/>
      <c r="H115" s="56"/>
      <c r="I115" s="56"/>
      <c r="J115" s="56"/>
      <c r="K115" s="56"/>
      <c r="L115" s="56"/>
      <c r="M115" s="56"/>
      <c r="N115" s="56"/>
      <c r="O115" s="56"/>
      <c r="P115" s="56"/>
      <c r="Q115" s="56"/>
      <c r="R115" s="56"/>
      <c r="S115" s="56"/>
      <c r="T115" s="56"/>
      <c r="U115" s="56"/>
      <c r="V115" s="56"/>
      <c r="W115" s="56"/>
      <c r="X115" s="56"/>
      <c r="Y115" s="56"/>
      <c r="Z115" s="56"/>
    </row>
    <row r="116" spans="1:26" ht="15.75" customHeight="1">
      <c r="A116" s="56"/>
      <c r="B116" s="56"/>
      <c r="C116" s="56"/>
      <c r="D116" s="56"/>
      <c r="E116" s="56"/>
      <c r="F116" s="56"/>
      <c r="G116" s="56"/>
      <c r="H116" s="56"/>
      <c r="I116" s="56"/>
      <c r="J116" s="56"/>
      <c r="K116" s="56"/>
      <c r="L116" s="56"/>
      <c r="M116" s="56"/>
      <c r="N116" s="56"/>
      <c r="O116" s="56"/>
      <c r="P116" s="56"/>
      <c r="Q116" s="56"/>
      <c r="R116" s="56"/>
      <c r="S116" s="56"/>
      <c r="T116" s="56"/>
      <c r="U116" s="56"/>
      <c r="V116" s="56"/>
      <c r="W116" s="56"/>
      <c r="X116" s="56"/>
      <c r="Y116" s="56"/>
      <c r="Z116" s="56"/>
    </row>
    <row r="117" spans="1:26" ht="15.75" customHeight="1">
      <c r="A117" s="56"/>
      <c r="B117" s="56"/>
      <c r="C117" s="56"/>
      <c r="D117" s="56"/>
      <c r="E117" s="56"/>
      <c r="F117" s="56"/>
      <c r="G117" s="56"/>
      <c r="H117" s="56"/>
      <c r="I117" s="56"/>
      <c r="J117" s="56"/>
      <c r="K117" s="56"/>
      <c r="L117" s="56"/>
      <c r="M117" s="56"/>
      <c r="N117" s="56"/>
      <c r="O117" s="56"/>
      <c r="P117" s="56"/>
      <c r="Q117" s="56"/>
      <c r="R117" s="56"/>
      <c r="S117" s="56"/>
      <c r="T117" s="56"/>
      <c r="U117" s="56"/>
      <c r="V117" s="56"/>
      <c r="W117" s="56"/>
      <c r="X117" s="56"/>
      <c r="Y117" s="56"/>
      <c r="Z117" s="56"/>
    </row>
    <row r="118" spans="1:26" ht="15.75" customHeight="1">
      <c r="A118" s="56"/>
      <c r="B118" s="56"/>
      <c r="C118" s="56"/>
      <c r="D118" s="56"/>
      <c r="E118" s="56"/>
      <c r="F118" s="56"/>
      <c r="G118" s="56"/>
      <c r="H118" s="56"/>
      <c r="I118" s="56"/>
      <c r="J118" s="56"/>
      <c r="K118" s="56"/>
      <c r="L118" s="56"/>
      <c r="M118" s="56"/>
      <c r="N118" s="56"/>
      <c r="O118" s="56"/>
      <c r="P118" s="56"/>
      <c r="Q118" s="56"/>
      <c r="R118" s="56"/>
      <c r="S118" s="56"/>
      <c r="T118" s="56"/>
      <c r="U118" s="56"/>
      <c r="V118" s="56"/>
      <c r="W118" s="56"/>
      <c r="X118" s="56"/>
      <c r="Y118" s="56"/>
      <c r="Z118" s="56"/>
    </row>
    <row r="119" spans="1:26" ht="15.75" customHeight="1">
      <c r="A119" s="56"/>
      <c r="B119" s="56"/>
      <c r="C119" s="56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  <c r="O119" s="56"/>
      <c r="P119" s="56"/>
      <c r="Q119" s="56"/>
      <c r="R119" s="56"/>
      <c r="S119" s="56"/>
      <c r="T119" s="56"/>
      <c r="U119" s="56"/>
      <c r="V119" s="56"/>
      <c r="W119" s="56"/>
      <c r="X119" s="56"/>
      <c r="Y119" s="56"/>
      <c r="Z119" s="56"/>
    </row>
    <row r="120" spans="1:26" ht="15.75" customHeight="1">
      <c r="A120" s="56"/>
      <c r="B120" s="56"/>
      <c r="C120" s="56"/>
      <c r="D120" s="56"/>
      <c r="E120" s="56"/>
      <c r="F120" s="56"/>
      <c r="G120" s="56"/>
      <c r="H120" s="56"/>
      <c r="I120" s="56"/>
      <c r="J120" s="56"/>
      <c r="K120" s="56"/>
      <c r="L120" s="56"/>
      <c r="M120" s="56"/>
      <c r="N120" s="56"/>
      <c r="O120" s="56"/>
      <c r="P120" s="56"/>
      <c r="Q120" s="56"/>
      <c r="R120" s="56"/>
      <c r="S120" s="56"/>
      <c r="T120" s="56"/>
      <c r="U120" s="56"/>
      <c r="V120" s="56"/>
      <c r="W120" s="56"/>
      <c r="X120" s="56"/>
      <c r="Y120" s="56"/>
      <c r="Z120" s="56"/>
    </row>
    <row r="121" spans="1:26" ht="15.75" customHeight="1">
      <c r="A121" s="56"/>
      <c r="B121" s="56"/>
      <c r="C121" s="56"/>
      <c r="D121" s="56"/>
      <c r="E121" s="56"/>
      <c r="F121" s="56"/>
      <c r="G121" s="56"/>
      <c r="H121" s="56"/>
      <c r="I121" s="56"/>
      <c r="J121" s="56"/>
      <c r="K121" s="56"/>
      <c r="L121" s="56"/>
      <c r="M121" s="56"/>
      <c r="N121" s="56"/>
      <c r="O121" s="56"/>
      <c r="P121" s="56"/>
      <c r="Q121" s="56"/>
      <c r="R121" s="56"/>
      <c r="S121" s="56"/>
      <c r="T121" s="56"/>
      <c r="U121" s="56"/>
      <c r="V121" s="56"/>
      <c r="W121" s="56"/>
      <c r="X121" s="56"/>
      <c r="Y121" s="56"/>
      <c r="Z121" s="56"/>
    </row>
    <row r="122" spans="1:26" ht="15.75" customHeight="1">
      <c r="A122" s="56"/>
      <c r="B122" s="56"/>
      <c r="C122" s="56"/>
      <c r="D122" s="56"/>
      <c r="E122" s="56"/>
      <c r="F122" s="56"/>
      <c r="G122" s="56"/>
      <c r="H122" s="56"/>
      <c r="I122" s="56"/>
      <c r="J122" s="56"/>
      <c r="K122" s="56"/>
      <c r="L122" s="56"/>
      <c r="M122" s="56"/>
      <c r="N122" s="56"/>
      <c r="O122" s="56"/>
      <c r="P122" s="56"/>
      <c r="Q122" s="56"/>
      <c r="R122" s="56"/>
      <c r="S122" s="56"/>
      <c r="T122" s="56"/>
      <c r="U122" s="56"/>
      <c r="V122" s="56"/>
      <c r="W122" s="56"/>
      <c r="X122" s="56"/>
      <c r="Y122" s="56"/>
      <c r="Z122" s="56"/>
    </row>
    <row r="123" spans="1:26" ht="15.75" customHeight="1">
      <c r="A123" s="56"/>
      <c r="B123" s="56"/>
      <c r="C123" s="56"/>
      <c r="D123" s="56"/>
      <c r="E123" s="56"/>
      <c r="F123" s="56"/>
      <c r="G123" s="56"/>
      <c r="H123" s="56"/>
      <c r="I123" s="56"/>
      <c r="J123" s="56"/>
      <c r="K123" s="56"/>
      <c r="L123" s="56"/>
      <c r="M123" s="56"/>
      <c r="N123" s="56"/>
      <c r="O123" s="56"/>
      <c r="P123" s="56"/>
      <c r="Q123" s="56"/>
      <c r="R123" s="56"/>
      <c r="S123" s="56"/>
      <c r="T123" s="56"/>
      <c r="U123" s="56"/>
      <c r="V123" s="56"/>
      <c r="W123" s="56"/>
      <c r="X123" s="56"/>
      <c r="Y123" s="56"/>
      <c r="Z123" s="56"/>
    </row>
    <row r="124" spans="1:26" ht="15.75" customHeight="1">
      <c r="A124" s="56"/>
      <c r="B124" s="56"/>
      <c r="C124" s="56"/>
      <c r="D124" s="56"/>
      <c r="E124" s="56"/>
      <c r="F124" s="56"/>
      <c r="G124" s="56"/>
      <c r="H124" s="56"/>
      <c r="I124" s="56"/>
      <c r="J124" s="56"/>
      <c r="K124" s="56"/>
      <c r="L124" s="56"/>
      <c r="M124" s="56"/>
      <c r="N124" s="56"/>
      <c r="O124" s="56"/>
      <c r="P124" s="56"/>
      <c r="Q124" s="56"/>
      <c r="R124" s="56"/>
      <c r="S124" s="56"/>
      <c r="T124" s="56"/>
      <c r="U124" s="56"/>
      <c r="V124" s="56"/>
      <c r="W124" s="56"/>
      <c r="X124" s="56"/>
      <c r="Y124" s="56"/>
      <c r="Z124" s="56"/>
    </row>
    <row r="125" spans="1:26" ht="15.75" customHeight="1">
      <c r="A125" s="56"/>
      <c r="B125" s="56"/>
      <c r="C125" s="56"/>
      <c r="D125" s="56"/>
      <c r="E125" s="56"/>
      <c r="F125" s="56"/>
      <c r="G125" s="56"/>
      <c r="H125" s="56"/>
      <c r="I125" s="56"/>
      <c r="J125" s="56"/>
      <c r="K125" s="56"/>
      <c r="L125" s="56"/>
      <c r="M125" s="56"/>
      <c r="N125" s="56"/>
      <c r="O125" s="56"/>
      <c r="P125" s="56"/>
      <c r="Q125" s="56"/>
      <c r="R125" s="56"/>
      <c r="S125" s="56"/>
      <c r="T125" s="56"/>
      <c r="U125" s="56"/>
      <c r="V125" s="56"/>
      <c r="W125" s="56"/>
      <c r="X125" s="56"/>
      <c r="Y125" s="56"/>
      <c r="Z125" s="56"/>
    </row>
    <row r="126" spans="1:26" ht="15.75" customHeight="1">
      <c r="A126" s="56"/>
      <c r="B126" s="56"/>
      <c r="C126" s="56"/>
      <c r="D126" s="56"/>
      <c r="E126" s="56"/>
      <c r="F126" s="56"/>
      <c r="G126" s="56"/>
      <c r="H126" s="56"/>
      <c r="I126" s="56"/>
      <c r="J126" s="56"/>
      <c r="K126" s="56"/>
      <c r="L126" s="56"/>
      <c r="M126" s="56"/>
      <c r="N126" s="56"/>
      <c r="O126" s="56"/>
      <c r="P126" s="56"/>
      <c r="Q126" s="56"/>
      <c r="R126" s="56"/>
      <c r="S126" s="56"/>
      <c r="T126" s="56"/>
      <c r="U126" s="56"/>
      <c r="V126" s="56"/>
      <c r="W126" s="56"/>
      <c r="X126" s="56"/>
      <c r="Y126" s="56"/>
      <c r="Z126" s="56"/>
    </row>
    <row r="127" spans="1:26" ht="15.75" customHeight="1">
      <c r="A127" s="56"/>
      <c r="B127" s="56"/>
      <c r="C127" s="56"/>
      <c r="D127" s="56"/>
      <c r="E127" s="56"/>
      <c r="F127" s="56"/>
      <c r="G127" s="56"/>
      <c r="H127" s="56"/>
      <c r="I127" s="56"/>
      <c r="J127" s="56"/>
      <c r="K127" s="56"/>
      <c r="L127" s="56"/>
      <c r="M127" s="56"/>
      <c r="N127" s="56"/>
      <c r="O127" s="56"/>
      <c r="P127" s="56"/>
      <c r="Q127" s="56"/>
      <c r="R127" s="56"/>
      <c r="S127" s="56"/>
      <c r="T127" s="56"/>
      <c r="U127" s="56"/>
      <c r="V127" s="56"/>
      <c r="W127" s="56"/>
      <c r="X127" s="56"/>
      <c r="Y127" s="56"/>
      <c r="Z127" s="56"/>
    </row>
    <row r="128" spans="1:26" ht="15.75" customHeight="1">
      <c r="A128" s="56"/>
      <c r="B128" s="56"/>
      <c r="C128" s="56"/>
      <c r="D128" s="56"/>
      <c r="E128" s="56"/>
      <c r="F128" s="56"/>
      <c r="G128" s="56"/>
      <c r="H128" s="56"/>
      <c r="I128" s="56"/>
      <c r="J128" s="56"/>
      <c r="K128" s="56"/>
      <c r="L128" s="56"/>
      <c r="M128" s="56"/>
      <c r="N128" s="56"/>
      <c r="O128" s="56"/>
      <c r="P128" s="56"/>
      <c r="Q128" s="56"/>
      <c r="R128" s="56"/>
      <c r="S128" s="56"/>
      <c r="T128" s="56"/>
      <c r="U128" s="56"/>
      <c r="V128" s="56"/>
      <c r="W128" s="56"/>
      <c r="X128" s="56"/>
      <c r="Y128" s="56"/>
      <c r="Z128" s="56"/>
    </row>
    <row r="129" spans="1:26" ht="15.75" customHeight="1">
      <c r="A129" s="56"/>
      <c r="B129" s="56"/>
      <c r="C129" s="56"/>
      <c r="D129" s="56"/>
      <c r="E129" s="56"/>
      <c r="F129" s="56"/>
      <c r="G129" s="56"/>
      <c r="H129" s="56"/>
      <c r="I129" s="56"/>
      <c r="J129" s="56"/>
      <c r="K129" s="56"/>
      <c r="L129" s="56"/>
      <c r="M129" s="56"/>
      <c r="N129" s="56"/>
      <c r="O129" s="56"/>
      <c r="P129" s="56"/>
      <c r="Q129" s="56"/>
      <c r="R129" s="56"/>
      <c r="S129" s="56"/>
      <c r="T129" s="56"/>
      <c r="U129" s="56"/>
      <c r="V129" s="56"/>
      <c r="W129" s="56"/>
      <c r="X129" s="56"/>
      <c r="Y129" s="56"/>
      <c r="Z129" s="56"/>
    </row>
    <row r="130" spans="1:26" ht="15.75" customHeight="1">
      <c r="A130" s="56"/>
      <c r="B130" s="56"/>
      <c r="C130" s="56"/>
      <c r="D130" s="56"/>
      <c r="E130" s="56"/>
      <c r="F130" s="56"/>
      <c r="G130" s="56"/>
      <c r="H130" s="56"/>
      <c r="I130" s="56"/>
      <c r="J130" s="56"/>
      <c r="K130" s="56"/>
      <c r="L130" s="56"/>
      <c r="M130" s="56"/>
      <c r="N130" s="56"/>
      <c r="O130" s="56"/>
      <c r="P130" s="56"/>
      <c r="Q130" s="56"/>
      <c r="R130" s="56"/>
      <c r="S130" s="56"/>
      <c r="T130" s="56"/>
      <c r="U130" s="56"/>
      <c r="V130" s="56"/>
      <c r="W130" s="56"/>
      <c r="X130" s="56"/>
      <c r="Y130" s="56"/>
      <c r="Z130" s="56"/>
    </row>
    <row r="131" spans="1:26" ht="15.75" customHeight="1">
      <c r="A131" s="56"/>
      <c r="B131" s="56"/>
      <c r="C131" s="56"/>
      <c r="D131" s="56"/>
      <c r="E131" s="56"/>
      <c r="F131" s="56"/>
      <c r="G131" s="56"/>
      <c r="H131" s="56"/>
      <c r="I131" s="56"/>
      <c r="J131" s="56"/>
      <c r="K131" s="56"/>
      <c r="L131" s="56"/>
      <c r="M131" s="56"/>
      <c r="N131" s="56"/>
      <c r="O131" s="56"/>
      <c r="P131" s="56"/>
      <c r="Q131" s="56"/>
      <c r="R131" s="56"/>
      <c r="S131" s="56"/>
      <c r="T131" s="56"/>
      <c r="U131" s="56"/>
      <c r="V131" s="56"/>
      <c r="W131" s="56"/>
      <c r="X131" s="56"/>
      <c r="Y131" s="56"/>
      <c r="Z131" s="56"/>
    </row>
    <row r="132" spans="1:26" ht="15.75" customHeight="1">
      <c r="A132" s="56"/>
      <c r="B132" s="56"/>
      <c r="C132" s="56"/>
      <c r="D132" s="56"/>
      <c r="E132" s="56"/>
      <c r="F132" s="56"/>
      <c r="G132" s="56"/>
      <c r="H132" s="56"/>
      <c r="I132" s="56"/>
      <c r="J132" s="56"/>
      <c r="K132" s="56"/>
      <c r="L132" s="56"/>
      <c r="M132" s="56"/>
      <c r="N132" s="56"/>
      <c r="O132" s="56"/>
      <c r="P132" s="56"/>
      <c r="Q132" s="56"/>
      <c r="R132" s="56"/>
      <c r="S132" s="56"/>
      <c r="T132" s="56"/>
      <c r="U132" s="56"/>
      <c r="V132" s="56"/>
      <c r="W132" s="56"/>
      <c r="X132" s="56"/>
      <c r="Y132" s="56"/>
      <c r="Z132" s="56"/>
    </row>
    <row r="133" spans="1:26" ht="15.75" customHeight="1">
      <c r="A133" s="56"/>
      <c r="B133" s="56"/>
      <c r="C133" s="56"/>
      <c r="D133" s="56"/>
      <c r="E133" s="56"/>
      <c r="F133" s="56"/>
      <c r="G133" s="56"/>
      <c r="H133" s="56"/>
      <c r="I133" s="56"/>
      <c r="J133" s="56"/>
      <c r="K133" s="56"/>
      <c r="L133" s="56"/>
      <c r="M133" s="56"/>
      <c r="N133" s="56"/>
      <c r="O133" s="56"/>
      <c r="P133" s="56"/>
      <c r="Q133" s="56"/>
      <c r="R133" s="56"/>
      <c r="S133" s="56"/>
      <c r="T133" s="56"/>
      <c r="U133" s="56"/>
      <c r="V133" s="56"/>
      <c r="W133" s="56"/>
      <c r="X133" s="56"/>
      <c r="Y133" s="56"/>
      <c r="Z133" s="56"/>
    </row>
    <row r="134" spans="1:26" ht="15.75" customHeight="1">
      <c r="A134" s="56"/>
      <c r="B134" s="56"/>
      <c r="C134" s="56"/>
      <c r="D134" s="56"/>
      <c r="E134" s="56"/>
      <c r="F134" s="56"/>
      <c r="G134" s="56"/>
      <c r="H134" s="56"/>
      <c r="I134" s="56"/>
      <c r="J134" s="56"/>
      <c r="K134" s="56"/>
      <c r="L134" s="56"/>
      <c r="M134" s="56"/>
      <c r="N134" s="56"/>
      <c r="O134" s="56"/>
      <c r="P134" s="56"/>
      <c r="Q134" s="56"/>
      <c r="R134" s="56"/>
      <c r="S134" s="56"/>
      <c r="T134" s="56"/>
      <c r="U134" s="56"/>
      <c r="V134" s="56"/>
      <c r="W134" s="56"/>
      <c r="X134" s="56"/>
      <c r="Y134" s="56"/>
      <c r="Z134" s="56"/>
    </row>
    <row r="135" spans="1:26" ht="15.75" customHeight="1">
      <c r="A135" s="56"/>
      <c r="B135" s="56"/>
      <c r="C135" s="56"/>
      <c r="D135" s="56"/>
      <c r="E135" s="56"/>
      <c r="F135" s="56"/>
      <c r="G135" s="56"/>
      <c r="H135" s="56"/>
      <c r="I135" s="56"/>
      <c r="J135" s="56"/>
      <c r="K135" s="56"/>
      <c r="L135" s="56"/>
      <c r="M135" s="56"/>
      <c r="N135" s="56"/>
      <c r="O135" s="56"/>
      <c r="P135" s="56"/>
      <c r="Q135" s="56"/>
      <c r="R135" s="56"/>
      <c r="S135" s="56"/>
      <c r="T135" s="56"/>
      <c r="U135" s="56"/>
      <c r="V135" s="56"/>
      <c r="W135" s="56"/>
      <c r="X135" s="56"/>
      <c r="Y135" s="56"/>
      <c r="Z135" s="56"/>
    </row>
    <row r="136" spans="1:26" ht="15.75" customHeight="1">
      <c r="A136" s="56"/>
      <c r="B136" s="56"/>
      <c r="C136" s="56"/>
      <c r="D136" s="56"/>
      <c r="E136" s="56"/>
      <c r="F136" s="56"/>
      <c r="G136" s="56"/>
      <c r="H136" s="56"/>
      <c r="I136" s="56"/>
      <c r="J136" s="56"/>
      <c r="K136" s="56"/>
      <c r="L136" s="56"/>
      <c r="M136" s="56"/>
      <c r="N136" s="56"/>
      <c r="O136" s="56"/>
      <c r="P136" s="56"/>
      <c r="Q136" s="56"/>
      <c r="R136" s="56"/>
      <c r="S136" s="56"/>
      <c r="T136" s="56"/>
      <c r="U136" s="56"/>
      <c r="V136" s="56"/>
      <c r="W136" s="56"/>
      <c r="X136" s="56"/>
      <c r="Y136" s="56"/>
      <c r="Z136" s="56"/>
    </row>
    <row r="137" spans="1:26" ht="15.75" customHeight="1">
      <c r="A137" s="56"/>
      <c r="B137" s="56"/>
      <c r="C137" s="56"/>
      <c r="D137" s="56"/>
      <c r="E137" s="56"/>
      <c r="F137" s="56"/>
      <c r="G137" s="56"/>
      <c r="H137" s="56"/>
      <c r="I137" s="56"/>
      <c r="J137" s="56"/>
      <c r="K137" s="56"/>
      <c r="L137" s="56"/>
      <c r="M137" s="56"/>
      <c r="N137" s="56"/>
      <c r="O137" s="56"/>
      <c r="P137" s="56"/>
      <c r="Q137" s="56"/>
      <c r="R137" s="56"/>
      <c r="S137" s="56"/>
      <c r="T137" s="56"/>
      <c r="U137" s="56"/>
      <c r="V137" s="56"/>
      <c r="W137" s="56"/>
      <c r="X137" s="56"/>
      <c r="Y137" s="56"/>
      <c r="Z137" s="56"/>
    </row>
    <row r="138" spans="1:26" ht="15.75" customHeight="1">
      <c r="A138" s="56"/>
      <c r="B138" s="56"/>
      <c r="C138" s="56"/>
      <c r="D138" s="56"/>
      <c r="E138" s="56"/>
      <c r="F138" s="56"/>
      <c r="G138" s="56"/>
      <c r="H138" s="56"/>
      <c r="I138" s="56"/>
      <c r="J138" s="56"/>
      <c r="K138" s="56"/>
      <c r="L138" s="56"/>
      <c r="M138" s="56"/>
      <c r="N138" s="56"/>
      <c r="O138" s="56"/>
      <c r="P138" s="56"/>
      <c r="Q138" s="56"/>
      <c r="R138" s="56"/>
      <c r="S138" s="56"/>
      <c r="T138" s="56"/>
      <c r="U138" s="56"/>
      <c r="V138" s="56"/>
      <c r="W138" s="56"/>
      <c r="X138" s="56"/>
      <c r="Y138" s="56"/>
      <c r="Z138" s="56"/>
    </row>
    <row r="139" spans="1:26" ht="15.75" customHeight="1">
      <c r="A139" s="56"/>
      <c r="B139" s="56"/>
      <c r="C139" s="56"/>
      <c r="D139" s="56"/>
      <c r="E139" s="56"/>
      <c r="F139" s="56"/>
      <c r="G139" s="56"/>
      <c r="H139" s="56"/>
      <c r="I139" s="56"/>
      <c r="J139" s="56"/>
      <c r="K139" s="56"/>
      <c r="L139" s="56"/>
      <c r="M139" s="56"/>
      <c r="N139" s="56"/>
      <c r="O139" s="56"/>
      <c r="P139" s="56"/>
      <c r="Q139" s="56"/>
      <c r="R139" s="56"/>
      <c r="S139" s="56"/>
      <c r="T139" s="56"/>
      <c r="U139" s="56"/>
      <c r="V139" s="56"/>
      <c r="W139" s="56"/>
      <c r="X139" s="56"/>
      <c r="Y139" s="56"/>
      <c r="Z139" s="56"/>
    </row>
    <row r="140" spans="1:26" ht="15.75" customHeight="1">
      <c r="A140" s="56"/>
      <c r="B140" s="56"/>
      <c r="C140" s="56"/>
      <c r="D140" s="56"/>
      <c r="E140" s="56"/>
      <c r="F140" s="56"/>
      <c r="G140" s="56"/>
      <c r="H140" s="56"/>
      <c r="I140" s="56"/>
      <c r="J140" s="56"/>
      <c r="K140" s="56"/>
      <c r="L140" s="56"/>
      <c r="M140" s="56"/>
      <c r="N140" s="56"/>
      <c r="O140" s="56"/>
      <c r="P140" s="56"/>
      <c r="Q140" s="56"/>
      <c r="R140" s="56"/>
      <c r="S140" s="56"/>
      <c r="T140" s="56"/>
      <c r="U140" s="56"/>
      <c r="V140" s="56"/>
      <c r="W140" s="56"/>
      <c r="X140" s="56"/>
      <c r="Y140" s="56"/>
      <c r="Z140" s="56"/>
    </row>
    <row r="141" spans="1:26" ht="15.75" customHeight="1">
      <c r="A141" s="56"/>
      <c r="B141" s="56"/>
      <c r="C141" s="56"/>
      <c r="D141" s="56"/>
      <c r="E141" s="56"/>
      <c r="F141" s="56"/>
      <c r="G141" s="56"/>
      <c r="H141" s="56"/>
      <c r="I141" s="56"/>
      <c r="J141" s="56"/>
      <c r="K141" s="56"/>
      <c r="L141" s="56"/>
      <c r="M141" s="56"/>
      <c r="N141" s="56"/>
      <c r="O141" s="56"/>
      <c r="P141" s="56"/>
      <c r="Q141" s="56"/>
      <c r="R141" s="56"/>
      <c r="S141" s="56"/>
      <c r="T141" s="56"/>
      <c r="U141" s="56"/>
      <c r="V141" s="56"/>
      <c r="W141" s="56"/>
      <c r="X141" s="56"/>
      <c r="Y141" s="56"/>
      <c r="Z141" s="56"/>
    </row>
    <row r="142" spans="1:26" ht="15.75" customHeight="1">
      <c r="A142" s="56"/>
      <c r="B142" s="56"/>
      <c r="C142" s="56"/>
      <c r="D142" s="56"/>
      <c r="E142" s="56"/>
      <c r="F142" s="56"/>
      <c r="G142" s="56"/>
      <c r="H142" s="56"/>
      <c r="I142" s="56"/>
      <c r="J142" s="56"/>
      <c r="K142" s="56"/>
      <c r="L142" s="56"/>
      <c r="M142" s="56"/>
      <c r="N142" s="56"/>
      <c r="O142" s="56"/>
      <c r="P142" s="56"/>
      <c r="Q142" s="56"/>
      <c r="R142" s="56"/>
      <c r="S142" s="56"/>
      <c r="T142" s="56"/>
      <c r="U142" s="56"/>
      <c r="V142" s="56"/>
      <c r="W142" s="56"/>
      <c r="X142" s="56"/>
      <c r="Y142" s="56"/>
      <c r="Z142" s="56"/>
    </row>
    <row r="143" spans="1:26" ht="15.75" customHeight="1">
      <c r="A143" s="56"/>
      <c r="B143" s="56"/>
      <c r="C143" s="56"/>
      <c r="D143" s="56"/>
      <c r="E143" s="56"/>
      <c r="F143" s="56"/>
      <c r="G143" s="56"/>
      <c r="H143" s="56"/>
      <c r="I143" s="56"/>
      <c r="J143" s="56"/>
      <c r="K143" s="56"/>
      <c r="L143" s="56"/>
      <c r="M143" s="56"/>
      <c r="N143" s="56"/>
      <c r="O143" s="56"/>
      <c r="P143" s="56"/>
      <c r="Q143" s="56"/>
      <c r="R143" s="56"/>
      <c r="S143" s="56"/>
      <c r="T143" s="56"/>
      <c r="U143" s="56"/>
      <c r="V143" s="56"/>
      <c r="W143" s="56"/>
      <c r="X143" s="56"/>
      <c r="Y143" s="56"/>
      <c r="Z143" s="56"/>
    </row>
    <row r="144" spans="1:26" ht="15.75" customHeight="1">
      <c r="A144" s="56"/>
      <c r="B144" s="56"/>
      <c r="C144" s="56"/>
      <c r="D144" s="56"/>
      <c r="E144" s="56"/>
      <c r="F144" s="56"/>
      <c r="G144" s="56"/>
      <c r="H144" s="56"/>
      <c r="I144" s="56"/>
      <c r="J144" s="56"/>
      <c r="K144" s="56"/>
      <c r="L144" s="56"/>
      <c r="M144" s="56"/>
      <c r="N144" s="56"/>
      <c r="O144" s="56"/>
      <c r="P144" s="56"/>
      <c r="Q144" s="56"/>
      <c r="R144" s="56"/>
      <c r="S144" s="56"/>
      <c r="T144" s="56"/>
      <c r="U144" s="56"/>
      <c r="V144" s="56"/>
      <c r="W144" s="56"/>
      <c r="X144" s="56"/>
      <c r="Y144" s="56"/>
      <c r="Z144" s="56"/>
    </row>
    <row r="145" spans="1:26" ht="15.75" customHeight="1">
      <c r="A145" s="56"/>
      <c r="B145" s="56"/>
      <c r="C145" s="56"/>
      <c r="D145" s="56"/>
      <c r="E145" s="56"/>
      <c r="F145" s="56"/>
      <c r="G145" s="56"/>
      <c r="H145" s="56"/>
      <c r="I145" s="56"/>
      <c r="J145" s="56"/>
      <c r="K145" s="56"/>
      <c r="L145" s="56"/>
      <c r="M145" s="56"/>
      <c r="N145" s="56"/>
      <c r="O145" s="56"/>
      <c r="P145" s="56"/>
      <c r="Q145" s="56"/>
      <c r="R145" s="56"/>
      <c r="S145" s="56"/>
      <c r="T145" s="56"/>
      <c r="U145" s="56"/>
      <c r="V145" s="56"/>
      <c r="W145" s="56"/>
      <c r="X145" s="56"/>
      <c r="Y145" s="56"/>
      <c r="Z145" s="56"/>
    </row>
    <row r="146" spans="1:26" ht="15.75" customHeight="1">
      <c r="A146" s="56"/>
      <c r="B146" s="56"/>
      <c r="C146" s="56"/>
      <c r="D146" s="56"/>
      <c r="E146" s="56"/>
      <c r="F146" s="56"/>
      <c r="G146" s="56"/>
      <c r="H146" s="56"/>
      <c r="I146" s="56"/>
      <c r="J146" s="56"/>
      <c r="K146" s="56"/>
      <c r="L146" s="56"/>
      <c r="M146" s="56"/>
      <c r="N146" s="56"/>
      <c r="O146" s="56"/>
      <c r="P146" s="56"/>
      <c r="Q146" s="56"/>
      <c r="R146" s="56"/>
      <c r="S146" s="56"/>
      <c r="T146" s="56"/>
      <c r="U146" s="56"/>
      <c r="V146" s="56"/>
      <c r="W146" s="56"/>
      <c r="X146" s="56"/>
      <c r="Y146" s="56"/>
      <c r="Z146" s="56"/>
    </row>
    <row r="147" spans="1:26" ht="15.75" customHeight="1">
      <c r="A147" s="56"/>
      <c r="B147" s="56"/>
      <c r="C147" s="56"/>
      <c r="D147" s="56"/>
      <c r="E147" s="56"/>
      <c r="F147" s="56"/>
      <c r="G147" s="56"/>
      <c r="H147" s="56"/>
      <c r="I147" s="56"/>
      <c r="J147" s="56"/>
      <c r="K147" s="56"/>
      <c r="L147" s="56"/>
      <c r="M147" s="56" t="s">
        <v>66</v>
      </c>
      <c r="N147" s="56"/>
      <c r="O147" s="56"/>
      <c r="P147" s="56"/>
      <c r="Q147" s="56"/>
      <c r="R147" s="56"/>
      <c r="S147" s="56"/>
      <c r="T147" s="56"/>
      <c r="U147" s="56"/>
      <c r="V147" s="56"/>
      <c r="W147" s="56"/>
      <c r="X147" s="56"/>
      <c r="Y147" s="56"/>
      <c r="Z147" s="56"/>
    </row>
    <row r="148" spans="1:26" ht="15.75" customHeight="1">
      <c r="A148" s="56"/>
      <c r="B148" s="56"/>
      <c r="C148" s="56"/>
      <c r="D148" s="56"/>
      <c r="E148" s="56"/>
      <c r="F148" s="56"/>
      <c r="G148" s="56"/>
      <c r="H148" s="56"/>
      <c r="I148" s="56"/>
      <c r="J148" s="56"/>
      <c r="K148" s="56"/>
      <c r="L148" s="56"/>
      <c r="M148" s="56"/>
      <c r="N148" s="56"/>
      <c r="O148" s="56"/>
      <c r="P148" s="56"/>
      <c r="Q148" s="56"/>
      <c r="R148" s="56"/>
      <c r="S148" s="56"/>
      <c r="T148" s="56"/>
      <c r="U148" s="56"/>
      <c r="V148" s="56"/>
      <c r="W148" s="56"/>
      <c r="X148" s="56"/>
      <c r="Y148" s="56"/>
      <c r="Z148" s="56"/>
    </row>
    <row r="149" spans="1:26" ht="15.75" customHeight="1">
      <c r="A149" s="56"/>
      <c r="B149" s="56"/>
      <c r="C149" s="56"/>
      <c r="D149" s="56"/>
      <c r="E149" s="56"/>
      <c r="F149" s="56"/>
      <c r="G149" s="56"/>
      <c r="H149" s="56"/>
      <c r="I149" s="56"/>
      <c r="J149" s="56"/>
      <c r="K149" s="56"/>
      <c r="L149" s="56"/>
      <c r="M149" s="56"/>
      <c r="N149" s="56"/>
      <c r="O149" s="56"/>
      <c r="P149" s="56"/>
      <c r="Q149" s="56"/>
      <c r="R149" s="56"/>
      <c r="S149" s="56"/>
      <c r="T149" s="56"/>
      <c r="U149" s="56"/>
      <c r="V149" s="56"/>
      <c r="W149" s="56"/>
      <c r="X149" s="56"/>
      <c r="Y149" s="56"/>
      <c r="Z149" s="56"/>
    </row>
    <row r="150" spans="1:26" ht="15.75" customHeight="1">
      <c r="A150" s="56"/>
      <c r="B150" s="56"/>
      <c r="C150" s="56"/>
      <c r="D150" s="56"/>
      <c r="E150" s="56"/>
      <c r="F150" s="56"/>
      <c r="G150" s="56"/>
      <c r="H150" s="56"/>
      <c r="I150" s="56"/>
      <c r="J150" s="56"/>
      <c r="K150" s="56"/>
      <c r="L150" s="56"/>
      <c r="M150" s="56"/>
      <c r="N150" s="56"/>
      <c r="O150" s="56"/>
      <c r="P150" s="56"/>
      <c r="Q150" s="56"/>
      <c r="R150" s="56"/>
      <c r="S150" s="56"/>
      <c r="T150" s="56"/>
      <c r="U150" s="56"/>
      <c r="V150" s="56"/>
      <c r="W150" s="56"/>
      <c r="X150" s="56"/>
      <c r="Y150" s="56"/>
      <c r="Z150" s="56"/>
    </row>
    <row r="151" spans="1:26" ht="15.75" customHeight="1">
      <c r="A151" s="56"/>
      <c r="B151" s="56"/>
      <c r="C151" s="56"/>
      <c r="D151" s="56"/>
      <c r="E151" s="56"/>
      <c r="F151" s="56"/>
      <c r="G151" s="56"/>
      <c r="H151" s="56"/>
      <c r="I151" s="56"/>
      <c r="J151" s="56"/>
      <c r="K151" s="56"/>
      <c r="L151" s="56"/>
      <c r="M151" s="56"/>
      <c r="N151" s="56"/>
      <c r="O151" s="56"/>
      <c r="P151" s="56"/>
      <c r="Q151" s="56"/>
      <c r="R151" s="56"/>
      <c r="S151" s="56"/>
      <c r="T151" s="56"/>
      <c r="U151" s="56"/>
      <c r="V151" s="56"/>
      <c r="W151" s="56"/>
      <c r="X151" s="56"/>
      <c r="Y151" s="56"/>
      <c r="Z151" s="56"/>
    </row>
    <row r="152" spans="1:26" ht="15.75" customHeight="1">
      <c r="A152" s="56"/>
      <c r="B152" s="56"/>
      <c r="C152" s="56"/>
      <c r="D152" s="56"/>
      <c r="E152" s="56"/>
      <c r="F152" s="56"/>
      <c r="G152" s="56"/>
      <c r="H152" s="56"/>
      <c r="I152" s="56"/>
      <c r="J152" s="56"/>
      <c r="K152" s="56"/>
      <c r="L152" s="56"/>
      <c r="M152" s="56"/>
      <c r="N152" s="56"/>
      <c r="O152" s="56"/>
      <c r="P152" s="56"/>
      <c r="Q152" s="56"/>
      <c r="R152" s="56"/>
      <c r="S152" s="56"/>
      <c r="T152" s="56"/>
      <c r="U152" s="56"/>
      <c r="V152" s="56"/>
      <c r="W152" s="56"/>
      <c r="X152" s="56"/>
      <c r="Y152" s="56"/>
      <c r="Z152" s="56"/>
    </row>
    <row r="153" spans="1:26" ht="15.75" customHeight="1">
      <c r="A153" s="56"/>
      <c r="B153" s="56"/>
      <c r="C153" s="56"/>
      <c r="D153" s="56"/>
      <c r="E153" s="56"/>
      <c r="F153" s="56"/>
      <c r="G153" s="56"/>
      <c r="H153" s="56"/>
      <c r="I153" s="56"/>
      <c r="J153" s="56"/>
      <c r="K153" s="56"/>
      <c r="L153" s="56"/>
      <c r="M153" s="56"/>
      <c r="N153" s="56"/>
      <c r="O153" s="56"/>
      <c r="P153" s="56"/>
      <c r="Q153" s="56"/>
      <c r="R153" s="56"/>
      <c r="S153" s="56"/>
      <c r="T153" s="56"/>
      <c r="U153" s="56"/>
      <c r="V153" s="56"/>
      <c r="W153" s="56"/>
      <c r="X153" s="56"/>
      <c r="Y153" s="56"/>
      <c r="Z153" s="56"/>
    </row>
    <row r="154" spans="1:26" ht="15.75" customHeight="1">
      <c r="A154" s="56"/>
      <c r="B154" s="56"/>
      <c r="C154" s="56"/>
      <c r="D154" s="56"/>
      <c r="E154" s="56"/>
      <c r="F154" s="56"/>
      <c r="G154" s="56"/>
      <c r="H154" s="56"/>
      <c r="I154" s="56"/>
      <c r="J154" s="56"/>
      <c r="K154" s="56"/>
      <c r="L154" s="56"/>
      <c r="M154" s="56"/>
      <c r="N154" s="56"/>
      <c r="O154" s="56"/>
      <c r="P154" s="56"/>
      <c r="Q154" s="56"/>
      <c r="R154" s="56"/>
      <c r="S154" s="56"/>
      <c r="T154" s="56"/>
      <c r="U154" s="56"/>
      <c r="V154" s="56"/>
      <c r="W154" s="56"/>
      <c r="X154" s="56"/>
      <c r="Y154" s="56"/>
      <c r="Z154" s="56"/>
    </row>
    <row r="155" spans="1:26" ht="15.75" customHeight="1">
      <c r="A155" s="56"/>
      <c r="B155" s="56"/>
      <c r="C155" s="56"/>
      <c r="D155" s="56"/>
      <c r="E155" s="56"/>
      <c r="F155" s="56"/>
      <c r="G155" s="56"/>
      <c r="H155" s="56"/>
      <c r="I155" s="56"/>
      <c r="J155" s="56"/>
      <c r="K155" s="56"/>
      <c r="L155" s="56"/>
      <c r="M155" s="56"/>
      <c r="N155" s="56"/>
      <c r="O155" s="56"/>
      <c r="P155" s="56"/>
      <c r="Q155" s="56"/>
      <c r="R155" s="56"/>
      <c r="S155" s="56"/>
      <c r="T155" s="56"/>
      <c r="U155" s="56"/>
      <c r="V155" s="56"/>
      <c r="W155" s="56"/>
      <c r="X155" s="56"/>
      <c r="Y155" s="56"/>
      <c r="Z155" s="56"/>
    </row>
    <row r="156" spans="1:26" ht="15.75" customHeight="1">
      <c r="A156" s="56"/>
      <c r="B156" s="56"/>
      <c r="C156" s="56"/>
      <c r="D156" s="56"/>
      <c r="E156" s="56"/>
      <c r="F156" s="56"/>
      <c r="G156" s="56"/>
      <c r="H156" s="56"/>
      <c r="I156" s="56"/>
      <c r="J156" s="56"/>
      <c r="K156" s="56"/>
      <c r="L156" s="56"/>
      <c r="M156" s="56"/>
      <c r="N156" s="56"/>
      <c r="O156" s="56"/>
      <c r="P156" s="56"/>
      <c r="Q156" s="56"/>
      <c r="R156" s="56"/>
      <c r="S156" s="56"/>
      <c r="T156" s="56"/>
      <c r="U156" s="56"/>
      <c r="V156" s="56"/>
      <c r="W156" s="56"/>
      <c r="X156" s="56"/>
      <c r="Y156" s="56"/>
      <c r="Z156" s="56"/>
    </row>
    <row r="157" spans="1:26" ht="15.75" customHeight="1">
      <c r="A157" s="56"/>
      <c r="B157" s="56"/>
      <c r="C157" s="56"/>
      <c r="D157" s="56"/>
      <c r="E157" s="56"/>
      <c r="F157" s="56"/>
      <c r="G157" s="56"/>
      <c r="H157" s="56"/>
      <c r="I157" s="56"/>
      <c r="J157" s="56"/>
      <c r="K157" s="56"/>
      <c r="L157" s="56"/>
      <c r="M157" s="56"/>
      <c r="N157" s="56"/>
      <c r="O157" s="56"/>
      <c r="P157" s="56"/>
      <c r="Q157" s="56"/>
      <c r="R157" s="56"/>
      <c r="S157" s="56"/>
      <c r="T157" s="56"/>
      <c r="U157" s="56"/>
      <c r="V157" s="56"/>
      <c r="W157" s="56"/>
      <c r="X157" s="56"/>
      <c r="Y157" s="56"/>
      <c r="Z157" s="56"/>
    </row>
    <row r="158" spans="1:26" ht="15.75" customHeight="1">
      <c r="A158" s="56"/>
      <c r="B158" s="56"/>
      <c r="C158" s="56"/>
      <c r="D158" s="56"/>
      <c r="E158" s="56"/>
      <c r="F158" s="56"/>
      <c r="G158" s="56"/>
      <c r="H158" s="56"/>
      <c r="I158" s="56"/>
      <c r="J158" s="56"/>
      <c r="K158" s="56"/>
      <c r="L158" s="56"/>
      <c r="M158" s="56"/>
      <c r="N158" s="56"/>
      <c r="O158" s="56"/>
      <c r="P158" s="56"/>
      <c r="Q158" s="56"/>
      <c r="R158" s="56"/>
      <c r="S158" s="56"/>
      <c r="T158" s="56"/>
      <c r="U158" s="56"/>
      <c r="V158" s="56"/>
      <c r="W158" s="56"/>
      <c r="X158" s="56"/>
      <c r="Y158" s="56"/>
      <c r="Z158" s="56"/>
    </row>
    <row r="159" spans="1:26" ht="15.75" customHeight="1">
      <c r="A159" s="56"/>
      <c r="B159" s="56"/>
      <c r="C159" s="56"/>
      <c r="D159" s="56"/>
      <c r="E159" s="56"/>
      <c r="F159" s="56"/>
      <c r="G159" s="56"/>
      <c r="H159" s="56"/>
      <c r="I159" s="56"/>
      <c r="J159" s="56"/>
      <c r="K159" s="56"/>
      <c r="L159" s="56"/>
      <c r="M159" s="56"/>
      <c r="N159" s="56"/>
      <c r="O159" s="56"/>
      <c r="P159" s="56"/>
      <c r="Q159" s="56"/>
      <c r="R159" s="56"/>
      <c r="S159" s="56"/>
      <c r="T159" s="56"/>
      <c r="U159" s="56"/>
      <c r="V159" s="56"/>
      <c r="W159" s="56"/>
      <c r="X159" s="56"/>
      <c r="Y159" s="56"/>
      <c r="Z159" s="56"/>
    </row>
    <row r="160" spans="1:26" ht="15.75" customHeight="1">
      <c r="A160" s="56"/>
      <c r="B160" s="56"/>
      <c r="C160" s="56"/>
      <c r="D160" s="56"/>
      <c r="E160" s="56"/>
      <c r="F160" s="56"/>
      <c r="G160" s="56"/>
      <c r="H160" s="56"/>
      <c r="I160" s="56"/>
      <c r="J160" s="56"/>
      <c r="K160" s="56"/>
      <c r="L160" s="56"/>
      <c r="M160" s="56"/>
      <c r="N160" s="56"/>
      <c r="O160" s="56"/>
      <c r="P160" s="56"/>
      <c r="Q160" s="56"/>
      <c r="R160" s="56"/>
      <c r="S160" s="56"/>
      <c r="T160" s="56"/>
      <c r="U160" s="56"/>
      <c r="V160" s="56"/>
      <c r="W160" s="56"/>
      <c r="X160" s="56"/>
      <c r="Y160" s="56"/>
      <c r="Z160" s="56"/>
    </row>
    <row r="161" spans="1:26" ht="15.75" customHeight="1">
      <c r="A161" s="56"/>
      <c r="B161" s="56"/>
      <c r="C161" s="56"/>
      <c r="D161" s="56"/>
      <c r="E161" s="56"/>
      <c r="F161" s="56"/>
      <c r="G161" s="56"/>
      <c r="H161" s="56"/>
      <c r="I161" s="56"/>
      <c r="J161" s="56"/>
      <c r="K161" s="56"/>
      <c r="L161" s="56"/>
      <c r="M161" s="56"/>
      <c r="N161" s="56"/>
      <c r="O161" s="56"/>
      <c r="P161" s="56"/>
      <c r="Q161" s="56"/>
      <c r="R161" s="56"/>
      <c r="S161" s="56"/>
      <c r="T161" s="56"/>
      <c r="U161" s="56"/>
      <c r="V161" s="56"/>
      <c r="W161" s="56"/>
      <c r="X161" s="56"/>
      <c r="Y161" s="56"/>
      <c r="Z161" s="56"/>
    </row>
    <row r="162" spans="1:26" ht="15.75" customHeight="1">
      <c r="A162" s="56"/>
      <c r="B162" s="56"/>
      <c r="C162" s="56"/>
      <c r="D162" s="56"/>
      <c r="E162" s="56"/>
      <c r="F162" s="56"/>
      <c r="G162" s="56"/>
      <c r="H162" s="56"/>
      <c r="I162" s="56"/>
      <c r="J162" s="56"/>
      <c r="K162" s="56"/>
      <c r="L162" s="56"/>
      <c r="M162" s="56"/>
      <c r="N162" s="56"/>
      <c r="O162" s="56"/>
      <c r="P162" s="56"/>
      <c r="Q162" s="56"/>
      <c r="R162" s="56"/>
      <c r="S162" s="56"/>
      <c r="T162" s="56"/>
      <c r="U162" s="56"/>
      <c r="V162" s="56"/>
      <c r="W162" s="56"/>
      <c r="X162" s="56"/>
      <c r="Y162" s="56"/>
      <c r="Z162" s="56"/>
    </row>
    <row r="163" spans="1:26" ht="15.75" customHeight="1">
      <c r="A163" s="56"/>
      <c r="B163" s="56"/>
      <c r="C163" s="56"/>
      <c r="D163" s="56"/>
      <c r="E163" s="56"/>
      <c r="F163" s="56"/>
      <c r="G163" s="56"/>
      <c r="H163" s="56"/>
      <c r="I163" s="56"/>
      <c r="J163" s="56"/>
      <c r="K163" s="56"/>
      <c r="L163" s="56"/>
      <c r="M163" s="56"/>
      <c r="N163" s="56"/>
      <c r="O163" s="56"/>
      <c r="P163" s="56"/>
      <c r="Q163" s="56"/>
      <c r="R163" s="56"/>
      <c r="S163" s="56"/>
      <c r="T163" s="56"/>
      <c r="U163" s="56"/>
      <c r="V163" s="56"/>
      <c r="W163" s="56"/>
      <c r="X163" s="56"/>
      <c r="Y163" s="56"/>
      <c r="Z163" s="56"/>
    </row>
    <row r="164" spans="1:26" ht="15.75" customHeight="1">
      <c r="A164" s="56"/>
      <c r="B164" s="56"/>
      <c r="C164" s="56"/>
      <c r="D164" s="56"/>
      <c r="E164" s="56"/>
      <c r="F164" s="56"/>
      <c r="G164" s="56"/>
      <c r="H164" s="56"/>
      <c r="I164" s="56"/>
      <c r="J164" s="56"/>
      <c r="K164" s="56"/>
      <c r="L164" s="56"/>
      <c r="M164" s="56"/>
      <c r="N164" s="56"/>
      <c r="O164" s="56"/>
      <c r="P164" s="56"/>
      <c r="Q164" s="56"/>
      <c r="R164" s="56"/>
      <c r="S164" s="56"/>
      <c r="T164" s="56"/>
      <c r="U164" s="56"/>
      <c r="V164" s="56"/>
      <c r="W164" s="56"/>
      <c r="X164" s="56"/>
      <c r="Y164" s="56"/>
      <c r="Z164" s="56"/>
    </row>
    <row r="165" spans="1:26" ht="15.75" customHeight="1">
      <c r="A165" s="56"/>
      <c r="B165" s="56"/>
      <c r="C165" s="56"/>
      <c r="D165" s="56"/>
      <c r="E165" s="56"/>
      <c r="F165" s="56"/>
      <c r="G165" s="56"/>
      <c r="H165" s="56"/>
      <c r="I165" s="56"/>
      <c r="J165" s="56"/>
      <c r="K165" s="56"/>
      <c r="L165" s="56"/>
      <c r="M165" s="56"/>
      <c r="N165" s="56"/>
      <c r="O165" s="56"/>
      <c r="P165" s="56"/>
      <c r="Q165" s="56"/>
      <c r="R165" s="56"/>
      <c r="S165" s="56"/>
      <c r="T165" s="56"/>
      <c r="U165" s="56"/>
      <c r="V165" s="56"/>
      <c r="W165" s="56"/>
      <c r="X165" s="56"/>
      <c r="Y165" s="56"/>
      <c r="Z165" s="56"/>
    </row>
    <row r="166" spans="1:26" ht="15.75" customHeight="1">
      <c r="A166" s="56"/>
      <c r="B166" s="56"/>
      <c r="C166" s="56"/>
      <c r="D166" s="56"/>
      <c r="E166" s="56"/>
      <c r="F166" s="56"/>
      <c r="G166" s="56"/>
      <c r="H166" s="56"/>
      <c r="I166" s="56"/>
      <c r="J166" s="56"/>
      <c r="K166" s="56"/>
      <c r="L166" s="56"/>
      <c r="M166" s="56"/>
      <c r="N166" s="56"/>
      <c r="O166" s="56"/>
      <c r="P166" s="56"/>
      <c r="Q166" s="56"/>
      <c r="R166" s="56"/>
      <c r="S166" s="56"/>
      <c r="T166" s="56"/>
      <c r="U166" s="56"/>
      <c r="V166" s="56"/>
      <c r="W166" s="56"/>
      <c r="X166" s="56"/>
      <c r="Y166" s="56"/>
      <c r="Z166" s="56"/>
    </row>
    <row r="167" spans="1:26" ht="15.75" customHeight="1">
      <c r="A167" s="56"/>
      <c r="B167" s="56"/>
      <c r="C167" s="56"/>
      <c r="D167" s="56"/>
      <c r="E167" s="56"/>
      <c r="F167" s="56"/>
      <c r="G167" s="56"/>
      <c r="H167" s="56"/>
      <c r="I167" s="56"/>
      <c r="J167" s="56"/>
      <c r="K167" s="56"/>
      <c r="L167" s="56"/>
      <c r="M167" s="56"/>
      <c r="N167" s="56"/>
      <c r="O167" s="56"/>
      <c r="P167" s="56"/>
      <c r="Q167" s="56"/>
      <c r="R167" s="56"/>
      <c r="S167" s="56"/>
      <c r="T167" s="56"/>
      <c r="U167" s="56"/>
      <c r="V167" s="56"/>
      <c r="W167" s="56"/>
      <c r="X167" s="56"/>
      <c r="Y167" s="56"/>
      <c r="Z167" s="56"/>
    </row>
    <row r="168" spans="1:26" ht="15.75" customHeight="1">
      <c r="A168" s="56"/>
      <c r="B168" s="56"/>
      <c r="C168" s="56"/>
      <c r="D168" s="56"/>
      <c r="E168" s="56"/>
      <c r="F168" s="56"/>
      <c r="G168" s="56"/>
      <c r="H168" s="56"/>
      <c r="I168" s="56"/>
      <c r="J168" s="56"/>
      <c r="K168" s="56"/>
      <c r="L168" s="56"/>
      <c r="M168" s="56"/>
      <c r="N168" s="56"/>
      <c r="O168" s="56"/>
      <c r="P168" s="56"/>
      <c r="Q168" s="56"/>
      <c r="R168" s="56"/>
      <c r="S168" s="56"/>
      <c r="T168" s="56"/>
      <c r="U168" s="56"/>
      <c r="V168" s="56"/>
      <c r="W168" s="56"/>
      <c r="X168" s="56"/>
      <c r="Y168" s="56"/>
      <c r="Z168" s="56"/>
    </row>
    <row r="169" spans="1:26" ht="15.75" customHeight="1">
      <c r="A169" s="56"/>
      <c r="B169" s="56"/>
      <c r="C169" s="56"/>
      <c r="D169" s="56"/>
      <c r="E169" s="56"/>
      <c r="F169" s="56"/>
      <c r="G169" s="56"/>
      <c r="H169" s="56"/>
      <c r="I169" s="56"/>
      <c r="J169" s="56"/>
      <c r="K169" s="56"/>
      <c r="L169" s="56"/>
      <c r="M169" s="56"/>
      <c r="N169" s="56"/>
      <c r="O169" s="56"/>
      <c r="P169" s="56"/>
      <c r="Q169" s="56"/>
      <c r="R169" s="56"/>
      <c r="S169" s="56"/>
      <c r="T169" s="56"/>
      <c r="U169" s="56"/>
      <c r="V169" s="56"/>
      <c r="W169" s="56"/>
      <c r="X169" s="56"/>
      <c r="Y169" s="56"/>
      <c r="Z169" s="56"/>
    </row>
    <row r="170" spans="1:26" ht="15.75" customHeight="1">
      <c r="A170" s="56"/>
      <c r="B170" s="56"/>
      <c r="C170" s="56"/>
      <c r="D170" s="56"/>
      <c r="E170" s="56"/>
      <c r="F170" s="56"/>
      <c r="G170" s="56"/>
      <c r="H170" s="56"/>
      <c r="I170" s="56"/>
      <c r="J170" s="56"/>
      <c r="K170" s="56"/>
      <c r="L170" s="56"/>
      <c r="M170" s="56"/>
      <c r="N170" s="56"/>
      <c r="O170" s="56"/>
      <c r="P170" s="56"/>
      <c r="Q170" s="56"/>
      <c r="R170" s="56"/>
      <c r="S170" s="56"/>
      <c r="T170" s="56"/>
      <c r="U170" s="56"/>
      <c r="V170" s="56"/>
      <c r="W170" s="56"/>
      <c r="X170" s="56"/>
      <c r="Y170" s="56"/>
      <c r="Z170" s="56"/>
    </row>
    <row r="171" spans="1:26" ht="15.75" customHeight="1">
      <c r="A171" s="56"/>
      <c r="B171" s="56"/>
      <c r="C171" s="56"/>
      <c r="D171" s="56"/>
      <c r="E171" s="56"/>
      <c r="F171" s="56"/>
      <c r="G171" s="56"/>
      <c r="H171" s="56"/>
      <c r="I171" s="56"/>
      <c r="J171" s="56"/>
      <c r="K171" s="56"/>
      <c r="L171" s="56"/>
      <c r="M171" s="56"/>
      <c r="N171" s="56"/>
      <c r="O171" s="56"/>
      <c r="P171" s="56"/>
      <c r="Q171" s="56"/>
      <c r="R171" s="56"/>
      <c r="S171" s="56"/>
      <c r="T171" s="56"/>
      <c r="U171" s="56"/>
      <c r="V171" s="56"/>
      <c r="W171" s="56"/>
      <c r="X171" s="56"/>
      <c r="Y171" s="56"/>
      <c r="Z171" s="56"/>
    </row>
    <row r="172" spans="1:26" ht="15.75" customHeight="1">
      <c r="A172" s="56"/>
      <c r="B172" s="56"/>
      <c r="C172" s="56"/>
      <c r="D172" s="56"/>
      <c r="E172" s="56"/>
      <c r="F172" s="56"/>
      <c r="G172" s="56"/>
      <c r="H172" s="56"/>
      <c r="I172" s="56"/>
      <c r="J172" s="56"/>
      <c r="K172" s="56"/>
      <c r="L172" s="56"/>
      <c r="M172" s="56"/>
      <c r="N172" s="56"/>
      <c r="O172" s="56"/>
      <c r="P172" s="56"/>
      <c r="Q172" s="56"/>
      <c r="R172" s="56"/>
      <c r="S172" s="56"/>
      <c r="T172" s="56"/>
      <c r="U172" s="56"/>
      <c r="V172" s="56"/>
      <c r="W172" s="56"/>
      <c r="X172" s="56"/>
      <c r="Y172" s="56"/>
      <c r="Z172" s="56"/>
    </row>
    <row r="173" spans="1:26" ht="15.75" customHeight="1">
      <c r="A173" s="56"/>
      <c r="B173" s="56"/>
      <c r="C173" s="56"/>
      <c r="D173" s="56"/>
      <c r="E173" s="56"/>
      <c r="F173" s="56"/>
      <c r="G173" s="56"/>
      <c r="H173" s="56"/>
      <c r="I173" s="56"/>
      <c r="J173" s="56"/>
      <c r="K173" s="56"/>
      <c r="L173" s="56"/>
      <c r="M173" s="56"/>
      <c r="N173" s="56"/>
      <c r="O173" s="56"/>
      <c r="P173" s="56"/>
      <c r="Q173" s="56"/>
      <c r="R173" s="56"/>
      <c r="S173" s="56"/>
      <c r="T173" s="56"/>
      <c r="U173" s="56"/>
      <c r="V173" s="56"/>
      <c r="W173" s="56"/>
      <c r="X173" s="56"/>
      <c r="Y173" s="56"/>
      <c r="Z173" s="56"/>
    </row>
    <row r="174" spans="1:26" ht="15.75" customHeight="1">
      <c r="A174" s="56"/>
      <c r="B174" s="56"/>
      <c r="C174" s="56"/>
      <c r="D174" s="56"/>
      <c r="E174" s="56"/>
      <c r="F174" s="56"/>
      <c r="G174" s="56"/>
      <c r="H174" s="56"/>
      <c r="I174" s="56"/>
      <c r="J174" s="56"/>
      <c r="K174" s="56"/>
      <c r="L174" s="56"/>
      <c r="M174" s="56"/>
      <c r="N174" s="56"/>
      <c r="O174" s="56"/>
      <c r="P174" s="56"/>
      <c r="Q174" s="56"/>
      <c r="R174" s="56"/>
      <c r="S174" s="56"/>
      <c r="T174" s="56"/>
      <c r="U174" s="56"/>
      <c r="V174" s="56"/>
      <c r="W174" s="56"/>
      <c r="X174" s="56"/>
      <c r="Y174" s="56"/>
      <c r="Z174" s="56"/>
    </row>
    <row r="175" spans="1:26" ht="15.75" customHeight="1">
      <c r="A175" s="56"/>
      <c r="B175" s="56"/>
      <c r="C175" s="56"/>
      <c r="D175" s="56"/>
      <c r="E175" s="56"/>
      <c r="F175" s="56"/>
      <c r="G175" s="56"/>
      <c r="H175" s="56"/>
      <c r="I175" s="56"/>
      <c r="J175" s="56"/>
      <c r="K175" s="56"/>
      <c r="L175" s="56"/>
      <c r="M175" s="56"/>
      <c r="N175" s="56"/>
      <c r="O175" s="56"/>
      <c r="P175" s="56"/>
      <c r="Q175" s="56"/>
      <c r="R175" s="56"/>
      <c r="S175" s="56"/>
      <c r="T175" s="56"/>
      <c r="U175" s="56"/>
      <c r="V175" s="56"/>
      <c r="W175" s="56"/>
      <c r="X175" s="56"/>
      <c r="Y175" s="56"/>
      <c r="Z175" s="56"/>
    </row>
    <row r="176" spans="1:26" ht="15.75" customHeight="1">
      <c r="A176" s="56"/>
      <c r="B176" s="56"/>
      <c r="C176" s="56"/>
      <c r="D176" s="56"/>
      <c r="E176" s="56"/>
      <c r="F176" s="56"/>
      <c r="G176" s="56"/>
      <c r="H176" s="56"/>
      <c r="I176" s="56"/>
      <c r="J176" s="56"/>
      <c r="K176" s="56"/>
      <c r="L176" s="56"/>
      <c r="M176" s="56"/>
      <c r="N176" s="56"/>
      <c r="O176" s="56"/>
      <c r="P176" s="56"/>
      <c r="Q176" s="56"/>
      <c r="R176" s="56"/>
      <c r="S176" s="56"/>
      <c r="T176" s="56"/>
      <c r="U176" s="56"/>
      <c r="V176" s="56"/>
      <c r="W176" s="56"/>
      <c r="X176" s="56"/>
      <c r="Y176" s="56"/>
      <c r="Z176" s="56"/>
    </row>
    <row r="177" spans="1:26" ht="15.75" customHeight="1">
      <c r="A177" s="56"/>
      <c r="B177" s="56"/>
      <c r="C177" s="56"/>
      <c r="D177" s="56"/>
      <c r="E177" s="56"/>
      <c r="F177" s="56"/>
      <c r="G177" s="56"/>
      <c r="H177" s="56"/>
      <c r="I177" s="56"/>
      <c r="J177" s="56"/>
      <c r="K177" s="56"/>
      <c r="L177" s="56"/>
      <c r="M177" s="56"/>
      <c r="N177" s="56"/>
      <c r="O177" s="56"/>
      <c r="P177" s="56"/>
      <c r="Q177" s="56"/>
      <c r="R177" s="56"/>
      <c r="S177" s="56"/>
      <c r="T177" s="56"/>
      <c r="U177" s="56"/>
      <c r="V177" s="56"/>
      <c r="W177" s="56"/>
      <c r="X177" s="56"/>
      <c r="Y177" s="56"/>
      <c r="Z177" s="56"/>
    </row>
    <row r="178" spans="1:26" ht="15.75" customHeight="1">
      <c r="A178" s="56"/>
      <c r="B178" s="56"/>
      <c r="C178" s="56"/>
      <c r="D178" s="56"/>
      <c r="E178" s="56"/>
      <c r="F178" s="56"/>
      <c r="G178" s="56"/>
      <c r="H178" s="56"/>
      <c r="I178" s="56"/>
      <c r="J178" s="56"/>
      <c r="K178" s="56"/>
      <c r="L178" s="56"/>
      <c r="M178" s="56"/>
      <c r="N178" s="56"/>
      <c r="O178" s="56"/>
      <c r="P178" s="56"/>
      <c r="Q178" s="56"/>
      <c r="R178" s="56"/>
      <c r="S178" s="56"/>
      <c r="T178" s="56"/>
      <c r="U178" s="56"/>
      <c r="V178" s="56"/>
      <c r="W178" s="56"/>
      <c r="X178" s="56"/>
      <c r="Y178" s="56"/>
      <c r="Z178" s="56"/>
    </row>
    <row r="179" spans="1:26" ht="15.75" customHeight="1">
      <c r="A179" s="56"/>
      <c r="B179" s="56"/>
      <c r="C179" s="56"/>
      <c r="D179" s="56"/>
      <c r="E179" s="56"/>
      <c r="F179" s="56"/>
      <c r="G179" s="56"/>
      <c r="H179" s="56"/>
      <c r="I179" s="56"/>
      <c r="J179" s="56"/>
      <c r="K179" s="56"/>
      <c r="L179" s="56"/>
      <c r="M179" s="56"/>
      <c r="N179" s="56"/>
      <c r="O179" s="56"/>
      <c r="P179" s="56"/>
      <c r="Q179" s="56"/>
      <c r="R179" s="56"/>
      <c r="S179" s="56"/>
      <c r="T179" s="56"/>
      <c r="U179" s="56"/>
      <c r="V179" s="56"/>
      <c r="W179" s="56"/>
      <c r="X179" s="56"/>
      <c r="Y179" s="56"/>
      <c r="Z179" s="56"/>
    </row>
    <row r="180" spans="1:26" ht="15.75" customHeight="1">
      <c r="A180" s="56"/>
      <c r="B180" s="56"/>
      <c r="C180" s="56"/>
      <c r="D180" s="56"/>
      <c r="E180" s="56"/>
      <c r="F180" s="56"/>
      <c r="G180" s="56"/>
      <c r="H180" s="56"/>
      <c r="I180" s="56"/>
      <c r="J180" s="56"/>
      <c r="K180" s="56"/>
      <c r="L180" s="56"/>
      <c r="M180" s="56"/>
      <c r="N180" s="56"/>
      <c r="O180" s="56"/>
      <c r="P180" s="56"/>
      <c r="Q180" s="56"/>
      <c r="R180" s="56"/>
      <c r="S180" s="56"/>
      <c r="T180" s="56"/>
      <c r="U180" s="56"/>
      <c r="V180" s="56"/>
      <c r="W180" s="56"/>
      <c r="X180" s="56"/>
      <c r="Y180" s="56"/>
      <c r="Z180" s="56"/>
    </row>
    <row r="181" spans="1:26" ht="15.75" customHeight="1">
      <c r="A181" s="56"/>
      <c r="B181" s="56"/>
      <c r="C181" s="56"/>
      <c r="D181" s="56"/>
      <c r="E181" s="56"/>
      <c r="F181" s="56"/>
      <c r="G181" s="56"/>
      <c r="H181" s="56"/>
      <c r="I181" s="56"/>
      <c r="J181" s="56"/>
      <c r="K181" s="56"/>
      <c r="L181" s="56"/>
      <c r="M181" s="56"/>
      <c r="N181" s="56"/>
      <c r="O181" s="56"/>
      <c r="P181" s="56"/>
      <c r="Q181" s="56"/>
      <c r="R181" s="56"/>
      <c r="S181" s="56"/>
      <c r="T181" s="56"/>
      <c r="U181" s="56"/>
      <c r="V181" s="56"/>
      <c r="W181" s="56"/>
      <c r="X181" s="56"/>
      <c r="Y181" s="56"/>
      <c r="Z181" s="56"/>
    </row>
    <row r="182" spans="1:26" ht="15.75" customHeight="1">
      <c r="A182" s="56"/>
      <c r="B182" s="56"/>
      <c r="C182" s="56"/>
      <c r="D182" s="56"/>
      <c r="E182" s="56"/>
      <c r="F182" s="56"/>
      <c r="G182" s="56"/>
      <c r="H182" s="56"/>
      <c r="I182" s="56"/>
      <c r="J182" s="56"/>
      <c r="K182" s="56"/>
      <c r="L182" s="56"/>
      <c r="M182" s="56"/>
      <c r="N182" s="56"/>
      <c r="O182" s="56"/>
      <c r="P182" s="56"/>
      <c r="Q182" s="56"/>
      <c r="R182" s="56"/>
      <c r="S182" s="56"/>
      <c r="T182" s="56"/>
      <c r="U182" s="56"/>
      <c r="V182" s="56"/>
      <c r="W182" s="56"/>
      <c r="X182" s="56"/>
      <c r="Y182" s="56"/>
      <c r="Z182" s="56"/>
    </row>
    <row r="183" spans="1:26" ht="15.75" customHeight="1">
      <c r="A183" s="56"/>
      <c r="B183" s="56"/>
      <c r="C183" s="56"/>
      <c r="D183" s="56"/>
      <c r="E183" s="56"/>
      <c r="F183" s="56"/>
      <c r="G183" s="56"/>
      <c r="H183" s="56"/>
      <c r="I183" s="56"/>
      <c r="J183" s="56"/>
      <c r="K183" s="56"/>
      <c r="L183" s="56"/>
      <c r="M183" s="56"/>
      <c r="N183" s="56"/>
      <c r="O183" s="56"/>
      <c r="P183" s="56"/>
      <c r="Q183" s="56"/>
      <c r="R183" s="56"/>
      <c r="S183" s="56"/>
      <c r="T183" s="56"/>
      <c r="U183" s="56"/>
      <c r="V183" s="56"/>
      <c r="W183" s="56"/>
      <c r="X183" s="56"/>
      <c r="Y183" s="56"/>
      <c r="Z183" s="56"/>
    </row>
    <row r="184" spans="1:26" ht="15.75" customHeight="1">
      <c r="A184" s="56"/>
      <c r="B184" s="56"/>
      <c r="C184" s="56"/>
      <c r="D184" s="56"/>
      <c r="E184" s="56"/>
      <c r="F184" s="56"/>
      <c r="G184" s="56"/>
      <c r="H184" s="56"/>
      <c r="I184" s="56"/>
      <c r="J184" s="56"/>
      <c r="K184" s="56"/>
      <c r="L184" s="56"/>
      <c r="M184" s="56"/>
      <c r="N184" s="56"/>
      <c r="O184" s="56"/>
      <c r="P184" s="56"/>
      <c r="Q184" s="56"/>
      <c r="R184" s="56"/>
      <c r="S184" s="56"/>
      <c r="T184" s="56"/>
      <c r="U184" s="56"/>
      <c r="V184" s="56"/>
      <c r="W184" s="56"/>
      <c r="X184" s="56"/>
      <c r="Y184" s="56"/>
      <c r="Z184" s="56"/>
    </row>
    <row r="185" spans="1:26" ht="15.75" customHeight="1">
      <c r="A185" s="56"/>
      <c r="B185" s="56"/>
      <c r="C185" s="56"/>
      <c r="D185" s="56"/>
      <c r="E185" s="56"/>
      <c r="F185" s="56"/>
      <c r="G185" s="56"/>
      <c r="H185" s="56"/>
      <c r="I185" s="56"/>
      <c r="J185" s="56"/>
      <c r="K185" s="56"/>
      <c r="L185" s="56"/>
      <c r="M185" s="56"/>
      <c r="N185" s="56"/>
      <c r="O185" s="56"/>
      <c r="P185" s="56"/>
      <c r="Q185" s="56"/>
      <c r="R185" s="56"/>
      <c r="S185" s="56"/>
      <c r="T185" s="56"/>
      <c r="U185" s="56"/>
      <c r="V185" s="56"/>
      <c r="W185" s="56"/>
      <c r="X185" s="56"/>
      <c r="Y185" s="56"/>
      <c r="Z185" s="56"/>
    </row>
    <row r="186" spans="1:26" ht="15.75" customHeight="1">
      <c r="A186" s="56"/>
      <c r="B186" s="56"/>
      <c r="C186" s="56"/>
      <c r="D186" s="56"/>
      <c r="E186" s="56"/>
      <c r="F186" s="56"/>
      <c r="G186" s="56"/>
      <c r="H186" s="56"/>
      <c r="I186" s="56"/>
      <c r="J186" s="56"/>
      <c r="K186" s="56"/>
      <c r="L186" s="56"/>
      <c r="M186" s="56"/>
      <c r="N186" s="56"/>
      <c r="O186" s="56"/>
      <c r="P186" s="56"/>
      <c r="Q186" s="56"/>
      <c r="R186" s="56"/>
      <c r="S186" s="56"/>
      <c r="T186" s="56"/>
      <c r="U186" s="56"/>
      <c r="V186" s="56"/>
      <c r="W186" s="56"/>
      <c r="X186" s="56"/>
      <c r="Y186" s="56"/>
      <c r="Z186" s="56"/>
    </row>
    <row r="187" spans="1:26" ht="15.75" customHeight="1">
      <c r="A187" s="56"/>
      <c r="B187" s="56"/>
      <c r="C187" s="56"/>
      <c r="D187" s="56"/>
      <c r="E187" s="56"/>
      <c r="F187" s="56"/>
      <c r="G187" s="56"/>
      <c r="H187" s="56"/>
      <c r="I187" s="56"/>
      <c r="J187" s="56"/>
      <c r="K187" s="56"/>
      <c r="L187" s="56"/>
      <c r="M187" s="56"/>
      <c r="N187" s="56"/>
      <c r="O187" s="56"/>
      <c r="P187" s="56"/>
      <c r="Q187" s="56"/>
      <c r="R187" s="56"/>
      <c r="S187" s="56"/>
      <c r="T187" s="56"/>
      <c r="U187" s="56"/>
      <c r="V187" s="56"/>
      <c r="W187" s="56"/>
      <c r="X187" s="56"/>
      <c r="Y187" s="56"/>
      <c r="Z187" s="56"/>
    </row>
    <row r="188" spans="1:26" ht="15.75" customHeight="1">
      <c r="A188" s="56"/>
      <c r="B188" s="56"/>
      <c r="C188" s="56"/>
      <c r="D188" s="56"/>
      <c r="E188" s="56"/>
      <c r="F188" s="56"/>
      <c r="G188" s="56"/>
      <c r="H188" s="56"/>
      <c r="I188" s="56"/>
      <c r="J188" s="56"/>
      <c r="K188" s="56"/>
      <c r="L188" s="56"/>
      <c r="M188" s="56"/>
      <c r="N188" s="56"/>
      <c r="O188" s="56"/>
      <c r="P188" s="56"/>
      <c r="Q188" s="56"/>
      <c r="R188" s="56"/>
      <c r="S188" s="56"/>
      <c r="T188" s="56"/>
      <c r="U188" s="56"/>
      <c r="V188" s="56"/>
      <c r="W188" s="56"/>
      <c r="X188" s="56"/>
      <c r="Y188" s="56"/>
      <c r="Z188" s="56"/>
    </row>
    <row r="189" spans="1:26" ht="15.75" customHeight="1">
      <c r="A189" s="56"/>
      <c r="B189" s="56"/>
      <c r="C189" s="56"/>
      <c r="D189" s="56"/>
      <c r="E189" s="56"/>
      <c r="F189" s="56"/>
      <c r="G189" s="56"/>
      <c r="H189" s="56"/>
      <c r="I189" s="56"/>
      <c r="J189" s="56"/>
      <c r="K189" s="56"/>
      <c r="L189" s="56"/>
      <c r="M189" s="56"/>
      <c r="N189" s="56"/>
      <c r="O189" s="56"/>
      <c r="P189" s="56"/>
      <c r="Q189" s="56"/>
      <c r="R189" s="56"/>
      <c r="S189" s="56"/>
      <c r="T189" s="56"/>
      <c r="U189" s="56"/>
      <c r="V189" s="56"/>
      <c r="W189" s="56"/>
      <c r="X189" s="56"/>
      <c r="Y189" s="56"/>
      <c r="Z189" s="56"/>
    </row>
    <row r="190" spans="1:26" ht="15.75" customHeight="1">
      <c r="A190" s="56"/>
      <c r="B190" s="56"/>
      <c r="C190" s="56"/>
      <c r="D190" s="56"/>
      <c r="E190" s="56"/>
      <c r="F190" s="56"/>
      <c r="G190" s="56"/>
      <c r="H190" s="56"/>
      <c r="I190" s="56"/>
      <c r="J190" s="56"/>
      <c r="K190" s="56"/>
      <c r="L190" s="56"/>
      <c r="M190" s="56"/>
      <c r="N190" s="56"/>
      <c r="O190" s="56"/>
      <c r="P190" s="56"/>
      <c r="Q190" s="56"/>
      <c r="R190" s="56"/>
      <c r="S190" s="56"/>
      <c r="T190" s="56"/>
      <c r="U190" s="56"/>
      <c r="V190" s="56"/>
      <c r="W190" s="56"/>
      <c r="X190" s="56"/>
      <c r="Y190" s="56"/>
      <c r="Z190" s="56"/>
    </row>
    <row r="191" spans="1:26" ht="15.75" customHeight="1">
      <c r="A191" s="56"/>
      <c r="B191" s="56"/>
      <c r="C191" s="56"/>
      <c r="D191" s="56"/>
      <c r="E191" s="56"/>
      <c r="F191" s="56"/>
      <c r="G191" s="56"/>
      <c r="H191" s="56"/>
      <c r="I191" s="56"/>
      <c r="J191" s="56"/>
      <c r="K191" s="56"/>
      <c r="L191" s="56"/>
      <c r="M191" s="56"/>
      <c r="N191" s="56"/>
      <c r="O191" s="56"/>
      <c r="P191" s="56"/>
      <c r="Q191" s="56"/>
      <c r="R191" s="56"/>
      <c r="S191" s="56"/>
      <c r="T191" s="56"/>
      <c r="U191" s="56"/>
      <c r="V191" s="56"/>
      <c r="W191" s="56"/>
      <c r="X191" s="56"/>
      <c r="Y191" s="56"/>
      <c r="Z191" s="56"/>
    </row>
    <row r="192" spans="1:26" ht="15.75" customHeight="1">
      <c r="A192" s="56"/>
      <c r="B192" s="56"/>
      <c r="C192" s="56"/>
      <c r="D192" s="56"/>
      <c r="E192" s="56"/>
      <c r="F192" s="56"/>
      <c r="G192" s="56"/>
      <c r="H192" s="56"/>
      <c r="I192" s="56"/>
      <c r="J192" s="56"/>
      <c r="K192" s="56"/>
      <c r="L192" s="56"/>
      <c r="M192" s="56"/>
      <c r="N192" s="56"/>
      <c r="O192" s="56"/>
      <c r="P192" s="56"/>
      <c r="Q192" s="56"/>
      <c r="R192" s="56"/>
      <c r="S192" s="56"/>
      <c r="T192" s="56"/>
      <c r="U192" s="56"/>
      <c r="V192" s="56"/>
      <c r="W192" s="56"/>
      <c r="X192" s="56"/>
      <c r="Y192" s="56"/>
      <c r="Z192" s="56"/>
    </row>
    <row r="193" spans="1:26" ht="15.75" customHeight="1">
      <c r="A193" s="56"/>
      <c r="B193" s="56"/>
      <c r="C193" s="56"/>
      <c r="D193" s="56"/>
      <c r="E193" s="56"/>
      <c r="F193" s="56"/>
      <c r="G193" s="56"/>
      <c r="H193" s="56"/>
      <c r="I193" s="56"/>
      <c r="J193" s="56"/>
      <c r="K193" s="56"/>
      <c r="L193" s="56"/>
      <c r="M193" s="56"/>
      <c r="N193" s="56"/>
      <c r="O193" s="56"/>
      <c r="P193" s="56"/>
      <c r="Q193" s="56"/>
      <c r="R193" s="56"/>
      <c r="S193" s="56"/>
      <c r="T193" s="56"/>
      <c r="U193" s="56"/>
      <c r="V193" s="56"/>
      <c r="W193" s="56"/>
      <c r="X193" s="56"/>
      <c r="Y193" s="56"/>
      <c r="Z193" s="56"/>
    </row>
    <row r="194" spans="1:26" ht="15.75" customHeight="1">
      <c r="A194" s="56"/>
      <c r="B194" s="56"/>
      <c r="C194" s="56"/>
      <c r="D194" s="56"/>
      <c r="E194" s="56"/>
      <c r="F194" s="56"/>
      <c r="G194" s="56"/>
      <c r="H194" s="56"/>
      <c r="I194" s="56"/>
      <c r="J194" s="56"/>
      <c r="K194" s="56"/>
      <c r="L194" s="56"/>
      <c r="M194" s="56"/>
      <c r="N194" s="56"/>
      <c r="O194" s="56"/>
      <c r="P194" s="56"/>
      <c r="Q194" s="56"/>
      <c r="R194" s="56"/>
      <c r="S194" s="56"/>
      <c r="T194" s="56"/>
      <c r="U194" s="56"/>
      <c r="V194" s="56"/>
      <c r="W194" s="56"/>
      <c r="X194" s="56"/>
      <c r="Y194" s="56"/>
      <c r="Z194" s="56"/>
    </row>
    <row r="195" spans="1:26" ht="15.75" customHeight="1">
      <c r="A195" s="56"/>
      <c r="B195" s="56"/>
      <c r="C195" s="56"/>
      <c r="D195" s="56"/>
      <c r="E195" s="56"/>
      <c r="F195" s="56"/>
      <c r="G195" s="56"/>
      <c r="H195" s="56"/>
      <c r="I195" s="56"/>
      <c r="J195" s="56"/>
      <c r="K195" s="56"/>
      <c r="L195" s="56"/>
      <c r="M195" s="56"/>
      <c r="N195" s="56"/>
      <c r="O195" s="56"/>
      <c r="P195" s="56"/>
      <c r="Q195" s="56"/>
      <c r="R195" s="56"/>
      <c r="S195" s="56"/>
      <c r="T195" s="56"/>
      <c r="U195" s="56"/>
      <c r="V195" s="56"/>
      <c r="W195" s="56"/>
      <c r="X195" s="56"/>
      <c r="Y195" s="56"/>
      <c r="Z195" s="56"/>
    </row>
    <row r="196" spans="1:26" ht="15.75" customHeight="1">
      <c r="A196" s="56"/>
      <c r="B196" s="56"/>
      <c r="C196" s="56"/>
      <c r="D196" s="56"/>
      <c r="E196" s="56"/>
      <c r="F196" s="56"/>
      <c r="G196" s="56"/>
      <c r="H196" s="56"/>
      <c r="I196" s="56"/>
      <c r="J196" s="56"/>
      <c r="K196" s="56"/>
      <c r="L196" s="56"/>
      <c r="M196" s="56"/>
      <c r="N196" s="56"/>
      <c r="O196" s="56"/>
      <c r="P196" s="56"/>
      <c r="Q196" s="56"/>
      <c r="R196" s="56"/>
      <c r="S196" s="56"/>
      <c r="T196" s="56"/>
      <c r="U196" s="56"/>
      <c r="V196" s="56"/>
      <c r="W196" s="56"/>
      <c r="X196" s="56"/>
      <c r="Y196" s="56"/>
      <c r="Z196" s="56"/>
    </row>
    <row r="197" spans="1:26" ht="15.75" customHeight="1">
      <c r="A197" s="56"/>
      <c r="B197" s="56"/>
      <c r="C197" s="56"/>
      <c r="D197" s="56"/>
      <c r="E197" s="56"/>
      <c r="F197" s="56"/>
      <c r="G197" s="56"/>
      <c r="H197" s="56"/>
      <c r="I197" s="56"/>
      <c r="J197" s="56"/>
      <c r="K197" s="56"/>
      <c r="L197" s="56"/>
      <c r="M197" s="56"/>
      <c r="N197" s="56"/>
      <c r="O197" s="56"/>
      <c r="P197" s="56"/>
      <c r="Q197" s="56"/>
      <c r="R197" s="56"/>
      <c r="S197" s="56"/>
      <c r="T197" s="56"/>
      <c r="U197" s="56"/>
      <c r="V197" s="56"/>
      <c r="W197" s="56"/>
      <c r="X197" s="56"/>
      <c r="Y197" s="56"/>
      <c r="Z197" s="56"/>
    </row>
    <row r="198" spans="1:26" ht="15.75" customHeight="1">
      <c r="A198" s="56"/>
      <c r="B198" s="56"/>
      <c r="C198" s="56"/>
      <c r="D198" s="56"/>
      <c r="E198" s="56"/>
      <c r="F198" s="56"/>
      <c r="G198" s="56"/>
      <c r="H198" s="56"/>
      <c r="I198" s="56"/>
      <c r="J198" s="56"/>
      <c r="K198" s="56"/>
      <c r="L198" s="56"/>
      <c r="M198" s="56"/>
      <c r="N198" s="56"/>
      <c r="O198" s="56"/>
      <c r="P198" s="56"/>
      <c r="Q198" s="56"/>
      <c r="R198" s="56"/>
      <c r="S198" s="56"/>
      <c r="T198" s="56"/>
      <c r="U198" s="56"/>
      <c r="V198" s="56"/>
      <c r="W198" s="56"/>
      <c r="X198" s="56"/>
      <c r="Y198" s="56"/>
      <c r="Z198" s="56"/>
    </row>
    <row r="199" spans="1:26" ht="15.75" customHeight="1">
      <c r="A199" s="56"/>
      <c r="B199" s="56"/>
      <c r="C199" s="56"/>
      <c r="D199" s="56"/>
      <c r="E199" s="56"/>
      <c r="F199" s="56"/>
      <c r="G199" s="56"/>
      <c r="H199" s="56"/>
      <c r="I199" s="56"/>
      <c r="J199" s="56"/>
      <c r="K199" s="56"/>
      <c r="L199" s="56"/>
      <c r="M199" s="56"/>
      <c r="N199" s="56"/>
      <c r="O199" s="56"/>
      <c r="P199" s="56"/>
      <c r="Q199" s="56"/>
      <c r="R199" s="56"/>
      <c r="S199" s="56"/>
      <c r="T199" s="56"/>
      <c r="U199" s="56"/>
      <c r="V199" s="56"/>
      <c r="W199" s="56"/>
      <c r="X199" s="56"/>
      <c r="Y199" s="56"/>
      <c r="Z199" s="56"/>
    </row>
    <row r="200" spans="1:26" ht="15.75" customHeight="1">
      <c r="A200" s="56"/>
      <c r="B200" s="56"/>
      <c r="C200" s="56"/>
      <c r="D200" s="56"/>
      <c r="E200" s="56"/>
      <c r="F200" s="56"/>
      <c r="G200" s="56"/>
      <c r="H200" s="56"/>
      <c r="I200" s="56"/>
      <c r="J200" s="56"/>
      <c r="K200" s="56"/>
      <c r="L200" s="56"/>
      <c r="M200" s="56"/>
      <c r="N200" s="56"/>
      <c r="O200" s="56"/>
      <c r="P200" s="56"/>
      <c r="Q200" s="56"/>
      <c r="R200" s="56"/>
      <c r="S200" s="56"/>
      <c r="T200" s="56"/>
      <c r="U200" s="56"/>
      <c r="V200" s="56"/>
      <c r="W200" s="56"/>
      <c r="X200" s="56"/>
      <c r="Y200" s="56"/>
      <c r="Z200" s="56"/>
    </row>
    <row r="201" spans="1:26" ht="15.75" customHeight="1">
      <c r="A201" s="56"/>
      <c r="B201" s="56"/>
      <c r="C201" s="56"/>
      <c r="D201" s="56"/>
      <c r="E201" s="56"/>
      <c r="F201" s="56"/>
      <c r="G201" s="56"/>
      <c r="H201" s="56"/>
      <c r="I201" s="56"/>
      <c r="J201" s="56"/>
      <c r="K201" s="56"/>
      <c r="L201" s="56"/>
      <c r="M201" s="56"/>
      <c r="N201" s="56"/>
      <c r="O201" s="56"/>
      <c r="P201" s="56"/>
      <c r="Q201" s="56"/>
      <c r="R201" s="56"/>
      <c r="S201" s="56"/>
      <c r="T201" s="56"/>
      <c r="U201" s="56"/>
      <c r="V201" s="56"/>
      <c r="W201" s="56"/>
      <c r="X201" s="56"/>
      <c r="Y201" s="56"/>
      <c r="Z201" s="56"/>
    </row>
    <row r="202" spans="1:26" ht="15.75" customHeight="1">
      <c r="A202" s="56"/>
      <c r="B202" s="56"/>
      <c r="C202" s="56"/>
      <c r="D202" s="56"/>
      <c r="E202" s="56"/>
      <c r="F202" s="56"/>
      <c r="G202" s="56"/>
      <c r="H202" s="56"/>
      <c r="I202" s="56"/>
      <c r="J202" s="56"/>
      <c r="K202" s="56"/>
      <c r="L202" s="56"/>
      <c r="M202" s="56"/>
      <c r="N202" s="56"/>
      <c r="O202" s="56"/>
      <c r="P202" s="56"/>
      <c r="Q202" s="56"/>
      <c r="R202" s="56"/>
      <c r="S202" s="56"/>
      <c r="T202" s="56"/>
      <c r="U202" s="56"/>
      <c r="V202" s="56"/>
      <c r="W202" s="56"/>
      <c r="X202" s="56"/>
      <c r="Y202" s="56"/>
      <c r="Z202" s="56"/>
    </row>
    <row r="203" spans="1:26" ht="15.75" customHeight="1">
      <c r="A203" s="56"/>
      <c r="B203" s="56"/>
      <c r="C203" s="56"/>
      <c r="D203" s="56"/>
      <c r="E203" s="56"/>
      <c r="F203" s="56"/>
      <c r="G203" s="56"/>
      <c r="H203" s="56"/>
      <c r="I203" s="56"/>
      <c r="J203" s="56"/>
      <c r="K203" s="56"/>
      <c r="L203" s="56"/>
      <c r="M203" s="56"/>
      <c r="N203" s="56"/>
      <c r="O203" s="56"/>
      <c r="P203" s="56"/>
      <c r="Q203" s="56"/>
      <c r="R203" s="56"/>
      <c r="S203" s="56"/>
      <c r="T203" s="56"/>
      <c r="U203" s="56"/>
      <c r="V203" s="56"/>
      <c r="W203" s="56"/>
      <c r="X203" s="56"/>
      <c r="Y203" s="56"/>
      <c r="Z203" s="56"/>
    </row>
    <row r="204" spans="1:26" ht="15.75" customHeight="1">
      <c r="A204" s="56"/>
      <c r="B204" s="56"/>
      <c r="C204" s="56"/>
      <c r="D204" s="56"/>
      <c r="E204" s="56"/>
      <c r="F204" s="56"/>
      <c r="G204" s="56"/>
      <c r="H204" s="56"/>
      <c r="I204" s="56"/>
      <c r="J204" s="56"/>
      <c r="K204" s="56"/>
      <c r="L204" s="56"/>
      <c r="M204" s="56"/>
      <c r="N204" s="56"/>
      <c r="O204" s="56"/>
      <c r="P204" s="56"/>
      <c r="Q204" s="56"/>
      <c r="R204" s="56"/>
      <c r="S204" s="56"/>
      <c r="T204" s="56"/>
      <c r="U204" s="56"/>
      <c r="V204" s="56"/>
      <c r="W204" s="56"/>
      <c r="X204" s="56"/>
      <c r="Y204" s="56"/>
      <c r="Z204" s="56"/>
    </row>
    <row r="205" spans="1:26" ht="15.75" customHeight="1">
      <c r="A205" s="56"/>
      <c r="B205" s="56"/>
      <c r="C205" s="56"/>
      <c r="D205" s="56"/>
      <c r="E205" s="56"/>
      <c r="F205" s="56"/>
      <c r="G205" s="56"/>
      <c r="H205" s="56"/>
      <c r="I205" s="56"/>
      <c r="J205" s="56"/>
      <c r="K205" s="56"/>
      <c r="L205" s="56"/>
      <c r="M205" s="56"/>
      <c r="N205" s="56"/>
      <c r="O205" s="56"/>
      <c r="P205" s="56"/>
      <c r="Q205" s="56"/>
      <c r="R205" s="56"/>
      <c r="S205" s="56"/>
      <c r="T205" s="56"/>
      <c r="U205" s="56"/>
      <c r="V205" s="56"/>
      <c r="W205" s="56"/>
      <c r="X205" s="56"/>
      <c r="Y205" s="56"/>
      <c r="Z205" s="56"/>
    </row>
    <row r="206" spans="1:26" ht="15.75" customHeight="1">
      <c r="A206" s="56"/>
      <c r="B206" s="56"/>
      <c r="C206" s="56"/>
      <c r="D206" s="56"/>
      <c r="E206" s="56"/>
      <c r="F206" s="56"/>
      <c r="G206" s="56"/>
      <c r="H206" s="56"/>
      <c r="I206" s="56"/>
      <c r="J206" s="56"/>
      <c r="K206" s="56"/>
      <c r="L206" s="56"/>
      <c r="M206" s="56"/>
      <c r="N206" s="56"/>
      <c r="O206" s="56"/>
      <c r="P206" s="56"/>
      <c r="Q206" s="56"/>
      <c r="R206" s="56"/>
      <c r="S206" s="56"/>
      <c r="T206" s="56"/>
      <c r="U206" s="56"/>
      <c r="V206" s="56"/>
      <c r="W206" s="56"/>
      <c r="X206" s="56"/>
      <c r="Y206" s="56"/>
      <c r="Z206" s="56"/>
    </row>
    <row r="207" spans="1:26" ht="15.75" customHeight="1">
      <c r="A207" s="56"/>
      <c r="B207" s="56"/>
      <c r="C207" s="56"/>
      <c r="D207" s="56"/>
      <c r="E207" s="56"/>
      <c r="F207" s="56"/>
      <c r="G207" s="56"/>
      <c r="H207" s="56"/>
      <c r="I207" s="56"/>
      <c r="J207" s="56"/>
      <c r="K207" s="56"/>
      <c r="L207" s="56"/>
      <c r="M207" s="56"/>
      <c r="N207" s="56"/>
      <c r="O207" s="56"/>
      <c r="P207" s="56"/>
      <c r="Q207" s="56"/>
      <c r="R207" s="56"/>
      <c r="S207" s="56"/>
      <c r="T207" s="56"/>
      <c r="U207" s="56"/>
      <c r="V207" s="56"/>
      <c r="W207" s="56"/>
      <c r="X207" s="56"/>
      <c r="Y207" s="56"/>
      <c r="Z207" s="56"/>
    </row>
    <row r="208" spans="1:26" ht="15.75" customHeight="1">
      <c r="A208" s="56"/>
      <c r="B208" s="56"/>
      <c r="C208" s="56"/>
      <c r="D208" s="56"/>
      <c r="E208" s="56"/>
      <c r="F208" s="56"/>
      <c r="G208" s="56"/>
      <c r="H208" s="56"/>
      <c r="I208" s="56"/>
      <c r="J208" s="56"/>
      <c r="K208" s="56"/>
      <c r="L208" s="56"/>
      <c r="M208" s="56"/>
      <c r="N208" s="56"/>
      <c r="O208" s="56"/>
      <c r="P208" s="56"/>
      <c r="Q208" s="56"/>
      <c r="R208" s="56"/>
      <c r="S208" s="56"/>
      <c r="T208" s="56"/>
      <c r="U208" s="56"/>
      <c r="V208" s="56"/>
      <c r="W208" s="56"/>
      <c r="X208" s="56"/>
      <c r="Y208" s="56"/>
      <c r="Z208" s="56"/>
    </row>
    <row r="209" spans="1:26" ht="15.75" customHeight="1">
      <c r="A209" s="56"/>
      <c r="B209" s="56"/>
      <c r="C209" s="56"/>
      <c r="D209" s="56"/>
      <c r="E209" s="56"/>
      <c r="F209" s="56"/>
      <c r="G209" s="56"/>
      <c r="H209" s="56"/>
      <c r="I209" s="56"/>
      <c r="J209" s="56"/>
      <c r="K209" s="56"/>
      <c r="L209" s="56"/>
      <c r="M209" s="56"/>
      <c r="N209" s="56"/>
      <c r="O209" s="56"/>
      <c r="P209" s="56"/>
      <c r="Q209" s="56"/>
      <c r="R209" s="56"/>
      <c r="S209" s="56"/>
      <c r="T209" s="56"/>
      <c r="U209" s="56"/>
      <c r="V209" s="56"/>
      <c r="W209" s="56"/>
      <c r="X209" s="56"/>
      <c r="Y209" s="56"/>
      <c r="Z209" s="56"/>
    </row>
    <row r="210" spans="1:26" ht="15.75" customHeight="1">
      <c r="A210" s="56"/>
      <c r="B210" s="56"/>
      <c r="C210" s="56"/>
      <c r="D210" s="56"/>
      <c r="E210" s="56"/>
      <c r="F210" s="56"/>
      <c r="G210" s="56"/>
      <c r="H210" s="56"/>
      <c r="I210" s="56"/>
      <c r="J210" s="56"/>
      <c r="K210" s="56"/>
      <c r="L210" s="56"/>
      <c r="M210" s="56"/>
      <c r="N210" s="56"/>
      <c r="O210" s="56"/>
      <c r="P210" s="56"/>
      <c r="Q210" s="56"/>
      <c r="R210" s="56"/>
      <c r="S210" s="56"/>
      <c r="T210" s="56"/>
      <c r="U210" s="56"/>
      <c r="V210" s="56"/>
      <c r="W210" s="56"/>
      <c r="X210" s="56"/>
      <c r="Y210" s="56"/>
      <c r="Z210" s="56"/>
    </row>
    <row r="211" spans="1:26" ht="15.75" customHeight="1">
      <c r="A211" s="56"/>
      <c r="B211" s="56"/>
      <c r="C211" s="56"/>
      <c r="D211" s="56"/>
      <c r="E211" s="56"/>
      <c r="F211" s="56"/>
      <c r="G211" s="56"/>
      <c r="H211" s="56"/>
      <c r="I211" s="56"/>
      <c r="J211" s="56"/>
      <c r="K211" s="56"/>
      <c r="L211" s="56"/>
      <c r="M211" s="56"/>
      <c r="N211" s="56"/>
      <c r="O211" s="56"/>
      <c r="P211" s="56"/>
      <c r="Q211" s="56"/>
      <c r="R211" s="56"/>
      <c r="S211" s="56"/>
      <c r="T211" s="56"/>
      <c r="U211" s="56"/>
      <c r="V211" s="56"/>
      <c r="W211" s="56"/>
      <c r="X211" s="56"/>
      <c r="Y211" s="56"/>
      <c r="Z211" s="56"/>
    </row>
    <row r="212" spans="1:26" ht="15.75" customHeight="1">
      <c r="A212" s="56"/>
      <c r="B212" s="56"/>
      <c r="C212" s="56"/>
      <c r="D212" s="56"/>
      <c r="E212" s="56"/>
      <c r="F212" s="56"/>
      <c r="G212" s="56"/>
      <c r="H212" s="56"/>
      <c r="I212" s="56"/>
      <c r="J212" s="56"/>
      <c r="K212" s="56"/>
      <c r="L212" s="56"/>
      <c r="M212" s="56"/>
      <c r="N212" s="56"/>
      <c r="O212" s="56"/>
      <c r="P212" s="56"/>
      <c r="Q212" s="56"/>
      <c r="R212" s="56"/>
      <c r="S212" s="56"/>
      <c r="T212" s="56"/>
      <c r="U212" s="56"/>
      <c r="V212" s="56"/>
      <c r="W212" s="56"/>
      <c r="X212" s="56"/>
      <c r="Y212" s="56"/>
      <c r="Z212" s="56"/>
    </row>
    <row r="213" spans="1:26" ht="15.75" customHeight="1">
      <c r="A213" s="56"/>
      <c r="B213" s="56"/>
      <c r="C213" s="56"/>
      <c r="D213" s="56"/>
      <c r="E213" s="56"/>
      <c r="F213" s="56"/>
      <c r="G213" s="56"/>
      <c r="H213" s="56"/>
      <c r="I213" s="56"/>
      <c r="J213" s="56"/>
      <c r="K213" s="56"/>
      <c r="L213" s="56"/>
      <c r="M213" s="56"/>
      <c r="N213" s="56"/>
      <c r="O213" s="56"/>
      <c r="P213" s="56"/>
      <c r="Q213" s="56"/>
      <c r="R213" s="56"/>
      <c r="S213" s="56"/>
      <c r="T213" s="56"/>
      <c r="U213" s="56"/>
      <c r="V213" s="56"/>
      <c r="W213" s="56"/>
      <c r="X213" s="56"/>
      <c r="Y213" s="56"/>
      <c r="Z213" s="56"/>
    </row>
    <row r="214" spans="1:26" ht="15.75" customHeight="1">
      <c r="A214" s="56"/>
      <c r="B214" s="56"/>
      <c r="C214" s="56"/>
      <c r="D214" s="56"/>
      <c r="E214" s="56"/>
      <c r="F214" s="56"/>
      <c r="G214" s="56"/>
      <c r="H214" s="56"/>
      <c r="I214" s="56"/>
      <c r="J214" s="56"/>
      <c r="K214" s="56"/>
      <c r="L214" s="56"/>
      <c r="M214" s="56"/>
      <c r="N214" s="56"/>
      <c r="O214" s="56"/>
      <c r="P214" s="56"/>
      <c r="Q214" s="56"/>
      <c r="R214" s="56"/>
      <c r="S214" s="56"/>
      <c r="T214" s="56"/>
      <c r="U214" s="56"/>
      <c r="V214" s="56"/>
      <c r="W214" s="56"/>
      <c r="X214" s="56"/>
      <c r="Y214" s="56"/>
      <c r="Z214" s="56"/>
    </row>
    <row r="215" spans="1:26" ht="15.75" customHeight="1">
      <c r="A215" s="56"/>
      <c r="B215" s="56"/>
      <c r="C215" s="56"/>
      <c r="D215" s="56"/>
      <c r="E215" s="56"/>
      <c r="F215" s="56"/>
      <c r="G215" s="56"/>
      <c r="H215" s="56"/>
      <c r="I215" s="56"/>
      <c r="J215" s="56"/>
      <c r="K215" s="56"/>
      <c r="L215" s="56"/>
      <c r="M215" s="56"/>
      <c r="N215" s="56"/>
      <c r="O215" s="56"/>
      <c r="P215" s="56"/>
      <c r="Q215" s="56"/>
      <c r="R215" s="56"/>
      <c r="S215" s="56"/>
      <c r="T215" s="56"/>
      <c r="U215" s="56"/>
      <c r="V215" s="56"/>
      <c r="W215" s="56"/>
      <c r="X215" s="56"/>
      <c r="Y215" s="56"/>
      <c r="Z215" s="56"/>
    </row>
    <row r="216" spans="1:26" ht="15.75" customHeight="1">
      <c r="A216" s="56"/>
      <c r="B216" s="56"/>
      <c r="C216" s="56"/>
      <c r="D216" s="56"/>
      <c r="E216" s="56"/>
      <c r="F216" s="56"/>
      <c r="G216" s="56"/>
      <c r="H216" s="56"/>
      <c r="I216" s="56"/>
      <c r="J216" s="56"/>
      <c r="K216" s="56"/>
      <c r="L216" s="56"/>
      <c r="M216" s="56"/>
      <c r="N216" s="56"/>
      <c r="O216" s="56"/>
      <c r="P216" s="56"/>
      <c r="Q216" s="56"/>
      <c r="R216" s="56"/>
      <c r="S216" s="56"/>
      <c r="T216" s="56"/>
      <c r="U216" s="56"/>
      <c r="V216" s="56"/>
      <c r="W216" s="56"/>
      <c r="X216" s="56"/>
      <c r="Y216" s="56"/>
      <c r="Z216" s="56"/>
    </row>
    <row r="217" spans="1:26" ht="15.75" customHeight="1">
      <c r="A217" s="56"/>
      <c r="B217" s="56"/>
      <c r="C217" s="56"/>
      <c r="D217" s="56"/>
      <c r="E217" s="56"/>
      <c r="F217" s="56"/>
      <c r="G217" s="56"/>
      <c r="H217" s="56"/>
      <c r="I217" s="56"/>
      <c r="J217" s="56"/>
      <c r="K217" s="56"/>
      <c r="L217" s="56"/>
      <c r="M217" s="56"/>
      <c r="N217" s="56"/>
      <c r="O217" s="56"/>
      <c r="P217" s="56"/>
      <c r="Q217" s="56"/>
      <c r="R217" s="56"/>
      <c r="S217" s="56"/>
      <c r="T217" s="56"/>
      <c r="U217" s="56"/>
      <c r="V217" s="56"/>
      <c r="W217" s="56"/>
      <c r="X217" s="56"/>
      <c r="Y217" s="56"/>
      <c r="Z217" s="56"/>
    </row>
    <row r="218" spans="1:26" ht="15.75" customHeight="1">
      <c r="A218" s="56"/>
      <c r="B218" s="56"/>
      <c r="C218" s="56"/>
      <c r="D218" s="56"/>
      <c r="E218" s="56"/>
      <c r="F218" s="56"/>
      <c r="G218" s="56"/>
      <c r="H218" s="56"/>
      <c r="I218" s="56"/>
      <c r="J218" s="56"/>
      <c r="K218" s="56"/>
      <c r="L218" s="56"/>
      <c r="M218" s="56"/>
      <c r="N218" s="56"/>
      <c r="O218" s="56"/>
      <c r="P218" s="56"/>
      <c r="Q218" s="56"/>
      <c r="R218" s="56"/>
      <c r="S218" s="56"/>
      <c r="T218" s="56"/>
      <c r="U218" s="56"/>
      <c r="V218" s="56"/>
      <c r="W218" s="56"/>
      <c r="X218" s="56"/>
      <c r="Y218" s="56"/>
      <c r="Z218" s="56"/>
    </row>
    <row r="219" spans="1:26" ht="15.75" customHeight="1">
      <c r="A219" s="56"/>
      <c r="B219" s="56"/>
      <c r="C219" s="56"/>
      <c r="D219" s="56"/>
      <c r="E219" s="56"/>
      <c r="F219" s="56"/>
      <c r="G219" s="56"/>
      <c r="H219" s="56"/>
      <c r="I219" s="56"/>
      <c r="J219" s="56"/>
      <c r="K219" s="56"/>
      <c r="L219" s="56"/>
      <c r="M219" s="56"/>
      <c r="N219" s="56"/>
      <c r="O219" s="56"/>
      <c r="P219" s="56"/>
      <c r="Q219" s="56"/>
      <c r="R219" s="56"/>
      <c r="S219" s="56"/>
      <c r="T219" s="56"/>
      <c r="U219" s="56"/>
      <c r="V219" s="56"/>
      <c r="W219" s="56"/>
      <c r="X219" s="56"/>
      <c r="Y219" s="56"/>
      <c r="Z219" s="56"/>
    </row>
    <row r="220" spans="1:26" ht="15.75" customHeight="1">
      <c r="A220" s="56"/>
      <c r="B220" s="56"/>
      <c r="C220" s="56"/>
      <c r="D220" s="56"/>
      <c r="E220" s="56"/>
      <c r="F220" s="56"/>
      <c r="G220" s="56"/>
      <c r="H220" s="56"/>
      <c r="I220" s="56"/>
      <c r="J220" s="56"/>
      <c r="K220" s="56"/>
      <c r="L220" s="56"/>
      <c r="M220" s="56"/>
      <c r="N220" s="56"/>
      <c r="O220" s="56"/>
      <c r="P220" s="56"/>
      <c r="Q220" s="56"/>
      <c r="R220" s="56"/>
      <c r="S220" s="56"/>
      <c r="T220" s="56"/>
      <c r="U220" s="56"/>
      <c r="V220" s="56"/>
      <c r="W220" s="56"/>
      <c r="X220" s="56"/>
      <c r="Y220" s="56"/>
      <c r="Z220" s="56"/>
    </row>
    <row r="221" spans="1:26" ht="15.75" customHeight="1">
      <c r="A221" s="56"/>
      <c r="B221" s="56"/>
      <c r="C221" s="56"/>
      <c r="D221" s="56"/>
      <c r="E221" s="56"/>
      <c r="F221" s="56"/>
      <c r="G221" s="56"/>
      <c r="H221" s="56"/>
      <c r="I221" s="56"/>
      <c r="J221" s="56"/>
      <c r="K221" s="56"/>
      <c r="L221" s="56"/>
      <c r="M221" s="56"/>
      <c r="N221" s="56"/>
      <c r="O221" s="56"/>
      <c r="P221" s="56"/>
      <c r="Q221" s="56"/>
      <c r="R221" s="56"/>
      <c r="S221" s="56"/>
      <c r="T221" s="56"/>
      <c r="U221" s="56"/>
      <c r="V221" s="56"/>
      <c r="W221" s="56"/>
      <c r="X221" s="56"/>
      <c r="Y221" s="56"/>
      <c r="Z221" s="56"/>
    </row>
    <row r="222" spans="1:26" ht="15.75" customHeight="1">
      <c r="A222" s="56"/>
      <c r="B222" s="56"/>
      <c r="C222" s="56"/>
      <c r="D222" s="56"/>
      <c r="E222" s="56"/>
      <c r="F222" s="56"/>
      <c r="G222" s="56"/>
      <c r="H222" s="56"/>
      <c r="I222" s="56"/>
      <c r="J222" s="56"/>
      <c r="K222" s="56"/>
      <c r="L222" s="56"/>
      <c r="M222" s="56"/>
      <c r="N222" s="56"/>
      <c r="O222" s="56"/>
      <c r="P222" s="56"/>
      <c r="Q222" s="56"/>
      <c r="R222" s="56"/>
      <c r="S222" s="56"/>
      <c r="T222" s="56"/>
      <c r="U222" s="56"/>
      <c r="V222" s="56"/>
      <c r="W222" s="56"/>
      <c r="X222" s="56"/>
      <c r="Y222" s="56"/>
      <c r="Z222" s="56"/>
    </row>
    <row r="223" spans="1:26" ht="15.75" customHeight="1">
      <c r="A223" s="56"/>
      <c r="B223" s="56"/>
      <c r="C223" s="56"/>
      <c r="D223" s="56"/>
      <c r="E223" s="56"/>
      <c r="F223" s="56"/>
      <c r="G223" s="56"/>
      <c r="H223" s="56"/>
      <c r="I223" s="56"/>
      <c r="J223" s="56"/>
      <c r="K223" s="56"/>
      <c r="L223" s="56"/>
      <c r="M223" s="56"/>
      <c r="N223" s="56"/>
      <c r="O223" s="56"/>
      <c r="P223" s="56"/>
      <c r="Q223" s="56"/>
      <c r="R223" s="56"/>
      <c r="S223" s="56"/>
      <c r="T223" s="56"/>
      <c r="U223" s="56"/>
      <c r="V223" s="56"/>
      <c r="W223" s="56"/>
      <c r="X223" s="56"/>
      <c r="Y223" s="56"/>
      <c r="Z223" s="56"/>
    </row>
    <row r="224" spans="1:26" ht="15.75" customHeight="1">
      <c r="A224" s="56"/>
      <c r="B224" s="56"/>
      <c r="C224" s="56"/>
      <c r="D224" s="56"/>
      <c r="E224" s="56"/>
      <c r="F224" s="56"/>
      <c r="G224" s="56"/>
      <c r="H224" s="56"/>
      <c r="I224" s="56"/>
      <c r="J224" s="56"/>
      <c r="K224" s="56"/>
      <c r="L224" s="56"/>
      <c r="M224" s="56"/>
      <c r="N224" s="56"/>
      <c r="O224" s="56"/>
      <c r="P224" s="56"/>
      <c r="Q224" s="56"/>
      <c r="R224" s="56"/>
      <c r="S224" s="56"/>
      <c r="T224" s="56"/>
      <c r="U224" s="56"/>
      <c r="V224" s="56"/>
      <c r="W224" s="56"/>
      <c r="X224" s="56"/>
      <c r="Y224" s="56"/>
      <c r="Z224" s="56"/>
    </row>
    <row r="225" spans="1:26" ht="15.75" customHeight="1">
      <c r="A225" s="56"/>
      <c r="B225" s="56"/>
      <c r="C225" s="56"/>
      <c r="D225" s="56"/>
      <c r="E225" s="56"/>
      <c r="F225" s="56"/>
      <c r="G225" s="56"/>
      <c r="H225" s="56"/>
      <c r="I225" s="56"/>
      <c r="J225" s="56"/>
      <c r="K225" s="56"/>
      <c r="L225" s="56"/>
      <c r="M225" s="56"/>
      <c r="N225" s="56"/>
      <c r="O225" s="56"/>
      <c r="P225" s="56"/>
      <c r="Q225" s="56"/>
      <c r="R225" s="56"/>
      <c r="S225" s="56"/>
      <c r="T225" s="56"/>
      <c r="U225" s="56"/>
      <c r="V225" s="56"/>
      <c r="W225" s="56"/>
      <c r="X225" s="56"/>
      <c r="Y225" s="56"/>
      <c r="Z225" s="56"/>
    </row>
    <row r="226" spans="1:26" ht="15.75" customHeight="1">
      <c r="A226" s="56"/>
      <c r="B226" s="56"/>
      <c r="C226" s="56"/>
      <c r="D226" s="56"/>
      <c r="E226" s="56"/>
      <c r="F226" s="56"/>
      <c r="G226" s="56"/>
      <c r="H226" s="56"/>
      <c r="I226" s="56"/>
      <c r="J226" s="56"/>
      <c r="K226" s="56"/>
      <c r="L226" s="56"/>
      <c r="M226" s="56"/>
      <c r="N226" s="56"/>
      <c r="O226" s="56"/>
      <c r="P226" s="56"/>
      <c r="Q226" s="56"/>
      <c r="R226" s="56"/>
      <c r="S226" s="56"/>
      <c r="T226" s="56"/>
      <c r="U226" s="56"/>
      <c r="V226" s="56"/>
      <c r="W226" s="56"/>
      <c r="X226" s="56"/>
      <c r="Y226" s="56"/>
      <c r="Z226" s="56"/>
    </row>
    <row r="227" spans="1:26" ht="15.75" customHeight="1">
      <c r="A227" s="56"/>
      <c r="B227" s="56"/>
      <c r="C227" s="56"/>
      <c r="D227" s="56"/>
      <c r="E227" s="56"/>
      <c r="F227" s="56"/>
      <c r="G227" s="56"/>
      <c r="H227" s="56"/>
      <c r="I227" s="56"/>
      <c r="J227" s="56"/>
      <c r="K227" s="56"/>
      <c r="L227" s="56"/>
      <c r="M227" s="56"/>
      <c r="N227" s="56"/>
      <c r="O227" s="56"/>
      <c r="P227" s="56"/>
      <c r="Q227" s="56"/>
      <c r="R227" s="56"/>
      <c r="S227" s="56"/>
      <c r="T227" s="56"/>
      <c r="U227" s="56"/>
      <c r="V227" s="56"/>
      <c r="W227" s="56"/>
      <c r="X227" s="56"/>
      <c r="Y227" s="56"/>
      <c r="Z227" s="56"/>
    </row>
    <row r="228" spans="1:26" ht="15.75" customHeight="1">
      <c r="A228" s="56"/>
      <c r="B228" s="56"/>
      <c r="C228" s="56"/>
      <c r="D228" s="56"/>
      <c r="E228" s="56"/>
      <c r="F228" s="56"/>
      <c r="G228" s="56"/>
      <c r="H228" s="56"/>
      <c r="I228" s="56"/>
      <c r="J228" s="56"/>
      <c r="K228" s="56"/>
      <c r="L228" s="56"/>
      <c r="M228" s="56"/>
      <c r="N228" s="56"/>
      <c r="O228" s="56"/>
      <c r="P228" s="56"/>
      <c r="Q228" s="56"/>
      <c r="R228" s="56"/>
      <c r="S228" s="56"/>
      <c r="T228" s="56"/>
      <c r="U228" s="56"/>
      <c r="V228" s="56"/>
      <c r="W228" s="56"/>
      <c r="X228" s="56"/>
      <c r="Y228" s="56"/>
      <c r="Z228" s="56"/>
    </row>
    <row r="229" spans="1:26" ht="15.75" customHeight="1">
      <c r="A229" s="56"/>
      <c r="B229" s="56"/>
      <c r="C229" s="56"/>
      <c r="D229" s="56"/>
      <c r="E229" s="56"/>
      <c r="F229" s="56"/>
      <c r="G229" s="56"/>
      <c r="H229" s="56"/>
      <c r="I229" s="56"/>
      <c r="J229" s="56"/>
      <c r="K229" s="56"/>
      <c r="L229" s="56"/>
      <c r="M229" s="56"/>
      <c r="N229" s="56"/>
      <c r="O229" s="56"/>
      <c r="P229" s="56"/>
      <c r="Q229" s="56"/>
      <c r="R229" s="56"/>
      <c r="S229" s="56"/>
      <c r="T229" s="56"/>
      <c r="U229" s="56"/>
      <c r="V229" s="56"/>
      <c r="W229" s="56"/>
      <c r="X229" s="56"/>
      <c r="Y229" s="56"/>
      <c r="Z229" s="56"/>
    </row>
    <row r="230" spans="1:26" ht="15.75" customHeight="1">
      <c r="A230" s="56"/>
      <c r="B230" s="56"/>
      <c r="C230" s="56"/>
      <c r="D230" s="56"/>
      <c r="E230" s="56"/>
      <c r="F230" s="56"/>
      <c r="G230" s="56"/>
      <c r="H230" s="56"/>
      <c r="I230" s="56"/>
      <c r="J230" s="56"/>
      <c r="K230" s="56"/>
      <c r="L230" s="56"/>
      <c r="M230" s="56"/>
      <c r="N230" s="56"/>
      <c r="O230" s="56"/>
      <c r="P230" s="56"/>
      <c r="Q230" s="56"/>
      <c r="R230" s="56"/>
      <c r="S230" s="56"/>
      <c r="T230" s="56"/>
      <c r="U230" s="56"/>
      <c r="V230" s="56"/>
      <c r="W230" s="56"/>
      <c r="X230" s="56"/>
      <c r="Y230" s="56"/>
      <c r="Z230" s="56"/>
    </row>
    <row r="231" spans="1:26" ht="15.75" customHeight="1">
      <c r="A231" s="56"/>
      <c r="B231" s="56"/>
      <c r="C231" s="56"/>
      <c r="D231" s="56"/>
      <c r="E231" s="56"/>
      <c r="F231" s="56"/>
      <c r="G231" s="56"/>
      <c r="H231" s="56"/>
      <c r="I231" s="56"/>
      <c r="J231" s="56"/>
      <c r="K231" s="56"/>
      <c r="L231" s="56"/>
      <c r="M231" s="56"/>
      <c r="N231" s="56"/>
      <c r="O231" s="56"/>
      <c r="P231" s="56"/>
      <c r="Q231" s="56"/>
      <c r="R231" s="56"/>
      <c r="S231" s="56"/>
      <c r="T231" s="56"/>
      <c r="U231" s="56"/>
      <c r="V231" s="56"/>
      <c r="W231" s="56"/>
      <c r="X231" s="56"/>
      <c r="Y231" s="56"/>
      <c r="Z231" s="56"/>
    </row>
    <row r="232" spans="1:26" ht="15.75" customHeight="1">
      <c r="A232" s="56"/>
      <c r="B232" s="56"/>
      <c r="C232" s="56"/>
      <c r="D232" s="56"/>
      <c r="E232" s="56"/>
      <c r="F232" s="56"/>
      <c r="G232" s="56"/>
      <c r="H232" s="56"/>
      <c r="I232" s="56"/>
      <c r="J232" s="56"/>
      <c r="K232" s="56"/>
      <c r="L232" s="56"/>
      <c r="M232" s="56"/>
      <c r="N232" s="56"/>
      <c r="O232" s="56"/>
      <c r="P232" s="56"/>
      <c r="Q232" s="56"/>
      <c r="R232" s="56"/>
      <c r="S232" s="56"/>
      <c r="T232" s="56"/>
      <c r="U232" s="56"/>
      <c r="V232" s="56"/>
      <c r="W232" s="56"/>
      <c r="X232" s="56"/>
      <c r="Y232" s="56"/>
      <c r="Z232" s="56"/>
    </row>
    <row r="233" spans="1:26" ht="15.75" customHeight="1">
      <c r="A233" s="56"/>
      <c r="B233" s="56"/>
      <c r="C233" s="56"/>
      <c r="D233" s="56"/>
      <c r="E233" s="56"/>
      <c r="F233" s="56"/>
      <c r="G233" s="56"/>
      <c r="H233" s="56"/>
      <c r="I233" s="56"/>
      <c r="J233" s="56"/>
      <c r="K233" s="56"/>
      <c r="L233" s="56"/>
      <c r="M233" s="56"/>
      <c r="N233" s="56"/>
      <c r="O233" s="56"/>
      <c r="P233" s="56"/>
      <c r="Q233" s="56"/>
      <c r="R233" s="56"/>
      <c r="S233" s="56"/>
      <c r="T233" s="56"/>
      <c r="U233" s="56"/>
      <c r="V233" s="56"/>
      <c r="W233" s="56"/>
      <c r="X233" s="56"/>
      <c r="Y233" s="56"/>
      <c r="Z233" s="56"/>
    </row>
    <row r="234" spans="1:26" ht="15.75" customHeight="1">
      <c r="A234" s="56"/>
      <c r="B234" s="56"/>
      <c r="C234" s="56"/>
      <c r="D234" s="56"/>
      <c r="E234" s="56"/>
      <c r="F234" s="56"/>
      <c r="G234" s="56"/>
      <c r="H234" s="56"/>
      <c r="I234" s="56"/>
      <c r="J234" s="56"/>
      <c r="K234" s="56"/>
      <c r="L234" s="56"/>
      <c r="M234" s="56"/>
      <c r="N234" s="56"/>
      <c r="O234" s="56"/>
      <c r="P234" s="56"/>
      <c r="Q234" s="56"/>
      <c r="R234" s="56"/>
      <c r="S234" s="56"/>
      <c r="T234" s="56"/>
      <c r="U234" s="56"/>
      <c r="V234" s="56"/>
      <c r="W234" s="56"/>
      <c r="X234" s="56"/>
      <c r="Y234" s="56"/>
      <c r="Z234" s="56"/>
    </row>
    <row r="235" spans="1:26" ht="15.75" customHeight="1">
      <c r="A235" s="56"/>
      <c r="B235" s="56"/>
      <c r="C235" s="56"/>
      <c r="D235" s="56"/>
      <c r="E235" s="56"/>
      <c r="F235" s="56"/>
      <c r="G235" s="56"/>
      <c r="H235" s="56"/>
      <c r="I235" s="56"/>
      <c r="J235" s="56"/>
      <c r="K235" s="56"/>
      <c r="L235" s="56"/>
      <c r="M235" s="56"/>
      <c r="N235" s="56"/>
      <c r="O235" s="56"/>
      <c r="P235" s="56"/>
      <c r="Q235" s="56"/>
      <c r="R235" s="56"/>
      <c r="S235" s="56"/>
      <c r="T235" s="56"/>
      <c r="U235" s="56"/>
      <c r="V235" s="56"/>
      <c r="W235" s="56"/>
      <c r="X235" s="56"/>
      <c r="Y235" s="56"/>
      <c r="Z235" s="56"/>
    </row>
    <row r="236" spans="1:26" ht="15.75" customHeight="1">
      <c r="A236" s="56"/>
      <c r="B236" s="56"/>
      <c r="C236" s="56"/>
      <c r="D236" s="56"/>
      <c r="E236" s="56"/>
      <c r="F236" s="56"/>
      <c r="G236" s="56"/>
      <c r="H236" s="56"/>
      <c r="I236" s="56"/>
      <c r="J236" s="56"/>
      <c r="K236" s="56"/>
      <c r="L236" s="56"/>
      <c r="M236" s="56"/>
      <c r="N236" s="56"/>
      <c r="O236" s="56"/>
      <c r="P236" s="56"/>
      <c r="Q236" s="56"/>
      <c r="R236" s="56"/>
      <c r="S236" s="56"/>
      <c r="T236" s="56"/>
      <c r="U236" s="56"/>
      <c r="V236" s="56"/>
      <c r="W236" s="56"/>
      <c r="X236" s="56"/>
      <c r="Y236" s="56"/>
      <c r="Z236" s="56"/>
    </row>
    <row r="237" spans="1:26" ht="15.75" customHeight="1">
      <c r="A237" s="56"/>
      <c r="B237" s="56"/>
      <c r="C237" s="56"/>
      <c r="D237" s="56"/>
      <c r="E237" s="56"/>
      <c r="F237" s="56"/>
      <c r="G237" s="56"/>
      <c r="H237" s="56"/>
      <c r="I237" s="56"/>
      <c r="J237" s="56"/>
      <c r="K237" s="56"/>
      <c r="L237" s="56"/>
      <c r="M237" s="56"/>
      <c r="N237" s="56"/>
      <c r="O237" s="56"/>
      <c r="P237" s="56"/>
      <c r="Q237" s="56"/>
      <c r="R237" s="56"/>
      <c r="S237" s="56"/>
      <c r="T237" s="56"/>
      <c r="U237" s="56"/>
      <c r="V237" s="56"/>
      <c r="W237" s="56"/>
      <c r="X237" s="56"/>
      <c r="Y237" s="56"/>
      <c r="Z237" s="56"/>
    </row>
    <row r="238" spans="1:26" ht="15.75" customHeight="1">
      <c r="A238" s="56"/>
      <c r="B238" s="56"/>
      <c r="C238" s="56"/>
      <c r="D238" s="56"/>
      <c r="E238" s="56"/>
      <c r="F238" s="56"/>
      <c r="G238" s="56"/>
      <c r="H238" s="56"/>
      <c r="I238" s="56"/>
      <c r="J238" s="56"/>
      <c r="K238" s="56"/>
      <c r="L238" s="56"/>
      <c r="M238" s="56"/>
      <c r="N238" s="56"/>
      <c r="O238" s="56"/>
      <c r="P238" s="56"/>
      <c r="Q238" s="56"/>
      <c r="R238" s="56"/>
      <c r="S238" s="56"/>
      <c r="T238" s="56"/>
      <c r="U238" s="56"/>
      <c r="V238" s="56"/>
      <c r="W238" s="56"/>
      <c r="X238" s="56"/>
      <c r="Y238" s="56"/>
      <c r="Z238" s="56"/>
    </row>
    <row r="239" spans="1:26" ht="15.75" customHeight="1">
      <c r="A239" s="56"/>
      <c r="B239" s="56"/>
      <c r="C239" s="56"/>
      <c r="D239" s="56"/>
      <c r="E239" s="56"/>
      <c r="F239" s="56"/>
      <c r="G239" s="56"/>
      <c r="H239" s="56"/>
      <c r="I239" s="56"/>
      <c r="J239" s="56"/>
      <c r="K239" s="56"/>
      <c r="L239" s="56"/>
      <c r="M239" s="56"/>
      <c r="N239" s="56"/>
      <c r="O239" s="56"/>
      <c r="P239" s="56"/>
      <c r="Q239" s="56"/>
      <c r="R239" s="56"/>
      <c r="S239" s="56"/>
      <c r="T239" s="56"/>
      <c r="U239" s="56"/>
      <c r="V239" s="56"/>
      <c r="W239" s="56"/>
      <c r="X239" s="56"/>
      <c r="Y239" s="56"/>
      <c r="Z239" s="56"/>
    </row>
    <row r="240" spans="1:26" ht="15.75" customHeight="1">
      <c r="A240" s="56"/>
      <c r="B240" s="56"/>
      <c r="C240" s="56"/>
      <c r="D240" s="56"/>
      <c r="E240" s="56"/>
      <c r="F240" s="56"/>
      <c r="G240" s="56"/>
      <c r="H240" s="56"/>
      <c r="I240" s="56"/>
      <c r="J240" s="56"/>
      <c r="K240" s="56"/>
      <c r="L240" s="56"/>
      <c r="M240" s="56"/>
      <c r="N240" s="56"/>
      <c r="O240" s="56"/>
      <c r="P240" s="56"/>
      <c r="Q240" s="56"/>
      <c r="R240" s="56"/>
      <c r="S240" s="56"/>
      <c r="T240" s="56"/>
      <c r="U240" s="56"/>
      <c r="V240" s="56"/>
      <c r="W240" s="56"/>
      <c r="X240" s="56"/>
      <c r="Y240" s="56"/>
      <c r="Z240" s="56"/>
    </row>
    <row r="241" spans="1:26" ht="15.75" customHeight="1">
      <c r="A241" s="56"/>
      <c r="B241" s="56"/>
      <c r="C241" s="56"/>
      <c r="D241" s="56"/>
      <c r="E241" s="56"/>
      <c r="F241" s="56"/>
      <c r="G241" s="56"/>
      <c r="H241" s="56"/>
      <c r="I241" s="56"/>
      <c r="J241" s="56"/>
      <c r="K241" s="56"/>
      <c r="L241" s="56"/>
      <c r="M241" s="56"/>
      <c r="N241" s="56"/>
      <c r="O241" s="56"/>
      <c r="P241" s="56"/>
      <c r="Q241" s="56"/>
      <c r="R241" s="56"/>
      <c r="S241" s="56"/>
      <c r="T241" s="56"/>
      <c r="U241" s="56"/>
      <c r="V241" s="56"/>
      <c r="W241" s="56"/>
      <c r="X241" s="56"/>
      <c r="Y241" s="56"/>
      <c r="Z241" s="56"/>
    </row>
    <row r="242" spans="1:26" ht="15.75" customHeight="1">
      <c r="A242" s="56"/>
      <c r="B242" s="56"/>
      <c r="C242" s="56"/>
      <c r="D242" s="56"/>
      <c r="E242" s="56"/>
      <c r="F242" s="56"/>
      <c r="G242" s="56"/>
      <c r="H242" s="56"/>
      <c r="I242" s="56"/>
      <c r="J242" s="56"/>
      <c r="K242" s="56"/>
      <c r="L242" s="56"/>
      <c r="M242" s="56"/>
      <c r="N242" s="56"/>
      <c r="O242" s="56"/>
      <c r="P242" s="56"/>
      <c r="Q242" s="56"/>
      <c r="R242" s="56"/>
      <c r="S242" s="56"/>
      <c r="T242" s="56"/>
      <c r="U242" s="56"/>
      <c r="V242" s="56"/>
      <c r="W242" s="56"/>
      <c r="X242" s="56"/>
      <c r="Y242" s="56"/>
      <c r="Z242" s="56"/>
    </row>
    <row r="243" spans="1:26" ht="15.75" customHeight="1">
      <c r="A243" s="56"/>
      <c r="B243" s="56"/>
      <c r="C243" s="56"/>
      <c r="D243" s="56"/>
      <c r="E243" s="56"/>
      <c r="F243" s="56"/>
      <c r="G243" s="56"/>
      <c r="H243" s="56"/>
      <c r="I243" s="56"/>
      <c r="J243" s="56"/>
      <c r="K243" s="56"/>
      <c r="L243" s="56"/>
      <c r="M243" s="56"/>
      <c r="N243" s="56"/>
      <c r="O243" s="56"/>
      <c r="P243" s="56"/>
      <c r="Q243" s="56"/>
      <c r="R243" s="56"/>
      <c r="S243" s="56"/>
      <c r="T243" s="56"/>
      <c r="U243" s="56"/>
      <c r="V243" s="56"/>
      <c r="W243" s="56"/>
      <c r="X243" s="56"/>
      <c r="Y243" s="56"/>
      <c r="Z243" s="56"/>
    </row>
    <row r="244" spans="1:26" ht="15.75" customHeight="1">
      <c r="A244" s="56"/>
      <c r="B244" s="56"/>
      <c r="C244" s="56"/>
      <c r="D244" s="56"/>
      <c r="E244" s="56"/>
      <c r="F244" s="56"/>
      <c r="G244" s="56"/>
      <c r="H244" s="56"/>
      <c r="I244" s="56"/>
      <c r="J244" s="56"/>
      <c r="K244" s="56"/>
      <c r="L244" s="56"/>
      <c r="M244" s="56"/>
      <c r="N244" s="56"/>
      <c r="O244" s="56"/>
      <c r="P244" s="56"/>
      <c r="Q244" s="56"/>
      <c r="R244" s="56"/>
      <c r="S244" s="56"/>
      <c r="T244" s="56"/>
      <c r="U244" s="56"/>
      <c r="V244" s="56"/>
      <c r="W244" s="56"/>
      <c r="X244" s="56"/>
      <c r="Y244" s="56"/>
      <c r="Z244" s="56"/>
    </row>
    <row r="245" spans="1:26" ht="15.75" customHeight="1">
      <c r="A245" s="56"/>
      <c r="B245" s="56"/>
      <c r="C245" s="56"/>
      <c r="D245" s="56"/>
      <c r="E245" s="56"/>
      <c r="F245" s="56"/>
      <c r="G245" s="56"/>
      <c r="H245" s="56"/>
      <c r="I245" s="56"/>
      <c r="J245" s="56"/>
      <c r="K245" s="56"/>
      <c r="L245" s="56"/>
      <c r="M245" s="56"/>
      <c r="N245" s="56"/>
      <c r="O245" s="56"/>
      <c r="P245" s="56"/>
      <c r="Q245" s="56"/>
      <c r="R245" s="56"/>
      <c r="S245" s="56"/>
      <c r="T245" s="56"/>
      <c r="U245" s="56"/>
      <c r="V245" s="56"/>
      <c r="W245" s="56"/>
      <c r="X245" s="56"/>
      <c r="Y245" s="56"/>
      <c r="Z245" s="56"/>
    </row>
    <row r="246" spans="1:26" ht="15.75" customHeight="1">
      <c r="A246" s="56"/>
      <c r="B246" s="56"/>
      <c r="C246" s="56"/>
      <c r="D246" s="56"/>
      <c r="E246" s="56"/>
      <c r="F246" s="56"/>
      <c r="G246" s="56"/>
      <c r="H246" s="56"/>
      <c r="I246" s="56"/>
      <c r="J246" s="56"/>
      <c r="K246" s="56"/>
      <c r="L246" s="56"/>
      <c r="M246" s="56"/>
      <c r="N246" s="56"/>
      <c r="O246" s="56"/>
      <c r="P246" s="56"/>
      <c r="Q246" s="56"/>
      <c r="R246" s="56"/>
      <c r="S246" s="56"/>
      <c r="T246" s="56"/>
      <c r="U246" s="56"/>
      <c r="V246" s="56"/>
      <c r="W246" s="56"/>
      <c r="X246" s="56"/>
      <c r="Y246" s="56"/>
      <c r="Z246" s="56"/>
    </row>
    <row r="247" spans="1:26" ht="15.75" customHeight="1">
      <c r="A247" s="56"/>
      <c r="B247" s="56"/>
      <c r="C247" s="56"/>
      <c r="D247" s="56"/>
      <c r="E247" s="56"/>
      <c r="F247" s="56"/>
      <c r="G247" s="56"/>
      <c r="H247" s="56"/>
      <c r="I247" s="56"/>
      <c r="J247" s="56"/>
      <c r="K247" s="56"/>
      <c r="L247" s="56"/>
      <c r="M247" s="56"/>
      <c r="N247" s="56"/>
      <c r="O247" s="56"/>
      <c r="P247" s="56"/>
      <c r="Q247" s="56"/>
      <c r="R247" s="56"/>
      <c r="S247" s="56"/>
      <c r="T247" s="56"/>
      <c r="U247" s="56"/>
      <c r="V247" s="56"/>
      <c r="W247" s="56"/>
      <c r="X247" s="56"/>
      <c r="Y247" s="56"/>
      <c r="Z247" s="56"/>
    </row>
    <row r="248" spans="1:26" ht="15.75" customHeight="1">
      <c r="A248" s="56"/>
      <c r="B248" s="56"/>
      <c r="C248" s="56"/>
      <c r="D248" s="56"/>
      <c r="E248" s="56"/>
      <c r="F248" s="56"/>
      <c r="G248" s="56"/>
      <c r="H248" s="56"/>
      <c r="I248" s="56"/>
      <c r="J248" s="56"/>
      <c r="K248" s="56"/>
      <c r="L248" s="56"/>
      <c r="M248" s="56"/>
      <c r="N248" s="56"/>
      <c r="O248" s="56"/>
      <c r="P248" s="56"/>
      <c r="Q248" s="56"/>
      <c r="R248" s="56"/>
      <c r="S248" s="56"/>
      <c r="T248" s="56"/>
      <c r="U248" s="56"/>
      <c r="V248" s="56"/>
      <c r="W248" s="56"/>
      <c r="X248" s="56"/>
      <c r="Y248" s="56"/>
      <c r="Z248" s="56"/>
    </row>
    <row r="249" spans="1:26" ht="15.75" customHeight="1">
      <c r="A249" s="56"/>
      <c r="B249" s="56"/>
      <c r="C249" s="56"/>
      <c r="D249" s="56"/>
      <c r="E249" s="56"/>
      <c r="F249" s="56"/>
      <c r="G249" s="56"/>
      <c r="H249" s="56"/>
      <c r="I249" s="56"/>
      <c r="J249" s="56"/>
      <c r="K249" s="56"/>
      <c r="L249" s="56"/>
      <c r="M249" s="56"/>
      <c r="N249" s="56"/>
      <c r="O249" s="56"/>
      <c r="P249" s="56"/>
      <c r="Q249" s="56"/>
      <c r="R249" s="56"/>
      <c r="S249" s="56"/>
      <c r="T249" s="56"/>
      <c r="U249" s="56"/>
      <c r="V249" s="56"/>
      <c r="W249" s="56"/>
      <c r="X249" s="56"/>
      <c r="Y249" s="56"/>
      <c r="Z249" s="56"/>
    </row>
    <row r="250" spans="1:26" ht="15.75" customHeight="1">
      <c r="A250" s="56"/>
      <c r="B250" s="56"/>
      <c r="C250" s="56"/>
      <c r="D250" s="56"/>
      <c r="E250" s="56"/>
      <c r="F250" s="56"/>
      <c r="G250" s="56"/>
      <c r="H250" s="56"/>
      <c r="I250" s="56"/>
      <c r="J250" s="56"/>
      <c r="K250" s="56"/>
      <c r="L250" s="56"/>
      <c r="M250" s="56"/>
      <c r="N250" s="56"/>
      <c r="O250" s="56"/>
      <c r="P250" s="56"/>
      <c r="Q250" s="56"/>
      <c r="R250" s="56"/>
      <c r="S250" s="56"/>
      <c r="T250" s="56"/>
      <c r="U250" s="56"/>
      <c r="V250" s="56"/>
      <c r="W250" s="56"/>
      <c r="X250" s="56"/>
      <c r="Y250" s="56"/>
      <c r="Z250" s="56"/>
    </row>
    <row r="251" spans="1:26" ht="15.75" customHeight="1">
      <c r="A251" s="56"/>
      <c r="B251" s="56"/>
      <c r="C251" s="56"/>
      <c r="D251" s="56"/>
      <c r="E251" s="56"/>
      <c r="F251" s="56"/>
      <c r="G251" s="56"/>
      <c r="H251" s="56"/>
      <c r="I251" s="56"/>
      <c r="J251" s="56"/>
      <c r="K251" s="56"/>
      <c r="L251" s="56"/>
      <c r="M251" s="56"/>
      <c r="N251" s="56"/>
      <c r="O251" s="56"/>
      <c r="P251" s="56"/>
      <c r="Q251" s="56"/>
      <c r="R251" s="56"/>
      <c r="S251" s="56"/>
      <c r="T251" s="56"/>
      <c r="U251" s="56"/>
      <c r="V251" s="56"/>
      <c r="W251" s="56"/>
      <c r="X251" s="56"/>
      <c r="Y251" s="56"/>
      <c r="Z251" s="56"/>
    </row>
    <row r="252" spans="1:26" ht="15.75" customHeight="1">
      <c r="A252" s="56"/>
      <c r="B252" s="56"/>
      <c r="C252" s="56"/>
      <c r="D252" s="56"/>
      <c r="E252" s="56"/>
      <c r="F252" s="56"/>
      <c r="G252" s="56"/>
      <c r="H252" s="56"/>
      <c r="I252" s="56"/>
      <c r="J252" s="56"/>
      <c r="K252" s="56"/>
      <c r="L252" s="56"/>
      <c r="M252" s="56"/>
      <c r="N252" s="56"/>
      <c r="O252" s="56"/>
      <c r="P252" s="56"/>
      <c r="Q252" s="56"/>
      <c r="R252" s="56"/>
      <c r="S252" s="56"/>
      <c r="T252" s="56"/>
      <c r="U252" s="56"/>
      <c r="V252" s="56"/>
      <c r="W252" s="56"/>
      <c r="X252" s="56"/>
      <c r="Y252" s="56"/>
      <c r="Z252" s="56"/>
    </row>
    <row r="253" spans="1:26" ht="15.75" customHeight="1">
      <c r="A253" s="56"/>
      <c r="B253" s="56"/>
      <c r="C253" s="56"/>
      <c r="D253" s="56"/>
      <c r="E253" s="56"/>
      <c r="F253" s="56"/>
      <c r="G253" s="56"/>
      <c r="H253" s="56"/>
      <c r="I253" s="56"/>
      <c r="J253" s="56"/>
      <c r="K253" s="56"/>
      <c r="L253" s="56"/>
      <c r="M253" s="56"/>
      <c r="N253" s="56"/>
      <c r="O253" s="56"/>
      <c r="P253" s="56"/>
      <c r="Q253" s="56"/>
      <c r="R253" s="56"/>
      <c r="S253" s="56"/>
      <c r="T253" s="56"/>
      <c r="U253" s="56"/>
      <c r="V253" s="56"/>
      <c r="W253" s="56"/>
      <c r="X253" s="56"/>
      <c r="Y253" s="56"/>
      <c r="Z253" s="56"/>
    </row>
    <row r="254" spans="1:26" ht="15.75" customHeight="1">
      <c r="A254" s="56"/>
      <c r="B254" s="56"/>
      <c r="C254" s="56"/>
      <c r="D254" s="56"/>
      <c r="E254" s="56"/>
      <c r="F254" s="56"/>
      <c r="G254" s="56"/>
      <c r="H254" s="56"/>
      <c r="I254" s="56"/>
      <c r="J254" s="56"/>
      <c r="K254" s="56"/>
      <c r="L254" s="56"/>
      <c r="M254" s="56"/>
      <c r="N254" s="56"/>
      <c r="O254" s="56"/>
      <c r="P254" s="56"/>
      <c r="Q254" s="56"/>
      <c r="R254" s="56"/>
      <c r="S254" s="56"/>
      <c r="T254" s="56"/>
      <c r="U254" s="56"/>
      <c r="V254" s="56"/>
      <c r="W254" s="56"/>
      <c r="X254" s="56"/>
      <c r="Y254" s="56"/>
      <c r="Z254" s="56"/>
    </row>
    <row r="255" spans="1:26" ht="15.75" customHeight="1">
      <c r="A255" s="56"/>
      <c r="B255" s="56"/>
      <c r="C255" s="56"/>
      <c r="D255" s="56"/>
      <c r="E255" s="56"/>
      <c r="F255" s="56"/>
      <c r="G255" s="56"/>
      <c r="H255" s="56"/>
      <c r="I255" s="56"/>
      <c r="J255" s="56"/>
      <c r="K255" s="56"/>
      <c r="L255" s="56"/>
      <c r="M255" s="56"/>
      <c r="N255" s="56"/>
      <c r="O255" s="56"/>
      <c r="P255" s="56"/>
      <c r="Q255" s="56"/>
      <c r="R255" s="56"/>
      <c r="S255" s="56"/>
      <c r="T255" s="56"/>
      <c r="U255" s="56"/>
      <c r="V255" s="56"/>
      <c r="W255" s="56"/>
      <c r="X255" s="56"/>
      <c r="Y255" s="56"/>
      <c r="Z255" s="56"/>
    </row>
    <row r="256" spans="1:26" ht="15.75" customHeight="1">
      <c r="A256" s="56"/>
      <c r="B256" s="56"/>
      <c r="C256" s="56"/>
      <c r="D256" s="56"/>
      <c r="E256" s="56"/>
      <c r="F256" s="56"/>
      <c r="G256" s="56"/>
      <c r="H256" s="56"/>
      <c r="I256" s="56"/>
      <c r="J256" s="56"/>
      <c r="K256" s="56"/>
      <c r="L256" s="56"/>
      <c r="M256" s="56"/>
      <c r="N256" s="56"/>
      <c r="O256" s="56"/>
      <c r="P256" s="56"/>
      <c r="Q256" s="56"/>
      <c r="R256" s="56"/>
      <c r="S256" s="56"/>
      <c r="T256" s="56"/>
      <c r="U256" s="56"/>
      <c r="V256" s="56"/>
      <c r="W256" s="56"/>
      <c r="X256" s="56"/>
      <c r="Y256" s="56"/>
      <c r="Z256" s="56"/>
    </row>
    <row r="257" spans="1:26" ht="15.75" customHeight="1">
      <c r="A257" s="56"/>
      <c r="B257" s="56"/>
      <c r="C257" s="56"/>
      <c r="D257" s="56"/>
      <c r="E257" s="56"/>
      <c r="F257" s="56"/>
      <c r="G257" s="56"/>
      <c r="H257" s="56"/>
      <c r="I257" s="56"/>
      <c r="J257" s="56"/>
      <c r="K257" s="56"/>
      <c r="L257" s="56"/>
      <c r="M257" s="56"/>
      <c r="N257" s="56"/>
      <c r="O257" s="56"/>
      <c r="P257" s="56"/>
      <c r="Q257" s="56"/>
      <c r="R257" s="56"/>
      <c r="S257" s="56"/>
      <c r="T257" s="56"/>
      <c r="U257" s="56"/>
      <c r="V257" s="56"/>
      <c r="W257" s="56"/>
      <c r="X257" s="56"/>
      <c r="Y257" s="56"/>
      <c r="Z257" s="56"/>
    </row>
    <row r="258" spans="1:26" ht="15.75" customHeight="1">
      <c r="A258" s="56"/>
      <c r="B258" s="56"/>
      <c r="C258" s="56"/>
      <c r="D258" s="56"/>
      <c r="E258" s="56"/>
      <c r="F258" s="56"/>
      <c r="G258" s="56"/>
      <c r="H258" s="56"/>
      <c r="I258" s="56"/>
      <c r="J258" s="56"/>
      <c r="K258" s="56"/>
      <c r="L258" s="56"/>
      <c r="M258" s="56"/>
      <c r="N258" s="56"/>
      <c r="O258" s="56"/>
      <c r="P258" s="56"/>
      <c r="Q258" s="56"/>
      <c r="R258" s="56"/>
      <c r="S258" s="56"/>
      <c r="T258" s="56"/>
      <c r="U258" s="56"/>
      <c r="V258" s="56"/>
      <c r="W258" s="56"/>
      <c r="X258" s="56"/>
      <c r="Y258" s="56"/>
      <c r="Z258" s="56"/>
    </row>
    <row r="259" spans="1:26" ht="15.75" customHeight="1">
      <c r="A259" s="56"/>
      <c r="B259" s="56"/>
      <c r="C259" s="56"/>
      <c r="D259" s="56"/>
      <c r="E259" s="56"/>
      <c r="F259" s="56"/>
      <c r="G259" s="56"/>
      <c r="H259" s="56"/>
      <c r="I259" s="56"/>
      <c r="J259" s="56"/>
      <c r="K259" s="56"/>
      <c r="L259" s="56"/>
      <c r="M259" s="56"/>
      <c r="N259" s="56"/>
      <c r="O259" s="56"/>
      <c r="P259" s="56"/>
      <c r="Q259" s="56"/>
      <c r="R259" s="56"/>
      <c r="S259" s="56"/>
      <c r="T259" s="56"/>
      <c r="U259" s="56"/>
      <c r="V259" s="56"/>
      <c r="W259" s="56"/>
      <c r="X259" s="56"/>
      <c r="Y259" s="56"/>
      <c r="Z259" s="56"/>
    </row>
    <row r="260" spans="1:26" ht="15.75" customHeight="1">
      <c r="A260" s="56"/>
      <c r="B260" s="56"/>
      <c r="C260" s="56"/>
      <c r="D260" s="56"/>
      <c r="E260" s="56"/>
      <c r="F260" s="56"/>
      <c r="G260" s="56"/>
      <c r="H260" s="56"/>
      <c r="I260" s="56"/>
      <c r="J260" s="56"/>
      <c r="K260" s="56"/>
      <c r="L260" s="56"/>
      <c r="M260" s="56"/>
      <c r="N260" s="56"/>
      <c r="O260" s="56"/>
      <c r="P260" s="56"/>
      <c r="Q260" s="56"/>
      <c r="R260" s="56"/>
      <c r="S260" s="56"/>
      <c r="T260" s="56"/>
      <c r="U260" s="56"/>
      <c r="V260" s="56"/>
      <c r="W260" s="56"/>
      <c r="X260" s="56"/>
      <c r="Y260" s="56"/>
      <c r="Z260" s="56"/>
    </row>
    <row r="261" spans="1:26" ht="15.75" customHeight="1">
      <c r="A261" s="56"/>
      <c r="B261" s="56"/>
      <c r="C261" s="56"/>
      <c r="D261" s="56"/>
      <c r="E261" s="56"/>
      <c r="F261" s="56"/>
      <c r="G261" s="56"/>
      <c r="H261" s="56"/>
      <c r="I261" s="56"/>
      <c r="J261" s="56"/>
      <c r="K261" s="56"/>
      <c r="L261" s="56"/>
      <c r="M261" s="56"/>
      <c r="N261" s="56"/>
      <c r="O261" s="56"/>
      <c r="P261" s="56"/>
      <c r="Q261" s="56"/>
      <c r="R261" s="56"/>
      <c r="S261" s="56"/>
      <c r="T261" s="56"/>
      <c r="U261" s="56"/>
      <c r="V261" s="56"/>
      <c r="W261" s="56"/>
      <c r="X261" s="56"/>
      <c r="Y261" s="56"/>
      <c r="Z261" s="56"/>
    </row>
    <row r="262" spans="1:26" ht="15.75" customHeight="1">
      <c r="A262" s="56"/>
      <c r="B262" s="56"/>
      <c r="C262" s="56"/>
      <c r="D262" s="56"/>
      <c r="E262" s="56"/>
      <c r="F262" s="56"/>
      <c r="G262" s="56"/>
      <c r="H262" s="56"/>
      <c r="I262" s="56"/>
      <c r="J262" s="56"/>
      <c r="K262" s="56"/>
      <c r="L262" s="56"/>
      <c r="M262" s="56"/>
      <c r="N262" s="56"/>
      <c r="O262" s="56"/>
      <c r="P262" s="56"/>
      <c r="Q262" s="56"/>
      <c r="R262" s="56"/>
      <c r="S262" s="56"/>
      <c r="T262" s="56"/>
      <c r="U262" s="56"/>
      <c r="V262" s="56"/>
      <c r="W262" s="56"/>
      <c r="X262" s="56"/>
      <c r="Y262" s="56"/>
      <c r="Z262" s="56"/>
    </row>
    <row r="263" spans="1:26" ht="15.75" customHeight="1">
      <c r="A263" s="56"/>
      <c r="B263" s="56"/>
      <c r="C263" s="56"/>
      <c r="D263" s="56"/>
      <c r="E263" s="56"/>
      <c r="F263" s="56"/>
      <c r="G263" s="56"/>
      <c r="H263" s="56"/>
      <c r="I263" s="56"/>
      <c r="J263" s="56"/>
      <c r="K263" s="56"/>
      <c r="L263" s="56"/>
      <c r="M263" s="56"/>
      <c r="N263" s="56"/>
      <c r="O263" s="56"/>
      <c r="P263" s="56"/>
      <c r="Q263" s="56"/>
      <c r="R263" s="56"/>
      <c r="S263" s="56"/>
      <c r="T263" s="56"/>
      <c r="U263" s="56"/>
      <c r="V263" s="56"/>
      <c r="W263" s="56"/>
      <c r="X263" s="56"/>
      <c r="Y263" s="56"/>
      <c r="Z263" s="56"/>
    </row>
    <row r="264" spans="1:26" ht="15.75" customHeight="1">
      <c r="A264" s="56"/>
      <c r="B264" s="56"/>
      <c r="C264" s="56"/>
      <c r="D264" s="56"/>
      <c r="E264" s="56"/>
      <c r="F264" s="56"/>
      <c r="G264" s="56"/>
      <c r="H264" s="56"/>
      <c r="I264" s="56"/>
      <c r="J264" s="56"/>
      <c r="K264" s="56"/>
      <c r="L264" s="56"/>
      <c r="M264" s="56"/>
      <c r="N264" s="56"/>
      <c r="O264" s="56"/>
      <c r="P264" s="56"/>
      <c r="Q264" s="56"/>
      <c r="R264" s="56"/>
      <c r="S264" s="56"/>
      <c r="T264" s="56"/>
      <c r="U264" s="56"/>
      <c r="V264" s="56"/>
      <c r="W264" s="56"/>
      <c r="X264" s="56"/>
      <c r="Y264" s="56"/>
      <c r="Z264" s="56"/>
    </row>
    <row r="265" spans="1:26" ht="15.75" customHeight="1">
      <c r="A265" s="56"/>
      <c r="B265" s="56"/>
      <c r="C265" s="56"/>
      <c r="D265" s="56"/>
      <c r="E265" s="56"/>
      <c r="F265" s="56"/>
      <c r="G265" s="56"/>
      <c r="H265" s="56"/>
      <c r="I265" s="56"/>
      <c r="J265" s="56"/>
      <c r="K265" s="56"/>
      <c r="L265" s="56"/>
      <c r="M265" s="56"/>
      <c r="N265" s="56"/>
      <c r="O265" s="56"/>
      <c r="P265" s="56"/>
      <c r="Q265" s="56"/>
      <c r="R265" s="56"/>
      <c r="S265" s="56"/>
      <c r="T265" s="56"/>
      <c r="U265" s="56"/>
      <c r="V265" s="56"/>
      <c r="W265" s="56"/>
      <c r="X265" s="56"/>
      <c r="Y265" s="56"/>
      <c r="Z265" s="56"/>
    </row>
    <row r="266" spans="1:26" ht="15.75" customHeight="1">
      <c r="A266" s="56"/>
      <c r="B266" s="56"/>
      <c r="C266" s="56"/>
      <c r="D266" s="56"/>
      <c r="E266" s="56"/>
      <c r="F266" s="56"/>
      <c r="G266" s="56"/>
      <c r="H266" s="56"/>
      <c r="I266" s="56"/>
      <c r="J266" s="56"/>
      <c r="K266" s="56"/>
      <c r="L266" s="56"/>
      <c r="M266" s="56"/>
      <c r="N266" s="56"/>
      <c r="O266" s="56"/>
      <c r="P266" s="56"/>
      <c r="Q266" s="56"/>
      <c r="R266" s="56"/>
      <c r="S266" s="56"/>
      <c r="T266" s="56"/>
      <c r="U266" s="56"/>
      <c r="V266" s="56"/>
      <c r="W266" s="56"/>
      <c r="X266" s="56"/>
      <c r="Y266" s="56"/>
      <c r="Z266" s="56"/>
    </row>
    <row r="267" spans="1:26" ht="15.75" customHeight="1">
      <c r="A267" s="56"/>
      <c r="B267" s="56"/>
      <c r="C267" s="56"/>
      <c r="D267" s="56"/>
      <c r="E267" s="56"/>
      <c r="F267" s="56"/>
      <c r="G267" s="56"/>
      <c r="H267" s="56"/>
      <c r="I267" s="56"/>
      <c r="J267" s="56"/>
      <c r="K267" s="56"/>
      <c r="L267" s="56"/>
      <c r="M267" s="56"/>
      <c r="N267" s="56"/>
      <c r="O267" s="56"/>
      <c r="P267" s="56"/>
      <c r="Q267" s="56"/>
      <c r="R267" s="56"/>
      <c r="S267" s="56"/>
      <c r="T267" s="56"/>
      <c r="U267" s="56"/>
      <c r="V267" s="56"/>
      <c r="W267" s="56"/>
      <c r="X267" s="56"/>
      <c r="Y267" s="56"/>
      <c r="Z267" s="56"/>
    </row>
    <row r="268" spans="1:26" ht="15.75" customHeight="1">
      <c r="A268" s="56"/>
      <c r="B268" s="56"/>
      <c r="C268" s="56"/>
      <c r="D268" s="56"/>
      <c r="E268" s="56"/>
      <c r="F268" s="56"/>
      <c r="G268" s="56"/>
      <c r="H268" s="56"/>
      <c r="I268" s="56"/>
      <c r="J268" s="56"/>
      <c r="K268" s="56"/>
      <c r="L268" s="56"/>
      <c r="M268" s="56"/>
      <c r="N268" s="56"/>
      <c r="O268" s="56"/>
      <c r="P268" s="56"/>
      <c r="Q268" s="56"/>
      <c r="R268" s="56"/>
      <c r="S268" s="56"/>
      <c r="T268" s="56"/>
      <c r="U268" s="56"/>
      <c r="V268" s="56"/>
      <c r="W268" s="56"/>
      <c r="X268" s="56"/>
      <c r="Y268" s="56"/>
      <c r="Z268" s="56"/>
    </row>
    <row r="269" spans="1:26" ht="15.75" customHeight="1">
      <c r="A269" s="56"/>
      <c r="B269" s="56"/>
      <c r="C269" s="56"/>
      <c r="D269" s="56"/>
      <c r="E269" s="56"/>
      <c r="F269" s="56"/>
      <c r="G269" s="56"/>
      <c r="H269" s="56"/>
      <c r="I269" s="56"/>
      <c r="J269" s="56"/>
      <c r="K269" s="56"/>
      <c r="L269" s="56"/>
      <c r="M269" s="56"/>
      <c r="N269" s="56"/>
      <c r="O269" s="56"/>
      <c r="P269" s="56"/>
      <c r="Q269" s="56"/>
      <c r="R269" s="56"/>
      <c r="S269" s="56"/>
      <c r="T269" s="56"/>
      <c r="U269" s="56"/>
      <c r="V269" s="56"/>
      <c r="W269" s="56"/>
      <c r="X269" s="56"/>
      <c r="Y269" s="56"/>
      <c r="Z269" s="56"/>
    </row>
    <row r="270" spans="1:26" ht="15.75" customHeight="1">
      <c r="A270" s="56"/>
      <c r="B270" s="56"/>
      <c r="C270" s="56"/>
      <c r="D270" s="56"/>
      <c r="E270" s="56"/>
      <c r="F270" s="56"/>
      <c r="G270" s="56"/>
      <c r="H270" s="56"/>
      <c r="I270" s="56"/>
      <c r="J270" s="56"/>
      <c r="K270" s="56"/>
      <c r="L270" s="56"/>
      <c r="M270" s="56"/>
      <c r="N270" s="56"/>
      <c r="O270" s="56"/>
      <c r="P270" s="56"/>
      <c r="Q270" s="56"/>
      <c r="R270" s="56"/>
      <c r="S270" s="56"/>
      <c r="T270" s="56"/>
      <c r="U270" s="56"/>
      <c r="V270" s="56"/>
      <c r="W270" s="56"/>
      <c r="X270" s="56"/>
      <c r="Y270" s="56"/>
      <c r="Z270" s="56"/>
    </row>
    <row r="271" spans="1:26" ht="15.75" customHeight="1">
      <c r="A271" s="56"/>
      <c r="B271" s="56"/>
      <c r="C271" s="56"/>
      <c r="D271" s="56"/>
      <c r="E271" s="56"/>
      <c r="F271" s="56"/>
      <c r="G271" s="56"/>
      <c r="H271" s="56"/>
      <c r="I271" s="56"/>
      <c r="J271" s="56"/>
      <c r="K271" s="56"/>
      <c r="L271" s="56"/>
      <c r="M271" s="56"/>
      <c r="N271" s="56"/>
      <c r="O271" s="56"/>
      <c r="P271" s="56"/>
      <c r="Q271" s="56"/>
      <c r="R271" s="56"/>
      <c r="S271" s="56"/>
      <c r="T271" s="56"/>
      <c r="U271" s="56"/>
      <c r="V271" s="56"/>
      <c r="W271" s="56"/>
      <c r="X271" s="56"/>
      <c r="Y271" s="56"/>
      <c r="Z271" s="56"/>
    </row>
    <row r="272" spans="1:26" ht="15.75" customHeight="1">
      <c r="A272" s="56"/>
      <c r="B272" s="56"/>
      <c r="C272" s="56"/>
      <c r="D272" s="56"/>
      <c r="E272" s="56"/>
      <c r="F272" s="56"/>
      <c r="G272" s="56"/>
      <c r="H272" s="56"/>
      <c r="I272" s="56"/>
      <c r="J272" s="56"/>
      <c r="K272" s="56"/>
      <c r="L272" s="56"/>
      <c r="M272" s="56"/>
      <c r="N272" s="56"/>
      <c r="O272" s="56"/>
      <c r="P272" s="56"/>
      <c r="Q272" s="56"/>
      <c r="R272" s="56"/>
      <c r="S272" s="56"/>
      <c r="T272" s="56"/>
      <c r="U272" s="56"/>
      <c r="V272" s="56"/>
      <c r="W272" s="56"/>
      <c r="X272" s="56"/>
      <c r="Y272" s="56"/>
      <c r="Z272" s="56"/>
    </row>
    <row r="273" spans="1:26" ht="15.75" customHeight="1">
      <c r="A273" s="56"/>
      <c r="B273" s="56"/>
      <c r="C273" s="56"/>
      <c r="D273" s="56"/>
      <c r="E273" s="56"/>
      <c r="F273" s="56"/>
      <c r="G273" s="56"/>
      <c r="H273" s="56"/>
      <c r="I273" s="56"/>
      <c r="J273" s="56"/>
      <c r="K273" s="56"/>
      <c r="L273" s="56"/>
      <c r="M273" s="56"/>
      <c r="N273" s="56"/>
      <c r="O273" s="56"/>
      <c r="P273" s="56"/>
      <c r="Q273" s="56"/>
      <c r="R273" s="56"/>
      <c r="S273" s="56"/>
      <c r="T273" s="56"/>
      <c r="U273" s="56"/>
      <c r="V273" s="56"/>
      <c r="W273" s="56"/>
      <c r="X273" s="56"/>
      <c r="Y273" s="56"/>
      <c r="Z273" s="56"/>
    </row>
    <row r="274" spans="1:26" ht="15.75" customHeight="1">
      <c r="A274" s="56"/>
      <c r="B274" s="56"/>
      <c r="C274" s="56"/>
      <c r="D274" s="56"/>
      <c r="E274" s="56"/>
      <c r="F274" s="56"/>
      <c r="G274" s="56"/>
      <c r="H274" s="56"/>
      <c r="I274" s="56"/>
      <c r="J274" s="56"/>
      <c r="K274" s="56"/>
      <c r="L274" s="56"/>
      <c r="M274" s="56"/>
      <c r="N274" s="56"/>
      <c r="O274" s="56"/>
      <c r="P274" s="56"/>
      <c r="Q274" s="56"/>
      <c r="R274" s="56"/>
      <c r="S274" s="56"/>
      <c r="T274" s="56"/>
      <c r="U274" s="56"/>
      <c r="V274" s="56"/>
      <c r="W274" s="56"/>
      <c r="X274" s="56"/>
      <c r="Y274" s="56"/>
      <c r="Z274" s="56"/>
    </row>
    <row r="275" spans="1:26" ht="15.75" customHeight="1">
      <c r="A275" s="56"/>
      <c r="B275" s="56"/>
      <c r="C275" s="56"/>
      <c r="D275" s="56"/>
      <c r="E275" s="56"/>
      <c r="F275" s="56"/>
      <c r="G275" s="56"/>
      <c r="H275" s="56"/>
      <c r="I275" s="56"/>
      <c r="J275" s="56"/>
      <c r="K275" s="56"/>
      <c r="L275" s="56"/>
      <c r="M275" s="56"/>
      <c r="N275" s="56"/>
      <c r="O275" s="56"/>
      <c r="P275" s="56"/>
      <c r="Q275" s="56"/>
      <c r="R275" s="56"/>
      <c r="S275" s="56"/>
      <c r="T275" s="56"/>
      <c r="U275" s="56"/>
      <c r="V275" s="56"/>
      <c r="W275" s="56"/>
      <c r="X275" s="56"/>
      <c r="Y275" s="56"/>
      <c r="Z275" s="56"/>
    </row>
    <row r="276" spans="1:26" ht="15.75" customHeight="1">
      <c r="A276" s="56"/>
      <c r="B276" s="56"/>
      <c r="C276" s="56"/>
      <c r="D276" s="56"/>
      <c r="E276" s="56"/>
      <c r="F276" s="56"/>
      <c r="G276" s="56"/>
      <c r="H276" s="56"/>
      <c r="I276" s="56"/>
      <c r="J276" s="56"/>
      <c r="K276" s="56"/>
      <c r="L276" s="56"/>
      <c r="M276" s="56"/>
      <c r="N276" s="56"/>
      <c r="O276" s="56"/>
      <c r="P276" s="56"/>
      <c r="Q276" s="56"/>
      <c r="R276" s="56"/>
      <c r="S276" s="56"/>
      <c r="T276" s="56"/>
      <c r="U276" s="56"/>
      <c r="V276" s="56"/>
      <c r="W276" s="56"/>
      <c r="X276" s="56"/>
      <c r="Y276" s="56"/>
      <c r="Z276" s="56"/>
    </row>
    <row r="277" spans="1:26" ht="15.75" customHeight="1">
      <c r="A277" s="56"/>
      <c r="B277" s="56"/>
      <c r="C277" s="56"/>
      <c r="D277" s="56"/>
      <c r="E277" s="56"/>
      <c r="F277" s="56"/>
      <c r="G277" s="56"/>
      <c r="H277" s="56"/>
      <c r="I277" s="56"/>
      <c r="J277" s="56"/>
      <c r="K277" s="56"/>
      <c r="L277" s="56"/>
      <c r="M277" s="56"/>
      <c r="N277" s="56"/>
      <c r="O277" s="56"/>
      <c r="P277" s="56"/>
      <c r="Q277" s="56"/>
      <c r="R277" s="56"/>
      <c r="S277" s="56"/>
      <c r="T277" s="56"/>
      <c r="U277" s="56"/>
      <c r="V277" s="56"/>
      <c r="W277" s="56"/>
      <c r="X277" s="56"/>
      <c r="Y277" s="56"/>
      <c r="Z277" s="56"/>
    </row>
    <row r="278" spans="1:26" ht="15.75" customHeight="1">
      <c r="A278" s="56"/>
      <c r="B278" s="56"/>
      <c r="C278" s="56"/>
      <c r="D278" s="56"/>
      <c r="E278" s="56"/>
      <c r="F278" s="56"/>
      <c r="G278" s="56"/>
      <c r="H278" s="56"/>
      <c r="I278" s="56"/>
      <c r="J278" s="56"/>
      <c r="K278" s="56"/>
      <c r="L278" s="56"/>
      <c r="M278" s="56"/>
      <c r="N278" s="56"/>
      <c r="O278" s="56"/>
      <c r="P278" s="56"/>
      <c r="Q278" s="56"/>
      <c r="R278" s="56"/>
      <c r="S278" s="56"/>
      <c r="T278" s="56"/>
      <c r="U278" s="56"/>
      <c r="V278" s="56"/>
      <c r="W278" s="56"/>
      <c r="X278" s="56"/>
      <c r="Y278" s="56"/>
      <c r="Z278" s="56"/>
    </row>
    <row r="279" spans="1:26" ht="15.75" customHeight="1">
      <c r="A279" s="56"/>
      <c r="B279" s="56"/>
      <c r="C279" s="56"/>
      <c r="D279" s="56"/>
      <c r="E279" s="56"/>
      <c r="F279" s="56"/>
      <c r="G279" s="56"/>
      <c r="H279" s="56"/>
      <c r="I279" s="56"/>
      <c r="J279" s="56"/>
      <c r="K279" s="56"/>
      <c r="L279" s="56"/>
      <c r="M279" s="56"/>
      <c r="N279" s="56"/>
      <c r="O279" s="56"/>
      <c r="P279" s="56"/>
      <c r="Q279" s="56"/>
      <c r="R279" s="56"/>
      <c r="S279" s="56"/>
      <c r="T279" s="56"/>
      <c r="U279" s="56"/>
      <c r="V279" s="56"/>
      <c r="W279" s="56"/>
      <c r="X279" s="56"/>
      <c r="Y279" s="56"/>
      <c r="Z279" s="56"/>
    </row>
    <row r="280" spans="1:26" ht="15.75" customHeight="1">
      <c r="A280" s="56"/>
      <c r="B280" s="56"/>
      <c r="C280" s="56"/>
      <c r="D280" s="56"/>
      <c r="E280" s="56"/>
      <c r="F280" s="56"/>
      <c r="G280" s="56"/>
      <c r="H280" s="56"/>
      <c r="I280" s="56"/>
      <c r="J280" s="56"/>
      <c r="K280" s="56"/>
      <c r="L280" s="56"/>
      <c r="M280" s="56"/>
      <c r="N280" s="56"/>
      <c r="O280" s="56"/>
      <c r="P280" s="56"/>
      <c r="Q280" s="56"/>
      <c r="R280" s="56"/>
      <c r="S280" s="56"/>
      <c r="T280" s="56"/>
      <c r="U280" s="56"/>
      <c r="V280" s="56"/>
      <c r="W280" s="56"/>
      <c r="X280" s="56"/>
      <c r="Y280" s="56"/>
      <c r="Z280" s="56"/>
    </row>
    <row r="281" spans="1:26" ht="15.75" customHeight="1">
      <c r="A281" s="56"/>
      <c r="B281" s="56"/>
      <c r="C281" s="56"/>
      <c r="D281" s="56"/>
      <c r="E281" s="56"/>
      <c r="F281" s="56"/>
      <c r="G281" s="56"/>
      <c r="H281" s="56"/>
      <c r="I281" s="56"/>
      <c r="J281" s="56"/>
      <c r="K281" s="56"/>
      <c r="L281" s="56"/>
      <c r="M281" s="56"/>
      <c r="N281" s="56"/>
      <c r="O281" s="56"/>
      <c r="P281" s="56"/>
      <c r="Q281" s="56"/>
      <c r="R281" s="56"/>
      <c r="S281" s="56"/>
      <c r="T281" s="56"/>
      <c r="U281" s="56"/>
      <c r="V281" s="56"/>
      <c r="W281" s="56"/>
      <c r="X281" s="56"/>
      <c r="Y281" s="56"/>
      <c r="Z281" s="56"/>
    </row>
    <row r="282" spans="1:26" ht="15.75" customHeight="1">
      <c r="A282" s="56"/>
      <c r="B282" s="56"/>
      <c r="C282" s="56"/>
      <c r="D282" s="56"/>
      <c r="E282" s="56"/>
      <c r="F282" s="56"/>
      <c r="G282" s="56"/>
      <c r="H282" s="56"/>
      <c r="I282" s="56"/>
      <c r="J282" s="56"/>
      <c r="K282" s="56"/>
      <c r="L282" s="56"/>
      <c r="M282" s="56"/>
      <c r="N282" s="56"/>
      <c r="O282" s="56"/>
      <c r="P282" s="56"/>
      <c r="Q282" s="56"/>
      <c r="R282" s="56"/>
      <c r="S282" s="56"/>
      <c r="T282" s="56"/>
      <c r="U282" s="56"/>
      <c r="V282" s="56"/>
      <c r="W282" s="56"/>
      <c r="X282" s="56"/>
      <c r="Y282" s="56"/>
      <c r="Z282" s="56"/>
    </row>
    <row r="283" spans="1:26" ht="15.75" customHeight="1">
      <c r="A283" s="56"/>
      <c r="B283" s="56"/>
      <c r="C283" s="56"/>
      <c r="D283" s="56"/>
      <c r="E283" s="56"/>
      <c r="F283" s="56"/>
      <c r="G283" s="56"/>
      <c r="H283" s="56"/>
      <c r="I283" s="56"/>
      <c r="J283" s="56"/>
      <c r="K283" s="56"/>
      <c r="L283" s="56"/>
      <c r="M283" s="56"/>
      <c r="N283" s="56"/>
      <c r="O283" s="56"/>
      <c r="P283" s="56"/>
      <c r="Q283" s="56"/>
      <c r="R283" s="56"/>
      <c r="S283" s="56"/>
      <c r="T283" s="56"/>
      <c r="U283" s="56"/>
      <c r="V283" s="56"/>
      <c r="W283" s="56"/>
      <c r="X283" s="56"/>
      <c r="Y283" s="56"/>
      <c r="Z283" s="56"/>
    </row>
    <row r="284" spans="1:26" ht="15.75" customHeight="1">
      <c r="A284" s="56"/>
      <c r="B284" s="56"/>
      <c r="C284" s="56"/>
      <c r="D284" s="56"/>
      <c r="E284" s="56"/>
      <c r="F284" s="56"/>
      <c r="G284" s="56"/>
      <c r="H284" s="56"/>
      <c r="I284" s="56"/>
      <c r="J284" s="56"/>
      <c r="K284" s="56"/>
      <c r="L284" s="56"/>
      <c r="M284" s="56"/>
      <c r="N284" s="56"/>
      <c r="O284" s="56"/>
      <c r="P284" s="56"/>
      <c r="Q284" s="56"/>
      <c r="R284" s="56"/>
      <c r="S284" s="56"/>
      <c r="T284" s="56"/>
      <c r="U284" s="56"/>
      <c r="V284" s="56"/>
      <c r="W284" s="56"/>
      <c r="X284" s="56"/>
      <c r="Y284" s="56"/>
      <c r="Z284" s="56"/>
    </row>
    <row r="285" spans="1:26" ht="15.75" customHeight="1">
      <c r="A285" s="56"/>
      <c r="B285" s="56"/>
      <c r="C285" s="56"/>
      <c r="D285" s="56"/>
      <c r="E285" s="56"/>
      <c r="F285" s="56"/>
      <c r="G285" s="56"/>
      <c r="H285" s="56"/>
      <c r="I285" s="56"/>
      <c r="J285" s="56"/>
      <c r="K285" s="56"/>
      <c r="L285" s="56"/>
      <c r="M285" s="56"/>
      <c r="N285" s="56"/>
      <c r="O285" s="56"/>
      <c r="P285" s="56"/>
      <c r="Q285" s="56"/>
      <c r="R285" s="56"/>
      <c r="S285" s="56"/>
      <c r="T285" s="56"/>
      <c r="U285" s="56"/>
      <c r="V285" s="56"/>
      <c r="W285" s="56"/>
      <c r="X285" s="56"/>
      <c r="Y285" s="56"/>
      <c r="Z285" s="56"/>
    </row>
    <row r="286" spans="1:26" ht="15.75" customHeight="1">
      <c r="A286" s="56"/>
      <c r="B286" s="56"/>
      <c r="C286" s="56"/>
      <c r="D286" s="56"/>
      <c r="E286" s="56"/>
      <c r="F286" s="56"/>
      <c r="G286" s="56"/>
      <c r="H286" s="56"/>
      <c r="I286" s="56"/>
      <c r="J286" s="56"/>
      <c r="K286" s="56"/>
      <c r="L286" s="56"/>
      <c r="M286" s="56"/>
      <c r="N286" s="56"/>
      <c r="O286" s="56"/>
      <c r="P286" s="56"/>
      <c r="Q286" s="56"/>
      <c r="R286" s="56"/>
      <c r="S286" s="56"/>
      <c r="T286" s="56"/>
      <c r="U286" s="56"/>
      <c r="V286" s="56"/>
      <c r="W286" s="56"/>
      <c r="X286" s="56"/>
      <c r="Y286" s="56"/>
      <c r="Z286" s="56"/>
    </row>
    <row r="287" spans="1:26" ht="15.75" customHeight="1">
      <c r="A287" s="56"/>
      <c r="B287" s="56"/>
      <c r="C287" s="56"/>
      <c r="D287" s="56"/>
      <c r="E287" s="56"/>
      <c r="F287" s="56"/>
      <c r="G287" s="56"/>
      <c r="H287" s="56"/>
      <c r="I287" s="56"/>
      <c r="J287" s="56"/>
      <c r="K287" s="56"/>
      <c r="L287" s="56"/>
      <c r="M287" s="56"/>
      <c r="N287" s="56"/>
      <c r="O287" s="56"/>
      <c r="P287" s="56"/>
      <c r="Q287" s="56"/>
      <c r="R287" s="56"/>
      <c r="S287" s="56"/>
      <c r="T287" s="56"/>
      <c r="U287" s="56"/>
      <c r="V287" s="56"/>
      <c r="W287" s="56"/>
      <c r="X287" s="56"/>
      <c r="Y287" s="56"/>
      <c r="Z287" s="56"/>
    </row>
    <row r="288" spans="1:26" ht="15.75" customHeight="1">
      <c r="A288" s="56"/>
      <c r="B288" s="56"/>
      <c r="C288" s="56"/>
      <c r="D288" s="56"/>
      <c r="E288" s="56"/>
      <c r="F288" s="56"/>
      <c r="G288" s="56"/>
      <c r="H288" s="56"/>
      <c r="I288" s="56"/>
      <c r="J288" s="56"/>
      <c r="K288" s="56"/>
      <c r="L288" s="56"/>
      <c r="M288" s="56"/>
      <c r="N288" s="56"/>
      <c r="O288" s="56"/>
      <c r="P288" s="56"/>
      <c r="Q288" s="56"/>
      <c r="R288" s="56"/>
      <c r="S288" s="56"/>
      <c r="T288" s="56"/>
      <c r="U288" s="56"/>
      <c r="V288" s="56"/>
      <c r="W288" s="56"/>
      <c r="X288" s="56"/>
      <c r="Y288" s="56"/>
      <c r="Z288" s="56"/>
    </row>
    <row r="289" spans="1:26" ht="15.75" customHeight="1">
      <c r="A289" s="56"/>
      <c r="B289" s="56"/>
      <c r="C289" s="56"/>
      <c r="D289" s="56"/>
      <c r="E289" s="56"/>
      <c r="F289" s="56"/>
      <c r="G289" s="56"/>
      <c r="H289" s="56"/>
      <c r="I289" s="56"/>
      <c r="J289" s="56"/>
      <c r="K289" s="56"/>
      <c r="L289" s="56"/>
      <c r="M289" s="56"/>
      <c r="N289" s="56"/>
      <c r="O289" s="56"/>
      <c r="P289" s="56"/>
      <c r="Q289" s="56"/>
      <c r="R289" s="56"/>
      <c r="S289" s="56"/>
      <c r="T289" s="56"/>
      <c r="U289" s="56"/>
      <c r="V289" s="56"/>
      <c r="W289" s="56"/>
      <c r="X289" s="56"/>
      <c r="Y289" s="56"/>
      <c r="Z289" s="56"/>
    </row>
    <row r="290" spans="1:26" ht="15.75" customHeight="1">
      <c r="A290" s="56"/>
      <c r="B290" s="56"/>
      <c r="C290" s="56"/>
      <c r="D290" s="56"/>
      <c r="E290" s="56"/>
      <c r="F290" s="56"/>
      <c r="G290" s="56"/>
      <c r="H290" s="56"/>
      <c r="I290" s="56"/>
      <c r="J290" s="56"/>
      <c r="K290" s="56"/>
      <c r="L290" s="56"/>
      <c r="M290" s="56"/>
      <c r="N290" s="56"/>
      <c r="O290" s="56"/>
      <c r="P290" s="56"/>
      <c r="Q290" s="56"/>
      <c r="R290" s="56"/>
      <c r="S290" s="56"/>
      <c r="T290" s="56"/>
      <c r="U290" s="56"/>
      <c r="V290" s="56"/>
      <c r="W290" s="56"/>
      <c r="X290" s="56"/>
      <c r="Y290" s="56"/>
      <c r="Z290" s="56"/>
    </row>
    <row r="291" spans="1:26" ht="15.75" customHeight="1">
      <c r="A291" s="56"/>
      <c r="B291" s="56"/>
      <c r="C291" s="56"/>
      <c r="D291" s="56"/>
      <c r="E291" s="56"/>
      <c r="F291" s="56"/>
      <c r="G291" s="56"/>
      <c r="H291" s="56"/>
      <c r="I291" s="56"/>
      <c r="J291" s="56"/>
      <c r="K291" s="56"/>
      <c r="L291" s="56"/>
      <c r="M291" s="56"/>
      <c r="N291" s="56"/>
      <c r="O291" s="56"/>
      <c r="P291" s="56"/>
      <c r="Q291" s="56"/>
      <c r="R291" s="56"/>
      <c r="S291" s="56"/>
      <c r="T291" s="56"/>
      <c r="U291" s="56"/>
      <c r="V291" s="56"/>
      <c r="W291" s="56"/>
      <c r="X291" s="56"/>
      <c r="Y291" s="56"/>
      <c r="Z291" s="56"/>
    </row>
    <row r="292" spans="1:26" ht="15.75" customHeight="1">
      <c r="A292" s="56"/>
      <c r="B292" s="56"/>
      <c r="C292" s="56"/>
      <c r="D292" s="56"/>
      <c r="E292" s="56"/>
      <c r="F292" s="56"/>
      <c r="G292" s="56"/>
      <c r="H292" s="56"/>
      <c r="I292" s="56"/>
      <c r="J292" s="56"/>
      <c r="K292" s="56"/>
      <c r="L292" s="56"/>
      <c r="M292" s="56"/>
      <c r="N292" s="56"/>
      <c r="O292" s="56"/>
      <c r="P292" s="56"/>
      <c r="Q292" s="56"/>
      <c r="R292" s="56"/>
      <c r="S292" s="56"/>
      <c r="T292" s="56"/>
      <c r="U292" s="56"/>
      <c r="V292" s="56"/>
      <c r="W292" s="56"/>
      <c r="X292" s="56"/>
      <c r="Y292" s="56"/>
      <c r="Z292" s="56"/>
    </row>
    <row r="293" spans="1:26" ht="15.75" customHeight="1">
      <c r="A293" s="56"/>
      <c r="B293" s="56"/>
      <c r="C293" s="56"/>
      <c r="D293" s="56"/>
      <c r="E293" s="56"/>
      <c r="F293" s="56"/>
      <c r="G293" s="56"/>
      <c r="H293" s="56"/>
      <c r="I293" s="56"/>
      <c r="J293" s="56"/>
      <c r="K293" s="56"/>
      <c r="L293" s="56"/>
      <c r="M293" s="56"/>
      <c r="N293" s="56"/>
      <c r="O293" s="56"/>
      <c r="P293" s="56"/>
      <c r="Q293" s="56"/>
      <c r="R293" s="56"/>
      <c r="S293" s="56"/>
      <c r="T293" s="56"/>
      <c r="U293" s="56"/>
      <c r="V293" s="56"/>
      <c r="W293" s="56"/>
      <c r="X293" s="56"/>
      <c r="Y293" s="56"/>
      <c r="Z293" s="56"/>
    </row>
    <row r="294" spans="1:26" ht="15.75" customHeight="1">
      <c r="A294" s="56"/>
      <c r="B294" s="56"/>
      <c r="C294" s="56"/>
      <c r="D294" s="56"/>
      <c r="E294" s="56"/>
      <c r="F294" s="56"/>
      <c r="G294" s="56"/>
      <c r="H294" s="56"/>
      <c r="I294" s="56"/>
      <c r="J294" s="56"/>
      <c r="K294" s="56"/>
      <c r="L294" s="56"/>
      <c r="M294" s="56"/>
      <c r="N294" s="56"/>
      <c r="O294" s="56"/>
      <c r="P294" s="56"/>
      <c r="Q294" s="56"/>
      <c r="R294" s="56"/>
      <c r="S294" s="56"/>
      <c r="T294" s="56"/>
      <c r="U294" s="56"/>
      <c r="V294" s="56"/>
      <c r="W294" s="56"/>
      <c r="X294" s="56"/>
      <c r="Y294" s="56"/>
      <c r="Z294" s="56"/>
    </row>
    <row r="295" spans="1:26" ht="15.75" customHeight="1">
      <c r="A295" s="56"/>
      <c r="B295" s="56"/>
      <c r="C295" s="56"/>
      <c r="D295" s="56"/>
      <c r="E295" s="56"/>
      <c r="F295" s="56"/>
      <c r="G295" s="56"/>
      <c r="H295" s="56"/>
      <c r="I295" s="56"/>
      <c r="J295" s="56"/>
      <c r="K295" s="56"/>
      <c r="L295" s="56"/>
      <c r="M295" s="56"/>
      <c r="N295" s="56"/>
      <c r="O295" s="56"/>
      <c r="P295" s="56"/>
      <c r="Q295" s="56"/>
      <c r="R295" s="56"/>
      <c r="S295" s="56"/>
      <c r="T295" s="56"/>
      <c r="U295" s="56"/>
      <c r="V295" s="56"/>
      <c r="W295" s="56"/>
      <c r="X295" s="56"/>
      <c r="Y295" s="56"/>
      <c r="Z295" s="56"/>
    </row>
    <row r="296" spans="1:26" ht="15.75" customHeight="1">
      <c r="A296" s="56"/>
      <c r="B296" s="56"/>
      <c r="C296" s="56"/>
      <c r="D296" s="56"/>
      <c r="E296" s="56"/>
      <c r="F296" s="56"/>
      <c r="G296" s="56"/>
      <c r="H296" s="56"/>
      <c r="I296" s="56"/>
      <c r="J296" s="56"/>
      <c r="K296" s="56"/>
      <c r="L296" s="56"/>
      <c r="M296" s="56"/>
      <c r="N296" s="56"/>
      <c r="O296" s="56"/>
      <c r="P296" s="56"/>
      <c r="Q296" s="56"/>
      <c r="R296" s="56"/>
      <c r="S296" s="56"/>
      <c r="T296" s="56"/>
      <c r="U296" s="56"/>
      <c r="V296" s="56"/>
      <c r="W296" s="56"/>
      <c r="X296" s="56"/>
      <c r="Y296" s="56"/>
      <c r="Z296" s="56"/>
    </row>
    <row r="297" spans="1:26" ht="15.75" customHeight="1">
      <c r="A297" s="56"/>
      <c r="B297" s="56"/>
      <c r="C297" s="56"/>
      <c r="D297" s="56"/>
      <c r="E297" s="56"/>
      <c r="F297" s="56"/>
      <c r="G297" s="56"/>
      <c r="H297" s="56"/>
      <c r="I297" s="56"/>
      <c r="J297" s="56"/>
      <c r="K297" s="56"/>
      <c r="L297" s="56"/>
      <c r="M297" s="56"/>
      <c r="N297" s="56"/>
      <c r="O297" s="56"/>
      <c r="P297" s="56"/>
      <c r="Q297" s="56"/>
      <c r="R297" s="56"/>
      <c r="S297" s="56"/>
      <c r="T297" s="56"/>
      <c r="U297" s="56"/>
      <c r="V297" s="56"/>
      <c r="W297" s="56"/>
      <c r="X297" s="56"/>
      <c r="Y297" s="56"/>
      <c r="Z297" s="56"/>
    </row>
    <row r="298" spans="1:26" ht="15.75" customHeight="1">
      <c r="A298" s="56"/>
      <c r="B298" s="56"/>
      <c r="C298" s="56"/>
      <c r="D298" s="56"/>
      <c r="E298" s="56"/>
      <c r="F298" s="56"/>
      <c r="G298" s="56"/>
      <c r="H298" s="56"/>
      <c r="I298" s="56"/>
      <c r="J298" s="56"/>
      <c r="K298" s="56"/>
      <c r="L298" s="56"/>
      <c r="M298" s="56"/>
      <c r="N298" s="56"/>
      <c r="O298" s="56"/>
      <c r="P298" s="56"/>
      <c r="Q298" s="56"/>
      <c r="R298" s="56"/>
      <c r="S298" s="56"/>
      <c r="T298" s="56"/>
      <c r="U298" s="56"/>
      <c r="V298" s="56"/>
      <c r="W298" s="56"/>
      <c r="X298" s="56"/>
      <c r="Y298" s="56"/>
      <c r="Z298" s="56"/>
    </row>
    <row r="299" spans="1:26" ht="15.75" customHeight="1">
      <c r="A299" s="56"/>
      <c r="B299" s="56"/>
      <c r="C299" s="56"/>
      <c r="D299" s="56"/>
      <c r="E299" s="56"/>
      <c r="F299" s="56"/>
      <c r="G299" s="56"/>
      <c r="H299" s="56"/>
      <c r="I299" s="56"/>
      <c r="J299" s="56"/>
      <c r="K299" s="56"/>
      <c r="L299" s="56"/>
      <c r="M299" s="56"/>
      <c r="N299" s="56"/>
      <c r="O299" s="56"/>
      <c r="P299" s="56"/>
      <c r="Q299" s="56"/>
      <c r="R299" s="56"/>
      <c r="S299" s="56"/>
      <c r="T299" s="56"/>
      <c r="U299" s="56"/>
      <c r="V299" s="56"/>
      <c r="W299" s="56"/>
      <c r="X299" s="56"/>
      <c r="Y299" s="56"/>
      <c r="Z299" s="56"/>
    </row>
    <row r="300" spans="1:26" ht="15.75" customHeight="1">
      <c r="A300" s="56"/>
      <c r="B300" s="56"/>
      <c r="C300" s="56"/>
      <c r="D300" s="56"/>
      <c r="E300" s="56"/>
      <c r="F300" s="56"/>
      <c r="G300" s="56"/>
      <c r="H300" s="56"/>
      <c r="I300" s="56"/>
      <c r="J300" s="56"/>
      <c r="K300" s="56"/>
      <c r="L300" s="56"/>
      <c r="M300" s="56"/>
      <c r="N300" s="56"/>
      <c r="O300" s="56"/>
      <c r="P300" s="56"/>
      <c r="Q300" s="56"/>
      <c r="R300" s="56"/>
      <c r="S300" s="56"/>
      <c r="T300" s="56"/>
      <c r="U300" s="56"/>
      <c r="V300" s="56"/>
      <c r="W300" s="56"/>
      <c r="X300" s="56"/>
      <c r="Y300" s="56"/>
      <c r="Z300" s="56"/>
    </row>
    <row r="301" spans="1:26" ht="15.75" customHeight="1">
      <c r="A301" s="56"/>
      <c r="B301" s="56"/>
      <c r="C301" s="56"/>
      <c r="D301" s="56"/>
      <c r="E301" s="56"/>
      <c r="F301" s="56"/>
      <c r="G301" s="56"/>
      <c r="H301" s="56"/>
      <c r="I301" s="56"/>
      <c r="J301" s="56"/>
      <c r="K301" s="56"/>
      <c r="L301" s="56"/>
      <c r="M301" s="56"/>
      <c r="N301" s="56"/>
      <c r="O301" s="56"/>
      <c r="P301" s="56"/>
      <c r="Q301" s="56"/>
      <c r="R301" s="56"/>
      <c r="S301" s="56"/>
      <c r="T301" s="56"/>
      <c r="U301" s="56"/>
      <c r="V301" s="56"/>
      <c r="W301" s="56"/>
      <c r="X301" s="56"/>
      <c r="Y301" s="56"/>
      <c r="Z301" s="56"/>
    </row>
    <row r="302" spans="1:26" ht="15.75" customHeight="1">
      <c r="A302" s="56"/>
      <c r="B302" s="56"/>
      <c r="C302" s="56"/>
      <c r="D302" s="56"/>
      <c r="E302" s="56"/>
      <c r="F302" s="56"/>
      <c r="G302" s="56"/>
      <c r="H302" s="56"/>
      <c r="I302" s="56"/>
      <c r="J302" s="56"/>
      <c r="K302" s="56"/>
      <c r="L302" s="56"/>
      <c r="M302" s="56"/>
      <c r="N302" s="56"/>
      <c r="O302" s="56"/>
      <c r="P302" s="56"/>
      <c r="Q302" s="56"/>
      <c r="R302" s="56"/>
      <c r="S302" s="56"/>
      <c r="T302" s="56"/>
      <c r="U302" s="56"/>
      <c r="V302" s="56"/>
      <c r="W302" s="56"/>
      <c r="X302" s="56"/>
      <c r="Y302" s="56"/>
      <c r="Z302" s="56"/>
    </row>
    <row r="303" spans="1:26" ht="15.75" customHeight="1">
      <c r="A303" s="56"/>
      <c r="B303" s="56"/>
      <c r="C303" s="56"/>
      <c r="D303" s="56"/>
      <c r="E303" s="56"/>
      <c r="F303" s="56"/>
      <c r="G303" s="56"/>
      <c r="H303" s="56"/>
      <c r="I303" s="56"/>
      <c r="J303" s="56"/>
      <c r="K303" s="56"/>
      <c r="L303" s="56"/>
      <c r="M303" s="56"/>
      <c r="N303" s="56"/>
      <c r="O303" s="56"/>
      <c r="P303" s="56"/>
      <c r="Q303" s="56"/>
      <c r="R303" s="56"/>
      <c r="S303" s="56"/>
      <c r="T303" s="56"/>
      <c r="U303" s="56"/>
      <c r="V303" s="56"/>
      <c r="W303" s="56"/>
      <c r="X303" s="56"/>
      <c r="Y303" s="56"/>
      <c r="Z303" s="56"/>
    </row>
    <row r="304" spans="1:26" ht="15.75" customHeight="1">
      <c r="A304" s="56"/>
      <c r="B304" s="56"/>
      <c r="C304" s="56"/>
      <c r="D304" s="56"/>
      <c r="E304" s="56"/>
      <c r="F304" s="56"/>
      <c r="G304" s="56"/>
      <c r="H304" s="56"/>
      <c r="I304" s="56"/>
      <c r="J304" s="56"/>
      <c r="K304" s="56"/>
      <c r="L304" s="56"/>
      <c r="M304" s="56"/>
      <c r="N304" s="56"/>
      <c r="O304" s="56"/>
      <c r="P304" s="56"/>
      <c r="Q304" s="56"/>
      <c r="R304" s="56"/>
      <c r="S304" s="56"/>
      <c r="T304" s="56"/>
      <c r="U304" s="56"/>
      <c r="V304" s="56"/>
      <c r="W304" s="56"/>
      <c r="X304" s="56"/>
      <c r="Y304" s="56"/>
      <c r="Z304" s="56"/>
    </row>
    <row r="305" spans="1:26" ht="15.75" customHeight="1">
      <c r="A305" s="56"/>
      <c r="B305" s="56"/>
      <c r="C305" s="56"/>
      <c r="D305" s="56"/>
      <c r="E305" s="56"/>
      <c r="F305" s="56"/>
      <c r="G305" s="56"/>
      <c r="H305" s="56"/>
      <c r="I305" s="56"/>
      <c r="J305" s="56"/>
      <c r="K305" s="56"/>
      <c r="L305" s="56"/>
      <c r="M305" s="56"/>
      <c r="N305" s="56"/>
      <c r="O305" s="56"/>
      <c r="P305" s="56"/>
      <c r="Q305" s="56"/>
      <c r="R305" s="56"/>
      <c r="S305" s="56"/>
      <c r="T305" s="56"/>
      <c r="U305" s="56"/>
      <c r="V305" s="56"/>
      <c r="W305" s="56"/>
      <c r="X305" s="56"/>
      <c r="Y305" s="56"/>
      <c r="Z305" s="56"/>
    </row>
    <row r="306" spans="1:26" ht="15.75" customHeight="1">
      <c r="A306" s="56"/>
      <c r="B306" s="56"/>
      <c r="C306" s="56"/>
      <c r="D306" s="56"/>
      <c r="E306" s="56"/>
      <c r="F306" s="56"/>
      <c r="G306" s="56"/>
      <c r="H306" s="56"/>
      <c r="I306" s="56"/>
      <c r="J306" s="56"/>
      <c r="K306" s="56"/>
      <c r="L306" s="56"/>
      <c r="M306" s="56"/>
      <c r="N306" s="56"/>
      <c r="O306" s="56"/>
      <c r="P306" s="56"/>
      <c r="Q306" s="56"/>
      <c r="R306" s="56"/>
      <c r="S306" s="56"/>
      <c r="T306" s="56"/>
      <c r="U306" s="56"/>
      <c r="V306" s="56"/>
      <c r="W306" s="56"/>
      <c r="X306" s="56"/>
      <c r="Y306" s="56"/>
      <c r="Z306" s="56"/>
    </row>
    <row r="307" spans="1:26" ht="15.75" customHeight="1">
      <c r="A307" s="56"/>
      <c r="B307" s="56"/>
      <c r="C307" s="56"/>
      <c r="D307" s="56"/>
      <c r="E307" s="56"/>
      <c r="F307" s="56"/>
      <c r="G307" s="56"/>
      <c r="H307" s="56"/>
      <c r="I307" s="56"/>
      <c r="J307" s="56"/>
      <c r="K307" s="56"/>
      <c r="L307" s="56"/>
      <c r="M307" s="56"/>
      <c r="N307" s="56"/>
      <c r="O307" s="56"/>
      <c r="P307" s="56"/>
      <c r="Q307" s="56"/>
      <c r="R307" s="56"/>
      <c r="S307" s="56"/>
      <c r="T307" s="56"/>
      <c r="U307" s="56"/>
      <c r="V307" s="56"/>
      <c r="W307" s="56"/>
      <c r="X307" s="56"/>
      <c r="Y307" s="56"/>
      <c r="Z307" s="56"/>
    </row>
    <row r="308" spans="1:26" ht="15.75" customHeight="1">
      <c r="A308" s="56"/>
      <c r="B308" s="56"/>
      <c r="C308" s="56"/>
      <c r="D308" s="56"/>
      <c r="E308" s="56"/>
      <c r="F308" s="56"/>
      <c r="G308" s="56"/>
      <c r="H308" s="56"/>
      <c r="I308" s="56"/>
      <c r="J308" s="56"/>
      <c r="K308" s="56"/>
      <c r="L308" s="56"/>
      <c r="M308" s="56"/>
      <c r="N308" s="56"/>
      <c r="O308" s="56"/>
      <c r="P308" s="56"/>
      <c r="Q308" s="56"/>
      <c r="R308" s="56"/>
      <c r="S308" s="56"/>
      <c r="T308" s="56"/>
      <c r="U308" s="56"/>
      <c r="V308" s="56"/>
      <c r="W308" s="56"/>
      <c r="X308" s="56"/>
      <c r="Y308" s="56"/>
      <c r="Z308" s="56"/>
    </row>
    <row r="309" spans="1:26" ht="15.75" customHeight="1">
      <c r="A309" s="56"/>
      <c r="B309" s="56"/>
      <c r="C309" s="56"/>
      <c r="D309" s="56"/>
      <c r="E309" s="56"/>
      <c r="F309" s="56"/>
      <c r="G309" s="56"/>
      <c r="H309" s="56"/>
      <c r="I309" s="56"/>
      <c r="J309" s="56"/>
      <c r="K309" s="56"/>
      <c r="L309" s="56"/>
      <c r="M309" s="56"/>
      <c r="N309" s="56"/>
      <c r="O309" s="56"/>
      <c r="P309" s="56"/>
      <c r="Q309" s="56"/>
      <c r="R309" s="56"/>
      <c r="S309" s="56"/>
      <c r="T309" s="56"/>
      <c r="U309" s="56"/>
      <c r="V309" s="56"/>
      <c r="W309" s="56"/>
      <c r="X309" s="56"/>
      <c r="Y309" s="56"/>
      <c r="Z309" s="56"/>
    </row>
    <row r="310" spans="1:26" ht="15.75" customHeight="1">
      <c r="A310" s="56"/>
      <c r="B310" s="56"/>
      <c r="C310" s="56"/>
      <c r="D310" s="56"/>
      <c r="E310" s="56"/>
      <c r="F310" s="56"/>
      <c r="G310" s="56"/>
      <c r="H310" s="56"/>
      <c r="I310" s="56"/>
      <c r="J310" s="56"/>
      <c r="K310" s="56"/>
      <c r="L310" s="56"/>
      <c r="M310" s="56"/>
      <c r="N310" s="56"/>
      <c r="O310" s="56"/>
      <c r="P310" s="56"/>
      <c r="Q310" s="56"/>
      <c r="R310" s="56"/>
      <c r="S310" s="56"/>
      <c r="T310" s="56"/>
      <c r="U310" s="56"/>
      <c r="V310" s="56"/>
      <c r="W310" s="56"/>
      <c r="X310" s="56"/>
      <c r="Y310" s="56"/>
      <c r="Z310" s="56"/>
    </row>
    <row r="311" spans="1:26" ht="15.75" customHeight="1">
      <c r="A311" s="56"/>
      <c r="B311" s="56"/>
      <c r="C311" s="56"/>
      <c r="D311" s="56"/>
      <c r="E311" s="56"/>
      <c r="F311" s="56"/>
      <c r="G311" s="56"/>
      <c r="H311" s="56"/>
      <c r="I311" s="56"/>
      <c r="J311" s="56"/>
      <c r="K311" s="56"/>
      <c r="L311" s="56"/>
      <c r="M311" s="56"/>
      <c r="N311" s="56"/>
      <c r="O311" s="56"/>
      <c r="P311" s="56"/>
      <c r="Q311" s="56"/>
      <c r="R311" s="56"/>
      <c r="S311" s="56"/>
      <c r="T311" s="56"/>
      <c r="U311" s="56"/>
      <c r="V311" s="56"/>
      <c r="W311" s="56"/>
      <c r="X311" s="56"/>
      <c r="Y311" s="56"/>
      <c r="Z311" s="56"/>
    </row>
    <row r="312" spans="1:26" ht="15.75" customHeight="1">
      <c r="A312" s="56"/>
      <c r="B312" s="56"/>
      <c r="C312" s="56"/>
      <c r="D312" s="56"/>
      <c r="E312" s="56"/>
      <c r="F312" s="56"/>
      <c r="G312" s="56"/>
      <c r="H312" s="56"/>
      <c r="I312" s="56"/>
      <c r="J312" s="56"/>
      <c r="K312" s="56"/>
      <c r="L312" s="56"/>
      <c r="M312" s="56"/>
      <c r="N312" s="56"/>
      <c r="O312" s="56"/>
      <c r="P312" s="56"/>
      <c r="Q312" s="56"/>
      <c r="R312" s="56"/>
      <c r="S312" s="56"/>
      <c r="T312" s="56"/>
      <c r="U312" s="56"/>
      <c r="V312" s="56"/>
      <c r="W312" s="56"/>
      <c r="X312" s="56"/>
      <c r="Y312" s="56"/>
      <c r="Z312" s="56"/>
    </row>
    <row r="313" spans="1:26" ht="15.75" customHeight="1">
      <c r="A313" s="56"/>
      <c r="B313" s="56"/>
      <c r="C313" s="56"/>
      <c r="D313" s="56"/>
      <c r="E313" s="56"/>
      <c r="F313" s="56"/>
      <c r="G313" s="56"/>
      <c r="H313" s="56"/>
      <c r="I313" s="56"/>
      <c r="J313" s="56"/>
      <c r="K313" s="56"/>
      <c r="L313" s="56"/>
      <c r="M313" s="56"/>
      <c r="N313" s="56"/>
      <c r="O313" s="56"/>
      <c r="P313" s="56"/>
      <c r="Q313" s="56"/>
      <c r="R313" s="56"/>
      <c r="S313" s="56"/>
      <c r="T313" s="56"/>
      <c r="U313" s="56"/>
      <c r="V313" s="56"/>
      <c r="W313" s="56"/>
      <c r="X313" s="56"/>
      <c r="Y313" s="56"/>
      <c r="Z313" s="56"/>
    </row>
    <row r="314" spans="1:26" ht="15.75" customHeight="1">
      <c r="A314" s="56"/>
      <c r="B314" s="56"/>
      <c r="C314" s="56"/>
      <c r="D314" s="56"/>
      <c r="E314" s="56"/>
      <c r="F314" s="56"/>
      <c r="G314" s="56"/>
      <c r="H314" s="56"/>
      <c r="I314" s="56"/>
      <c r="J314" s="56"/>
      <c r="K314" s="56"/>
      <c r="L314" s="56"/>
      <c r="M314" s="56"/>
      <c r="N314" s="56"/>
      <c r="O314" s="56"/>
      <c r="P314" s="56"/>
      <c r="Q314" s="56"/>
      <c r="R314" s="56"/>
      <c r="S314" s="56"/>
      <c r="T314" s="56"/>
      <c r="U314" s="56"/>
      <c r="V314" s="56"/>
      <c r="W314" s="56"/>
      <c r="X314" s="56"/>
      <c r="Y314" s="56"/>
      <c r="Z314" s="56"/>
    </row>
    <row r="315" spans="1:26" ht="15.75" customHeight="1">
      <c r="A315" s="56"/>
      <c r="B315" s="56"/>
      <c r="C315" s="56"/>
      <c r="D315" s="56"/>
      <c r="E315" s="56"/>
      <c r="F315" s="56"/>
      <c r="G315" s="56"/>
      <c r="H315" s="56"/>
      <c r="I315" s="56"/>
      <c r="J315" s="56"/>
      <c r="K315" s="56"/>
      <c r="L315" s="56"/>
      <c r="M315" s="56"/>
      <c r="N315" s="56"/>
      <c r="O315" s="56"/>
      <c r="P315" s="56"/>
      <c r="Q315" s="56"/>
      <c r="R315" s="56"/>
      <c r="S315" s="56"/>
      <c r="T315" s="56"/>
      <c r="U315" s="56"/>
      <c r="V315" s="56"/>
      <c r="W315" s="56"/>
      <c r="X315" s="56"/>
      <c r="Y315" s="56"/>
      <c r="Z315" s="56"/>
    </row>
    <row r="316" spans="1:26" ht="15.75" customHeight="1">
      <c r="A316" s="56"/>
      <c r="B316" s="56"/>
      <c r="C316" s="56"/>
      <c r="D316" s="56"/>
      <c r="E316" s="56"/>
      <c r="F316" s="56"/>
      <c r="G316" s="56"/>
      <c r="H316" s="56"/>
      <c r="I316" s="56"/>
      <c r="J316" s="56"/>
      <c r="K316" s="56"/>
      <c r="L316" s="56"/>
      <c r="M316" s="56"/>
      <c r="N316" s="56"/>
      <c r="O316" s="56"/>
      <c r="P316" s="56"/>
      <c r="Q316" s="56"/>
      <c r="R316" s="56"/>
      <c r="S316" s="56"/>
      <c r="T316" s="56"/>
      <c r="U316" s="56"/>
      <c r="V316" s="56"/>
      <c r="W316" s="56"/>
      <c r="X316" s="56"/>
      <c r="Y316" s="56"/>
      <c r="Z316" s="56"/>
    </row>
    <row r="317" spans="1:26" ht="15.75" customHeight="1">
      <c r="A317" s="56"/>
      <c r="B317" s="56"/>
      <c r="C317" s="56"/>
      <c r="D317" s="56"/>
      <c r="E317" s="56"/>
      <c r="F317" s="56"/>
      <c r="G317" s="56"/>
      <c r="H317" s="56"/>
      <c r="I317" s="56"/>
      <c r="J317" s="56"/>
      <c r="K317" s="56"/>
      <c r="L317" s="56"/>
      <c r="M317" s="56"/>
      <c r="N317" s="56"/>
      <c r="O317" s="56"/>
      <c r="P317" s="56"/>
      <c r="Q317" s="56"/>
      <c r="R317" s="56"/>
      <c r="S317" s="56"/>
      <c r="T317" s="56"/>
      <c r="U317" s="56"/>
      <c r="V317" s="56"/>
      <c r="W317" s="56"/>
      <c r="X317" s="56"/>
      <c r="Y317" s="56"/>
      <c r="Z317" s="56"/>
    </row>
    <row r="318" spans="1:26" ht="15.75" customHeight="1">
      <c r="A318" s="56"/>
      <c r="B318" s="56"/>
      <c r="C318" s="56"/>
      <c r="D318" s="56"/>
      <c r="E318" s="56"/>
      <c r="F318" s="56"/>
      <c r="G318" s="56"/>
      <c r="H318" s="56"/>
      <c r="I318" s="56"/>
      <c r="J318" s="56"/>
      <c r="K318" s="56"/>
      <c r="L318" s="56"/>
      <c r="M318" s="56"/>
      <c r="N318" s="56"/>
      <c r="O318" s="56"/>
      <c r="P318" s="56"/>
      <c r="Q318" s="56"/>
      <c r="R318" s="56"/>
      <c r="S318" s="56"/>
      <c r="T318" s="56"/>
      <c r="U318" s="56"/>
      <c r="V318" s="56"/>
      <c r="W318" s="56"/>
      <c r="X318" s="56"/>
      <c r="Y318" s="56"/>
      <c r="Z318" s="56"/>
    </row>
    <row r="319" spans="1:26" ht="15.75" customHeight="1">
      <c r="A319" s="56"/>
      <c r="B319" s="56"/>
      <c r="C319" s="56"/>
      <c r="D319" s="56"/>
      <c r="E319" s="56"/>
      <c r="F319" s="56"/>
      <c r="G319" s="56"/>
      <c r="H319" s="56"/>
      <c r="I319" s="56"/>
      <c r="J319" s="56"/>
      <c r="K319" s="56"/>
      <c r="L319" s="56"/>
      <c r="M319" s="56"/>
      <c r="N319" s="56"/>
      <c r="O319" s="56"/>
      <c r="P319" s="56"/>
      <c r="Q319" s="56"/>
      <c r="R319" s="56"/>
      <c r="S319" s="56"/>
      <c r="T319" s="56"/>
      <c r="U319" s="56"/>
      <c r="V319" s="56"/>
      <c r="W319" s="56"/>
      <c r="X319" s="56"/>
      <c r="Y319" s="56"/>
      <c r="Z319" s="56"/>
    </row>
    <row r="320" spans="1:26" ht="15.75" customHeight="1">
      <c r="A320" s="56"/>
      <c r="B320" s="56"/>
      <c r="C320" s="56"/>
      <c r="D320" s="56"/>
      <c r="E320" s="56"/>
      <c r="F320" s="56"/>
      <c r="G320" s="56"/>
      <c r="H320" s="56"/>
      <c r="I320" s="56"/>
      <c r="J320" s="56"/>
      <c r="K320" s="56"/>
      <c r="L320" s="56"/>
      <c r="M320" s="56"/>
      <c r="N320" s="56"/>
      <c r="O320" s="56"/>
      <c r="P320" s="56"/>
      <c r="Q320" s="56"/>
      <c r="R320" s="56"/>
      <c r="S320" s="56"/>
      <c r="T320" s="56"/>
      <c r="U320" s="56"/>
      <c r="V320" s="56"/>
      <c r="W320" s="56"/>
      <c r="X320" s="56"/>
      <c r="Y320" s="56"/>
      <c r="Z320" s="56"/>
    </row>
    <row r="321" spans="1:26" ht="15.75" customHeight="1">
      <c r="A321" s="56"/>
      <c r="B321" s="56"/>
      <c r="C321" s="56"/>
      <c r="D321" s="56"/>
      <c r="E321" s="56"/>
      <c r="F321" s="56"/>
      <c r="G321" s="56"/>
      <c r="H321" s="56"/>
      <c r="I321" s="56"/>
      <c r="J321" s="56"/>
      <c r="K321" s="56"/>
      <c r="L321" s="56"/>
      <c r="M321" s="56"/>
      <c r="N321" s="56"/>
      <c r="O321" s="56"/>
      <c r="P321" s="56"/>
      <c r="Q321" s="56"/>
      <c r="R321" s="56"/>
      <c r="S321" s="56"/>
      <c r="T321" s="56"/>
      <c r="U321" s="56"/>
      <c r="V321" s="56"/>
      <c r="W321" s="56"/>
      <c r="X321" s="56"/>
      <c r="Y321" s="56"/>
      <c r="Z321" s="56"/>
    </row>
    <row r="322" spans="1:26" ht="15.75" customHeight="1">
      <c r="A322" s="56"/>
      <c r="B322" s="56"/>
      <c r="C322" s="56"/>
      <c r="D322" s="56"/>
      <c r="E322" s="56"/>
      <c r="F322" s="56"/>
      <c r="G322" s="56"/>
      <c r="H322" s="56"/>
      <c r="I322" s="56"/>
      <c r="J322" s="56"/>
      <c r="K322" s="56"/>
      <c r="L322" s="56"/>
      <c r="M322" s="56"/>
      <c r="N322" s="56"/>
      <c r="O322" s="56"/>
      <c r="P322" s="56"/>
      <c r="Q322" s="56"/>
      <c r="R322" s="56"/>
      <c r="S322" s="56"/>
      <c r="T322" s="56"/>
      <c r="U322" s="56"/>
      <c r="V322" s="56"/>
      <c r="W322" s="56"/>
      <c r="X322" s="56"/>
      <c r="Y322" s="56"/>
      <c r="Z322" s="56"/>
    </row>
    <row r="323" spans="1:26" ht="15.75" customHeight="1">
      <c r="A323" s="56"/>
      <c r="B323" s="56"/>
      <c r="C323" s="56"/>
      <c r="D323" s="56"/>
      <c r="E323" s="56"/>
      <c r="F323" s="56"/>
      <c r="G323" s="56"/>
      <c r="H323" s="56"/>
      <c r="I323" s="56"/>
      <c r="J323" s="56"/>
      <c r="K323" s="56"/>
      <c r="L323" s="56"/>
      <c r="M323" s="56"/>
      <c r="N323" s="56"/>
      <c r="O323" s="56"/>
      <c r="P323" s="56"/>
      <c r="Q323" s="56"/>
      <c r="R323" s="56"/>
      <c r="S323" s="56"/>
      <c r="T323" s="56"/>
      <c r="U323" s="56"/>
      <c r="V323" s="56"/>
      <c r="W323" s="56"/>
      <c r="X323" s="56"/>
      <c r="Y323" s="56"/>
      <c r="Z323" s="56"/>
    </row>
    <row r="324" spans="1:26" ht="15.75" customHeight="1">
      <c r="A324" s="56"/>
      <c r="B324" s="56"/>
      <c r="C324" s="56"/>
      <c r="D324" s="56"/>
      <c r="E324" s="56"/>
      <c r="F324" s="56"/>
      <c r="G324" s="56"/>
      <c r="H324" s="56"/>
      <c r="I324" s="56"/>
      <c r="J324" s="56"/>
      <c r="K324" s="56"/>
      <c r="L324" s="56"/>
      <c r="M324" s="56"/>
      <c r="N324" s="56"/>
      <c r="O324" s="56"/>
      <c r="P324" s="56"/>
      <c r="Q324" s="56"/>
      <c r="R324" s="56"/>
      <c r="S324" s="56"/>
      <c r="T324" s="56"/>
      <c r="U324" s="56"/>
      <c r="V324" s="56"/>
      <c r="W324" s="56"/>
      <c r="X324" s="56"/>
      <c r="Y324" s="56"/>
      <c r="Z324" s="56"/>
    </row>
    <row r="325" spans="1:26" ht="15.75" customHeight="1">
      <c r="A325" s="56"/>
      <c r="B325" s="56"/>
      <c r="C325" s="56"/>
      <c r="D325" s="56"/>
      <c r="E325" s="56"/>
      <c r="F325" s="56"/>
      <c r="G325" s="56"/>
      <c r="H325" s="56"/>
      <c r="I325" s="56"/>
      <c r="J325" s="56"/>
      <c r="K325" s="56"/>
      <c r="L325" s="56"/>
      <c r="M325" s="56"/>
      <c r="N325" s="56"/>
      <c r="O325" s="56"/>
      <c r="P325" s="56"/>
      <c r="Q325" s="56"/>
      <c r="R325" s="56"/>
      <c r="S325" s="56"/>
      <c r="T325" s="56"/>
      <c r="U325" s="56"/>
      <c r="V325" s="56"/>
      <c r="W325" s="56"/>
      <c r="X325" s="56"/>
      <c r="Y325" s="56"/>
      <c r="Z325" s="56"/>
    </row>
    <row r="326" spans="1:26" ht="15.75" customHeight="1">
      <c r="A326" s="56"/>
      <c r="B326" s="56"/>
      <c r="C326" s="56"/>
      <c r="D326" s="56"/>
      <c r="E326" s="56"/>
      <c r="F326" s="56"/>
      <c r="G326" s="56"/>
      <c r="H326" s="56"/>
      <c r="I326" s="56"/>
      <c r="J326" s="56"/>
      <c r="K326" s="56"/>
      <c r="L326" s="56"/>
      <c r="M326" s="56"/>
      <c r="N326" s="56"/>
      <c r="O326" s="56"/>
      <c r="P326" s="56"/>
      <c r="Q326" s="56"/>
      <c r="R326" s="56"/>
      <c r="S326" s="56"/>
      <c r="T326" s="56"/>
      <c r="U326" s="56"/>
      <c r="V326" s="56"/>
      <c r="W326" s="56"/>
      <c r="X326" s="56"/>
      <c r="Y326" s="56"/>
      <c r="Z326" s="56"/>
    </row>
    <row r="327" spans="1:26" ht="15.75" customHeight="1">
      <c r="A327" s="56"/>
      <c r="B327" s="56"/>
      <c r="C327" s="56"/>
      <c r="D327" s="56"/>
      <c r="E327" s="56"/>
      <c r="F327" s="56"/>
      <c r="G327" s="56"/>
      <c r="H327" s="56"/>
      <c r="I327" s="56"/>
      <c r="J327" s="56"/>
      <c r="K327" s="56"/>
      <c r="L327" s="56"/>
      <c r="M327" s="56"/>
      <c r="N327" s="56"/>
      <c r="O327" s="56"/>
      <c r="P327" s="56"/>
      <c r="Q327" s="56"/>
      <c r="R327" s="56"/>
      <c r="S327" s="56"/>
      <c r="T327" s="56"/>
      <c r="U327" s="56"/>
      <c r="V327" s="56"/>
      <c r="W327" s="56"/>
      <c r="X327" s="56"/>
      <c r="Y327" s="56"/>
      <c r="Z327" s="56"/>
    </row>
    <row r="328" spans="1:26" ht="15.75" customHeight="1">
      <c r="A328" s="56"/>
      <c r="B328" s="56"/>
      <c r="C328" s="56"/>
      <c r="D328" s="56"/>
      <c r="E328" s="56"/>
      <c r="F328" s="56"/>
      <c r="G328" s="56"/>
      <c r="H328" s="56"/>
      <c r="I328" s="56"/>
      <c r="J328" s="56"/>
      <c r="K328" s="56"/>
      <c r="L328" s="56"/>
      <c r="M328" s="56"/>
      <c r="N328" s="56"/>
      <c r="O328" s="56"/>
      <c r="P328" s="56"/>
      <c r="Q328" s="56"/>
      <c r="R328" s="56"/>
      <c r="S328" s="56"/>
      <c r="T328" s="56"/>
      <c r="U328" s="56"/>
      <c r="V328" s="56"/>
      <c r="W328" s="56"/>
      <c r="X328" s="56"/>
      <c r="Y328" s="56"/>
      <c r="Z328" s="56"/>
    </row>
    <row r="329" spans="1:26" ht="15.75" customHeight="1">
      <c r="A329" s="56"/>
      <c r="B329" s="56"/>
      <c r="C329" s="56"/>
      <c r="D329" s="56"/>
      <c r="E329" s="56"/>
      <c r="F329" s="56"/>
      <c r="G329" s="56"/>
      <c r="H329" s="56"/>
      <c r="I329" s="56"/>
      <c r="J329" s="56"/>
      <c r="K329" s="56"/>
      <c r="L329" s="56"/>
      <c r="M329" s="56"/>
      <c r="N329" s="56"/>
      <c r="O329" s="56"/>
      <c r="P329" s="56"/>
      <c r="Q329" s="56"/>
      <c r="R329" s="56"/>
      <c r="S329" s="56"/>
      <c r="T329" s="56"/>
      <c r="U329" s="56"/>
      <c r="V329" s="56"/>
      <c r="W329" s="56"/>
      <c r="X329" s="56"/>
      <c r="Y329" s="56"/>
      <c r="Z329" s="56"/>
    </row>
    <row r="330" spans="1:26" ht="15.75" customHeight="1">
      <c r="A330" s="56"/>
      <c r="B330" s="56"/>
      <c r="C330" s="56"/>
      <c r="D330" s="56"/>
      <c r="E330" s="56"/>
      <c r="F330" s="56"/>
      <c r="G330" s="56"/>
      <c r="H330" s="56"/>
      <c r="I330" s="56"/>
      <c r="J330" s="56"/>
      <c r="K330" s="56"/>
      <c r="L330" s="56"/>
      <c r="M330" s="56"/>
      <c r="N330" s="56"/>
      <c r="O330" s="56"/>
      <c r="P330" s="56"/>
      <c r="Q330" s="56"/>
      <c r="R330" s="56"/>
      <c r="S330" s="56"/>
      <c r="T330" s="56"/>
      <c r="U330" s="56"/>
      <c r="V330" s="56"/>
      <c r="W330" s="56"/>
      <c r="X330" s="56"/>
      <c r="Y330" s="56"/>
      <c r="Z330" s="56"/>
    </row>
    <row r="331" spans="1:26" ht="15.75" customHeight="1">
      <c r="A331" s="56"/>
      <c r="B331" s="56"/>
      <c r="C331" s="56"/>
      <c r="D331" s="56"/>
      <c r="E331" s="56"/>
      <c r="F331" s="56"/>
      <c r="G331" s="56"/>
      <c r="H331" s="56"/>
      <c r="I331" s="56"/>
      <c r="J331" s="56"/>
      <c r="K331" s="56"/>
      <c r="L331" s="56"/>
      <c r="M331" s="56"/>
      <c r="N331" s="56"/>
      <c r="O331" s="56"/>
      <c r="P331" s="56"/>
      <c r="Q331" s="56"/>
      <c r="R331" s="56"/>
      <c r="S331" s="56"/>
      <c r="T331" s="56"/>
      <c r="U331" s="56"/>
      <c r="V331" s="56"/>
      <c r="W331" s="56"/>
      <c r="X331" s="56"/>
      <c r="Y331" s="56"/>
      <c r="Z331" s="56"/>
    </row>
    <row r="332" spans="1:26" ht="15.75" customHeight="1">
      <c r="A332" s="56"/>
      <c r="B332" s="56"/>
      <c r="C332" s="56"/>
      <c r="D332" s="56"/>
      <c r="E332" s="56"/>
      <c r="F332" s="56"/>
      <c r="G332" s="56"/>
      <c r="H332" s="56"/>
      <c r="I332" s="56"/>
      <c r="J332" s="56"/>
      <c r="K332" s="56"/>
      <c r="L332" s="56"/>
      <c r="M332" s="56"/>
      <c r="N332" s="56"/>
      <c r="O332" s="56"/>
      <c r="P332" s="56"/>
      <c r="Q332" s="56"/>
      <c r="R332" s="56"/>
      <c r="S332" s="56"/>
      <c r="T332" s="56"/>
      <c r="U332" s="56"/>
      <c r="V332" s="56"/>
      <c r="W332" s="56"/>
      <c r="X332" s="56"/>
      <c r="Y332" s="56"/>
      <c r="Z332" s="56"/>
    </row>
    <row r="333" spans="1:26" ht="15.75" customHeight="1">
      <c r="A333" s="56"/>
      <c r="B333" s="56"/>
      <c r="C333" s="56"/>
      <c r="D333" s="56"/>
      <c r="E333" s="56"/>
      <c r="F333" s="56"/>
      <c r="G333" s="56"/>
      <c r="H333" s="56"/>
      <c r="I333" s="56"/>
      <c r="J333" s="56"/>
      <c r="K333" s="56"/>
      <c r="L333" s="56"/>
      <c r="M333" s="56"/>
      <c r="N333" s="56"/>
      <c r="O333" s="56"/>
      <c r="P333" s="56"/>
      <c r="Q333" s="56"/>
      <c r="R333" s="56"/>
      <c r="S333" s="56"/>
      <c r="T333" s="56"/>
      <c r="U333" s="56"/>
      <c r="V333" s="56"/>
      <c r="W333" s="56"/>
      <c r="X333" s="56"/>
      <c r="Y333" s="56"/>
      <c r="Z333" s="56"/>
    </row>
    <row r="334" spans="1:26" ht="15.75" customHeight="1">
      <c r="A334" s="56"/>
      <c r="B334" s="56"/>
      <c r="C334" s="56"/>
      <c r="D334" s="56"/>
      <c r="E334" s="56"/>
      <c r="F334" s="56"/>
      <c r="G334" s="56"/>
      <c r="H334" s="56"/>
      <c r="I334" s="56"/>
      <c r="J334" s="56"/>
      <c r="K334" s="56"/>
      <c r="L334" s="56"/>
      <c r="M334" s="56"/>
      <c r="N334" s="56"/>
      <c r="O334" s="56"/>
      <c r="P334" s="56"/>
      <c r="Q334" s="56"/>
      <c r="R334" s="56"/>
      <c r="S334" s="56"/>
      <c r="T334" s="56"/>
      <c r="U334" s="56"/>
      <c r="V334" s="56"/>
      <c r="W334" s="56"/>
      <c r="X334" s="56"/>
      <c r="Y334" s="56"/>
      <c r="Z334" s="56"/>
    </row>
    <row r="335" spans="1:26" ht="15.75" customHeight="1">
      <c r="A335" s="56"/>
      <c r="B335" s="56"/>
      <c r="C335" s="56"/>
      <c r="D335" s="56"/>
      <c r="E335" s="56"/>
      <c r="F335" s="56"/>
      <c r="G335" s="56"/>
      <c r="H335" s="56"/>
      <c r="I335" s="56"/>
      <c r="J335" s="56"/>
      <c r="K335" s="56"/>
      <c r="L335" s="56"/>
      <c r="M335" s="56"/>
      <c r="N335" s="56"/>
      <c r="O335" s="56"/>
      <c r="P335" s="56"/>
      <c r="Q335" s="56"/>
      <c r="R335" s="56"/>
      <c r="S335" s="56"/>
      <c r="T335" s="56"/>
      <c r="U335" s="56"/>
      <c r="V335" s="56"/>
      <c r="W335" s="56"/>
      <c r="X335" s="56"/>
      <c r="Y335" s="56"/>
      <c r="Z335" s="56"/>
    </row>
    <row r="336" spans="1:26" ht="15.75" customHeight="1">
      <c r="A336" s="56"/>
      <c r="B336" s="56"/>
      <c r="C336" s="56"/>
      <c r="D336" s="56"/>
      <c r="E336" s="56"/>
      <c r="F336" s="56"/>
      <c r="G336" s="56"/>
      <c r="H336" s="56"/>
      <c r="I336" s="56"/>
      <c r="J336" s="56"/>
      <c r="K336" s="56"/>
      <c r="L336" s="56"/>
      <c r="M336" s="56"/>
      <c r="N336" s="56"/>
      <c r="O336" s="56"/>
      <c r="P336" s="56"/>
      <c r="Q336" s="56"/>
      <c r="R336" s="56"/>
      <c r="S336" s="56"/>
      <c r="T336" s="56"/>
      <c r="U336" s="56"/>
      <c r="V336" s="56"/>
      <c r="W336" s="56"/>
      <c r="X336" s="56"/>
      <c r="Y336" s="56"/>
      <c r="Z336" s="56"/>
    </row>
    <row r="337" spans="1:26" ht="15.75" customHeight="1">
      <c r="A337" s="56"/>
      <c r="B337" s="56"/>
      <c r="C337" s="56"/>
      <c r="D337" s="56"/>
      <c r="E337" s="56"/>
      <c r="F337" s="56"/>
      <c r="G337" s="56"/>
      <c r="H337" s="56"/>
      <c r="I337" s="56"/>
      <c r="J337" s="56"/>
      <c r="K337" s="56"/>
      <c r="L337" s="56"/>
      <c r="M337" s="56"/>
      <c r="N337" s="56"/>
      <c r="O337" s="56"/>
      <c r="P337" s="56"/>
      <c r="Q337" s="56"/>
      <c r="R337" s="56"/>
      <c r="S337" s="56"/>
      <c r="T337" s="56"/>
      <c r="U337" s="56"/>
      <c r="V337" s="56"/>
      <c r="W337" s="56"/>
      <c r="X337" s="56"/>
      <c r="Y337" s="56"/>
      <c r="Z337" s="56"/>
    </row>
    <row r="338" spans="1:26" ht="15.75" customHeight="1">
      <c r="A338" s="56"/>
      <c r="B338" s="56"/>
      <c r="C338" s="56"/>
      <c r="D338" s="56"/>
      <c r="E338" s="56"/>
      <c r="F338" s="56"/>
      <c r="G338" s="56"/>
      <c r="H338" s="56"/>
      <c r="I338" s="56"/>
      <c r="J338" s="56"/>
      <c r="K338" s="56"/>
      <c r="L338" s="56"/>
      <c r="M338" s="56"/>
      <c r="N338" s="56"/>
      <c r="O338" s="56"/>
      <c r="P338" s="56"/>
      <c r="Q338" s="56"/>
      <c r="R338" s="56"/>
      <c r="S338" s="56"/>
      <c r="T338" s="56"/>
      <c r="U338" s="56"/>
      <c r="V338" s="56"/>
      <c r="W338" s="56"/>
      <c r="X338" s="56"/>
      <c r="Y338" s="56"/>
      <c r="Z338" s="56"/>
    </row>
    <row r="339" spans="1:26" ht="15.75" customHeight="1">
      <c r="A339" s="56"/>
      <c r="B339" s="56"/>
      <c r="C339" s="56"/>
      <c r="D339" s="56"/>
      <c r="E339" s="56"/>
      <c r="F339" s="56"/>
      <c r="G339" s="56"/>
      <c r="H339" s="56"/>
      <c r="I339" s="56"/>
      <c r="J339" s="56"/>
      <c r="K339" s="56"/>
      <c r="L339" s="56"/>
      <c r="M339" s="56"/>
      <c r="N339" s="56"/>
      <c r="O339" s="56"/>
      <c r="P339" s="56"/>
      <c r="Q339" s="56"/>
      <c r="R339" s="56"/>
      <c r="S339" s="56"/>
      <c r="T339" s="56"/>
      <c r="U339" s="56"/>
      <c r="V339" s="56"/>
      <c r="W339" s="56"/>
      <c r="X339" s="56"/>
      <c r="Y339" s="56"/>
      <c r="Z339" s="56"/>
    </row>
    <row r="340" spans="1:26" ht="15.75" customHeight="1">
      <c r="A340" s="56"/>
      <c r="B340" s="56"/>
      <c r="C340" s="56"/>
      <c r="D340" s="56"/>
      <c r="E340" s="56"/>
      <c r="F340" s="56"/>
      <c r="G340" s="56"/>
      <c r="H340" s="56"/>
      <c r="I340" s="56"/>
      <c r="J340" s="56"/>
      <c r="K340" s="56"/>
      <c r="L340" s="56"/>
      <c r="M340" s="56"/>
      <c r="N340" s="56"/>
      <c r="O340" s="56"/>
      <c r="P340" s="56"/>
      <c r="Q340" s="56"/>
      <c r="R340" s="56"/>
      <c r="S340" s="56"/>
      <c r="T340" s="56"/>
      <c r="U340" s="56"/>
      <c r="V340" s="56"/>
      <c r="W340" s="56"/>
      <c r="X340" s="56"/>
      <c r="Y340" s="56"/>
      <c r="Z340" s="56"/>
    </row>
    <row r="341" spans="1:26" ht="15.75" customHeight="1">
      <c r="A341" s="56"/>
      <c r="B341" s="56"/>
      <c r="C341" s="56"/>
      <c r="D341" s="56"/>
      <c r="E341" s="56"/>
      <c r="F341" s="56"/>
      <c r="G341" s="56"/>
      <c r="H341" s="56"/>
      <c r="I341" s="56"/>
      <c r="J341" s="56"/>
      <c r="K341" s="56"/>
      <c r="L341" s="56"/>
      <c r="M341" s="56"/>
      <c r="N341" s="56"/>
      <c r="O341" s="56"/>
      <c r="P341" s="56"/>
      <c r="Q341" s="56"/>
      <c r="R341" s="56"/>
      <c r="S341" s="56"/>
      <c r="T341" s="56"/>
      <c r="U341" s="56"/>
      <c r="V341" s="56"/>
      <c r="W341" s="56"/>
      <c r="X341" s="56"/>
      <c r="Y341" s="56"/>
      <c r="Z341" s="56"/>
    </row>
    <row r="342" spans="1:26" ht="15.75" customHeight="1">
      <c r="A342" s="56"/>
      <c r="B342" s="56"/>
      <c r="C342" s="56"/>
      <c r="D342" s="56"/>
      <c r="E342" s="56"/>
      <c r="F342" s="56"/>
      <c r="G342" s="56"/>
      <c r="H342" s="56"/>
      <c r="I342" s="56"/>
      <c r="J342" s="56"/>
      <c r="K342" s="56"/>
      <c r="L342" s="56"/>
      <c r="M342" s="56"/>
      <c r="N342" s="56"/>
      <c r="O342" s="56"/>
      <c r="P342" s="56"/>
      <c r="Q342" s="56"/>
      <c r="R342" s="56"/>
      <c r="S342" s="56"/>
      <c r="T342" s="56"/>
      <c r="U342" s="56"/>
      <c r="V342" s="56"/>
      <c r="W342" s="56"/>
      <c r="X342" s="56"/>
      <c r="Y342" s="56"/>
      <c r="Z342" s="56"/>
    </row>
    <row r="343" spans="1:26" ht="15.75" customHeight="1">
      <c r="A343" s="56"/>
      <c r="B343" s="56"/>
      <c r="C343" s="56"/>
      <c r="D343" s="56"/>
      <c r="E343" s="56"/>
      <c r="F343" s="56"/>
      <c r="G343" s="56"/>
      <c r="H343" s="56"/>
      <c r="I343" s="56"/>
      <c r="J343" s="56"/>
      <c r="K343" s="56"/>
      <c r="L343" s="56"/>
      <c r="M343" s="56"/>
      <c r="N343" s="56"/>
      <c r="O343" s="56"/>
      <c r="P343" s="56"/>
      <c r="Q343" s="56"/>
      <c r="R343" s="56"/>
      <c r="S343" s="56"/>
      <c r="T343" s="56"/>
      <c r="U343" s="56"/>
      <c r="V343" s="56"/>
      <c r="W343" s="56"/>
      <c r="X343" s="56"/>
      <c r="Y343" s="56"/>
      <c r="Z343" s="56"/>
    </row>
    <row r="344" spans="1:26" ht="15.75" customHeight="1">
      <c r="A344" s="56"/>
      <c r="B344" s="56"/>
      <c r="C344" s="56"/>
      <c r="D344" s="56"/>
      <c r="E344" s="56"/>
      <c r="F344" s="56"/>
      <c r="G344" s="56"/>
      <c r="H344" s="56"/>
      <c r="I344" s="56"/>
      <c r="J344" s="56"/>
      <c r="K344" s="56"/>
      <c r="L344" s="56"/>
      <c r="M344" s="56"/>
      <c r="N344" s="56"/>
      <c r="O344" s="56"/>
      <c r="P344" s="56"/>
      <c r="Q344" s="56"/>
      <c r="R344" s="56"/>
      <c r="S344" s="56"/>
      <c r="T344" s="56"/>
      <c r="U344" s="56"/>
      <c r="V344" s="56"/>
      <c r="W344" s="56"/>
      <c r="X344" s="56"/>
      <c r="Y344" s="56"/>
      <c r="Z344" s="56"/>
    </row>
    <row r="345" spans="1:26" ht="15.75" customHeight="1">
      <c r="A345" s="56"/>
      <c r="B345" s="56"/>
      <c r="C345" s="56"/>
      <c r="D345" s="56"/>
      <c r="E345" s="56"/>
      <c r="F345" s="56"/>
      <c r="G345" s="56"/>
      <c r="H345" s="56"/>
      <c r="I345" s="56"/>
      <c r="J345" s="56"/>
      <c r="K345" s="56"/>
      <c r="L345" s="56"/>
      <c r="M345" s="56"/>
      <c r="N345" s="56"/>
      <c r="O345" s="56"/>
      <c r="P345" s="56"/>
      <c r="Q345" s="56"/>
      <c r="R345" s="56"/>
      <c r="S345" s="56"/>
      <c r="T345" s="56"/>
      <c r="U345" s="56"/>
      <c r="V345" s="56"/>
      <c r="W345" s="56"/>
      <c r="X345" s="56"/>
      <c r="Y345" s="56"/>
      <c r="Z345" s="56"/>
    </row>
    <row r="346" spans="1:26" ht="15.75" customHeight="1">
      <c r="A346" s="56"/>
      <c r="B346" s="56"/>
      <c r="C346" s="56"/>
      <c r="D346" s="56"/>
      <c r="E346" s="56"/>
      <c r="F346" s="56"/>
      <c r="G346" s="56"/>
      <c r="H346" s="56"/>
      <c r="I346" s="56"/>
      <c r="J346" s="56"/>
      <c r="K346" s="56"/>
      <c r="L346" s="56"/>
      <c r="M346" s="56"/>
      <c r="N346" s="56"/>
      <c r="O346" s="56"/>
      <c r="P346" s="56"/>
      <c r="Q346" s="56"/>
      <c r="R346" s="56"/>
      <c r="S346" s="56"/>
      <c r="T346" s="56"/>
      <c r="U346" s="56"/>
      <c r="V346" s="56"/>
      <c r="W346" s="56"/>
      <c r="X346" s="56"/>
      <c r="Y346" s="56"/>
      <c r="Z346" s="56"/>
    </row>
    <row r="347" spans="1:26" ht="15.75" customHeight="1">
      <c r="A347" s="56"/>
      <c r="B347" s="56"/>
      <c r="C347" s="56"/>
      <c r="D347" s="56"/>
      <c r="E347" s="56"/>
      <c r="F347" s="56"/>
      <c r="G347" s="56"/>
      <c r="H347" s="56"/>
      <c r="I347" s="56"/>
      <c r="J347" s="56"/>
      <c r="K347" s="56"/>
      <c r="L347" s="56"/>
      <c r="M347" s="56"/>
      <c r="N347" s="56"/>
      <c r="O347" s="56"/>
      <c r="P347" s="56"/>
      <c r="Q347" s="56"/>
      <c r="R347" s="56"/>
      <c r="S347" s="56"/>
      <c r="T347" s="56"/>
      <c r="U347" s="56"/>
      <c r="V347" s="56"/>
      <c r="W347" s="56"/>
      <c r="X347" s="56"/>
      <c r="Y347" s="56"/>
      <c r="Z347" s="56"/>
    </row>
    <row r="348" spans="1:26" ht="15.75" customHeight="1">
      <c r="A348" s="56"/>
      <c r="B348" s="56"/>
      <c r="C348" s="56"/>
      <c r="D348" s="56"/>
      <c r="E348" s="56"/>
      <c r="F348" s="56"/>
      <c r="G348" s="56"/>
      <c r="H348" s="56"/>
      <c r="I348" s="56"/>
      <c r="J348" s="56"/>
      <c r="K348" s="56"/>
      <c r="L348" s="56"/>
      <c r="M348" s="56"/>
      <c r="N348" s="56"/>
      <c r="O348" s="56"/>
      <c r="P348" s="56"/>
      <c r="Q348" s="56"/>
      <c r="R348" s="56"/>
      <c r="S348" s="56"/>
      <c r="T348" s="56"/>
      <c r="U348" s="56"/>
      <c r="V348" s="56"/>
      <c r="W348" s="56"/>
      <c r="X348" s="56"/>
      <c r="Y348" s="56"/>
      <c r="Z348" s="56"/>
    </row>
    <row r="349" spans="1:26" ht="15.75" customHeight="1">
      <c r="A349" s="56"/>
      <c r="B349" s="56"/>
      <c r="C349" s="56"/>
      <c r="D349" s="56"/>
      <c r="E349" s="56"/>
      <c r="F349" s="56"/>
      <c r="G349" s="56"/>
      <c r="H349" s="56"/>
      <c r="I349" s="56"/>
      <c r="J349" s="56"/>
      <c r="K349" s="56"/>
      <c r="L349" s="56"/>
      <c r="M349" s="56"/>
      <c r="N349" s="56"/>
      <c r="O349" s="56"/>
      <c r="P349" s="56"/>
      <c r="Q349" s="56"/>
      <c r="R349" s="56"/>
      <c r="S349" s="56"/>
      <c r="T349" s="56"/>
      <c r="U349" s="56"/>
      <c r="V349" s="56"/>
      <c r="W349" s="56"/>
      <c r="X349" s="56"/>
      <c r="Y349" s="56"/>
      <c r="Z349" s="56"/>
    </row>
    <row r="350" spans="1:26" ht="15.75" customHeight="1">
      <c r="A350" s="56"/>
      <c r="B350" s="56"/>
      <c r="C350" s="56"/>
      <c r="D350" s="56"/>
      <c r="E350" s="56"/>
      <c r="F350" s="56"/>
      <c r="G350" s="56"/>
      <c r="H350" s="56"/>
      <c r="I350" s="56"/>
      <c r="J350" s="56"/>
      <c r="K350" s="56"/>
      <c r="L350" s="56"/>
      <c r="M350" s="56"/>
      <c r="N350" s="56"/>
      <c r="O350" s="56"/>
      <c r="P350" s="56"/>
      <c r="Q350" s="56"/>
      <c r="R350" s="56"/>
      <c r="S350" s="56"/>
      <c r="T350" s="56"/>
      <c r="U350" s="56"/>
      <c r="V350" s="56"/>
      <c r="W350" s="56"/>
      <c r="X350" s="56"/>
      <c r="Y350" s="56"/>
      <c r="Z350" s="56"/>
    </row>
    <row r="351" spans="1:26" ht="15.75" customHeight="1">
      <c r="A351" s="56"/>
      <c r="B351" s="56"/>
      <c r="C351" s="56"/>
      <c r="D351" s="56"/>
      <c r="E351" s="56"/>
      <c r="F351" s="56"/>
      <c r="G351" s="56"/>
      <c r="H351" s="56"/>
      <c r="I351" s="56"/>
      <c r="J351" s="56"/>
      <c r="K351" s="56"/>
      <c r="L351" s="56"/>
      <c r="M351" s="56"/>
      <c r="N351" s="56"/>
      <c r="O351" s="56"/>
      <c r="P351" s="56"/>
      <c r="Q351" s="56"/>
      <c r="R351" s="56"/>
      <c r="S351" s="56"/>
      <c r="T351" s="56"/>
      <c r="U351" s="56"/>
      <c r="V351" s="56"/>
      <c r="W351" s="56"/>
      <c r="X351" s="56"/>
      <c r="Y351" s="56"/>
      <c r="Z351" s="56"/>
    </row>
    <row r="352" spans="1:26" ht="15.75" customHeight="1">
      <c r="A352" s="56"/>
      <c r="B352" s="56"/>
      <c r="C352" s="56"/>
      <c r="D352" s="56"/>
      <c r="E352" s="56"/>
      <c r="F352" s="56"/>
      <c r="G352" s="56"/>
      <c r="H352" s="56"/>
      <c r="I352" s="56"/>
      <c r="J352" s="56"/>
      <c r="K352" s="56"/>
      <c r="L352" s="56"/>
      <c r="M352" s="56"/>
      <c r="N352" s="56"/>
      <c r="O352" s="56"/>
      <c r="P352" s="56"/>
      <c r="Q352" s="56"/>
      <c r="R352" s="56"/>
      <c r="S352" s="56"/>
      <c r="T352" s="56"/>
      <c r="U352" s="56"/>
      <c r="V352" s="56"/>
      <c r="W352" s="56"/>
      <c r="X352" s="56"/>
      <c r="Y352" s="56"/>
      <c r="Z352" s="56"/>
    </row>
    <row r="353" spans="1:26" ht="15.75" customHeight="1">
      <c r="A353" s="56"/>
      <c r="B353" s="56"/>
      <c r="C353" s="56"/>
      <c r="D353" s="56"/>
      <c r="E353" s="56"/>
      <c r="F353" s="56"/>
      <c r="G353" s="56"/>
      <c r="H353" s="56"/>
      <c r="I353" s="56"/>
      <c r="J353" s="56"/>
      <c r="K353" s="56"/>
      <c r="L353" s="56"/>
      <c r="M353" s="56"/>
      <c r="N353" s="56"/>
      <c r="O353" s="56"/>
      <c r="P353" s="56"/>
      <c r="Q353" s="56"/>
      <c r="R353" s="56"/>
      <c r="S353" s="56"/>
      <c r="T353" s="56"/>
      <c r="U353" s="56"/>
      <c r="V353" s="56"/>
      <c r="W353" s="56"/>
      <c r="X353" s="56"/>
      <c r="Y353" s="56"/>
      <c r="Z353" s="56"/>
    </row>
    <row r="354" spans="1:26" ht="15.75" customHeight="1">
      <c r="A354" s="56"/>
      <c r="B354" s="56"/>
      <c r="C354" s="56"/>
      <c r="D354" s="56"/>
      <c r="E354" s="56"/>
      <c r="F354" s="56"/>
      <c r="G354" s="56"/>
      <c r="H354" s="56"/>
      <c r="I354" s="56"/>
      <c r="J354" s="56"/>
      <c r="K354" s="56"/>
      <c r="L354" s="56"/>
      <c r="M354" s="56"/>
      <c r="N354" s="56"/>
      <c r="O354" s="56"/>
      <c r="P354" s="56"/>
      <c r="Q354" s="56"/>
      <c r="R354" s="56"/>
      <c r="S354" s="56"/>
      <c r="T354" s="56"/>
      <c r="U354" s="56"/>
      <c r="V354" s="56"/>
      <c r="W354" s="56"/>
      <c r="X354" s="56"/>
      <c r="Y354" s="56"/>
      <c r="Z354" s="56"/>
    </row>
    <row r="355" spans="1:26" ht="15.75" customHeight="1">
      <c r="A355" s="56"/>
      <c r="B355" s="56"/>
      <c r="C355" s="56"/>
      <c r="D355" s="56"/>
      <c r="E355" s="56"/>
      <c r="F355" s="56"/>
      <c r="G355" s="56"/>
      <c r="H355" s="56"/>
      <c r="I355" s="56"/>
      <c r="J355" s="56"/>
      <c r="K355" s="56"/>
      <c r="L355" s="56"/>
      <c r="M355" s="56"/>
      <c r="N355" s="56"/>
      <c r="O355" s="56"/>
      <c r="P355" s="56"/>
      <c r="Q355" s="56"/>
      <c r="R355" s="56"/>
      <c r="S355" s="56"/>
      <c r="T355" s="56"/>
      <c r="U355" s="56"/>
      <c r="V355" s="56"/>
      <c r="W355" s="56"/>
      <c r="X355" s="56"/>
      <c r="Y355" s="56"/>
      <c r="Z355" s="56"/>
    </row>
    <row r="356" spans="1:26" ht="15.75" customHeight="1">
      <c r="A356" s="56"/>
      <c r="B356" s="56"/>
      <c r="C356" s="56"/>
      <c r="D356" s="56"/>
      <c r="E356" s="56"/>
      <c r="F356" s="56"/>
      <c r="G356" s="56"/>
      <c r="H356" s="56"/>
      <c r="I356" s="56"/>
      <c r="J356" s="56"/>
      <c r="K356" s="56"/>
      <c r="L356" s="56"/>
      <c r="M356" s="56"/>
      <c r="N356" s="56"/>
      <c r="O356" s="56"/>
      <c r="P356" s="56"/>
      <c r="Q356" s="56"/>
      <c r="R356" s="56"/>
      <c r="S356" s="56"/>
      <c r="T356" s="56"/>
      <c r="U356" s="56"/>
      <c r="V356" s="56"/>
      <c r="W356" s="56"/>
      <c r="X356" s="56"/>
      <c r="Y356" s="56"/>
      <c r="Z356" s="56"/>
    </row>
    <row r="357" spans="1:26" ht="15.75" customHeight="1">
      <c r="A357" s="56"/>
      <c r="B357" s="56"/>
      <c r="C357" s="56"/>
      <c r="D357" s="56"/>
      <c r="E357" s="56"/>
      <c r="F357" s="56"/>
      <c r="G357" s="56"/>
      <c r="H357" s="56"/>
      <c r="I357" s="56"/>
      <c r="J357" s="56"/>
      <c r="K357" s="56"/>
      <c r="L357" s="56"/>
      <c r="M357" s="56"/>
      <c r="N357" s="56"/>
      <c r="O357" s="56"/>
      <c r="P357" s="56"/>
      <c r="Q357" s="56"/>
      <c r="R357" s="56"/>
      <c r="S357" s="56"/>
      <c r="T357" s="56"/>
      <c r="U357" s="56"/>
      <c r="V357" s="56"/>
      <c r="W357" s="56"/>
      <c r="X357" s="56"/>
      <c r="Y357" s="56"/>
      <c r="Z357" s="56"/>
    </row>
    <row r="358" spans="1:26" ht="15.75" customHeight="1">
      <c r="A358" s="56"/>
      <c r="B358" s="56"/>
      <c r="C358" s="56"/>
      <c r="D358" s="56"/>
      <c r="E358" s="56"/>
      <c r="F358" s="56"/>
      <c r="G358" s="56"/>
      <c r="H358" s="56"/>
      <c r="I358" s="56"/>
      <c r="J358" s="56"/>
      <c r="K358" s="56"/>
      <c r="L358" s="56"/>
      <c r="M358" s="56"/>
      <c r="N358" s="56"/>
      <c r="O358" s="56"/>
      <c r="P358" s="56"/>
      <c r="Q358" s="56"/>
      <c r="R358" s="56"/>
      <c r="S358" s="56"/>
      <c r="T358" s="56"/>
      <c r="U358" s="56"/>
      <c r="V358" s="56"/>
      <c r="W358" s="56"/>
      <c r="X358" s="56"/>
      <c r="Y358" s="56"/>
      <c r="Z358" s="56"/>
    </row>
    <row r="359" spans="1:26" ht="15.75" customHeight="1">
      <c r="A359" s="56"/>
      <c r="B359" s="56"/>
      <c r="C359" s="56"/>
      <c r="D359" s="56"/>
      <c r="E359" s="56"/>
      <c r="F359" s="56"/>
      <c r="G359" s="56"/>
      <c r="H359" s="56"/>
      <c r="I359" s="56"/>
      <c r="J359" s="56"/>
      <c r="K359" s="56"/>
      <c r="L359" s="56"/>
      <c r="M359" s="56"/>
      <c r="N359" s="56"/>
      <c r="O359" s="56"/>
      <c r="P359" s="56"/>
      <c r="Q359" s="56"/>
      <c r="R359" s="56"/>
      <c r="S359" s="56"/>
      <c r="T359" s="56"/>
      <c r="U359" s="56"/>
      <c r="V359" s="56"/>
      <c r="W359" s="56"/>
      <c r="X359" s="56"/>
      <c r="Y359" s="56"/>
      <c r="Z359" s="56"/>
    </row>
    <row r="360" spans="1:26" ht="15.75" customHeight="1">
      <c r="A360" s="56"/>
      <c r="B360" s="56"/>
      <c r="C360" s="56"/>
      <c r="D360" s="56"/>
      <c r="E360" s="56"/>
      <c r="F360" s="56"/>
      <c r="G360" s="56"/>
      <c r="H360" s="56"/>
      <c r="I360" s="56"/>
      <c r="J360" s="56"/>
      <c r="K360" s="56"/>
      <c r="L360" s="56"/>
      <c r="M360" s="56"/>
      <c r="N360" s="56"/>
      <c r="O360" s="56"/>
      <c r="P360" s="56"/>
      <c r="Q360" s="56"/>
      <c r="R360" s="56"/>
      <c r="S360" s="56"/>
      <c r="T360" s="56"/>
      <c r="U360" s="56"/>
      <c r="V360" s="56"/>
      <c r="W360" s="56"/>
      <c r="X360" s="56"/>
      <c r="Y360" s="56"/>
      <c r="Z360" s="56"/>
    </row>
    <row r="361" spans="1:26" ht="15.75" customHeight="1">
      <c r="A361" s="56"/>
      <c r="B361" s="56"/>
      <c r="C361" s="56"/>
      <c r="D361" s="56"/>
      <c r="E361" s="56"/>
      <c r="F361" s="56"/>
      <c r="G361" s="56"/>
      <c r="H361" s="56"/>
      <c r="I361" s="56"/>
      <c r="J361" s="56"/>
      <c r="K361" s="56"/>
      <c r="L361" s="56"/>
      <c r="M361" s="56"/>
      <c r="N361" s="56"/>
      <c r="O361" s="56"/>
      <c r="P361" s="56"/>
      <c r="Q361" s="56"/>
      <c r="R361" s="56"/>
      <c r="S361" s="56"/>
      <c r="T361" s="56"/>
      <c r="U361" s="56"/>
      <c r="V361" s="56"/>
      <c r="W361" s="56"/>
      <c r="X361" s="56"/>
      <c r="Y361" s="56"/>
      <c r="Z361" s="56"/>
    </row>
    <row r="362" spans="1:26" ht="15.75" customHeight="1">
      <c r="A362" s="56"/>
      <c r="B362" s="56"/>
      <c r="C362" s="56"/>
      <c r="D362" s="56"/>
      <c r="E362" s="56"/>
      <c r="F362" s="56"/>
      <c r="G362" s="56"/>
      <c r="H362" s="56"/>
      <c r="I362" s="56"/>
      <c r="J362" s="56"/>
      <c r="K362" s="56"/>
      <c r="L362" s="56"/>
      <c r="M362" s="56"/>
      <c r="N362" s="56"/>
      <c r="O362" s="56"/>
      <c r="P362" s="56"/>
      <c r="Q362" s="56"/>
      <c r="R362" s="56"/>
      <c r="S362" s="56"/>
      <c r="T362" s="56"/>
      <c r="U362" s="56"/>
      <c r="V362" s="56"/>
      <c r="W362" s="56"/>
      <c r="X362" s="56"/>
      <c r="Y362" s="56"/>
      <c r="Z362" s="56"/>
    </row>
    <row r="363" spans="1:26" ht="15.75" customHeight="1">
      <c r="A363" s="56"/>
      <c r="B363" s="56"/>
      <c r="C363" s="56"/>
      <c r="D363" s="56"/>
      <c r="E363" s="56"/>
      <c r="F363" s="56"/>
      <c r="G363" s="56"/>
      <c r="H363" s="56"/>
      <c r="I363" s="56"/>
      <c r="J363" s="56"/>
      <c r="K363" s="56"/>
      <c r="L363" s="56"/>
      <c r="M363" s="56"/>
      <c r="N363" s="56"/>
      <c r="O363" s="56"/>
      <c r="P363" s="56"/>
      <c r="Q363" s="56"/>
      <c r="R363" s="56"/>
      <c r="S363" s="56"/>
      <c r="T363" s="56"/>
      <c r="U363" s="56"/>
      <c r="V363" s="56"/>
      <c r="W363" s="56"/>
      <c r="X363" s="56"/>
      <c r="Y363" s="56"/>
      <c r="Z363" s="56"/>
    </row>
    <row r="364" spans="1:26" ht="15.75" customHeight="1">
      <c r="A364" s="56"/>
      <c r="B364" s="56"/>
      <c r="C364" s="56"/>
      <c r="D364" s="56"/>
      <c r="E364" s="56"/>
      <c r="F364" s="56"/>
      <c r="G364" s="56"/>
      <c r="H364" s="56"/>
      <c r="I364" s="56"/>
      <c r="J364" s="56"/>
      <c r="K364" s="56"/>
      <c r="L364" s="56"/>
      <c r="M364" s="56"/>
      <c r="N364" s="56"/>
      <c r="O364" s="56"/>
      <c r="P364" s="56"/>
      <c r="Q364" s="56"/>
      <c r="R364" s="56"/>
      <c r="S364" s="56"/>
      <c r="T364" s="56"/>
      <c r="U364" s="56"/>
      <c r="V364" s="56"/>
      <c r="W364" s="56"/>
      <c r="X364" s="56"/>
      <c r="Y364" s="56"/>
      <c r="Z364" s="56"/>
    </row>
    <row r="365" spans="1:26" ht="15.75" customHeight="1">
      <c r="A365" s="56"/>
      <c r="B365" s="56"/>
      <c r="C365" s="56"/>
      <c r="D365" s="56"/>
      <c r="E365" s="56"/>
      <c r="F365" s="56"/>
      <c r="G365" s="56"/>
      <c r="H365" s="56"/>
      <c r="I365" s="56"/>
      <c r="J365" s="56"/>
      <c r="K365" s="56"/>
      <c r="L365" s="56"/>
      <c r="M365" s="56"/>
      <c r="N365" s="56"/>
      <c r="O365" s="56"/>
      <c r="P365" s="56"/>
      <c r="Q365" s="56"/>
      <c r="R365" s="56"/>
      <c r="S365" s="56"/>
      <c r="T365" s="56"/>
      <c r="U365" s="56"/>
      <c r="V365" s="56"/>
      <c r="W365" s="56"/>
      <c r="X365" s="56"/>
      <c r="Y365" s="56"/>
      <c r="Z365" s="56"/>
    </row>
    <row r="366" spans="1:26" ht="15.75" customHeight="1">
      <c r="A366" s="56"/>
      <c r="B366" s="56"/>
      <c r="C366" s="56"/>
      <c r="D366" s="56"/>
      <c r="E366" s="56"/>
      <c r="F366" s="56"/>
      <c r="G366" s="56"/>
      <c r="H366" s="56"/>
      <c r="I366" s="56"/>
      <c r="J366" s="56"/>
      <c r="K366" s="56"/>
      <c r="L366" s="56"/>
      <c r="M366" s="56"/>
      <c r="N366" s="56"/>
      <c r="O366" s="56"/>
      <c r="P366" s="56"/>
      <c r="Q366" s="56"/>
      <c r="R366" s="56"/>
      <c r="S366" s="56"/>
      <c r="T366" s="56"/>
      <c r="U366" s="56"/>
      <c r="V366" s="56"/>
      <c r="W366" s="56"/>
      <c r="X366" s="56"/>
      <c r="Y366" s="56"/>
      <c r="Z366" s="56"/>
    </row>
    <row r="367" spans="1:26" ht="15.75" customHeight="1">
      <c r="A367" s="56"/>
      <c r="B367" s="56"/>
      <c r="C367" s="56"/>
      <c r="D367" s="56"/>
      <c r="E367" s="56"/>
      <c r="F367" s="56"/>
      <c r="G367" s="56"/>
      <c r="H367" s="56"/>
      <c r="I367" s="56"/>
      <c r="J367" s="56"/>
      <c r="K367" s="56"/>
      <c r="L367" s="56"/>
      <c r="M367" s="56"/>
      <c r="N367" s="56"/>
      <c r="O367" s="56"/>
      <c r="P367" s="56"/>
      <c r="Q367" s="56"/>
      <c r="R367" s="56"/>
      <c r="S367" s="56"/>
      <c r="T367" s="56"/>
      <c r="U367" s="56"/>
      <c r="V367" s="56"/>
      <c r="W367" s="56"/>
      <c r="X367" s="56"/>
      <c r="Y367" s="56"/>
      <c r="Z367" s="56"/>
    </row>
    <row r="368" spans="1:26" ht="15.75" customHeight="1">
      <c r="A368" s="56"/>
      <c r="B368" s="56"/>
      <c r="C368" s="56"/>
      <c r="D368" s="56"/>
      <c r="E368" s="56"/>
      <c r="F368" s="56"/>
      <c r="G368" s="56"/>
      <c r="H368" s="56"/>
      <c r="I368" s="56"/>
      <c r="J368" s="56"/>
      <c r="K368" s="56"/>
      <c r="L368" s="56"/>
      <c r="M368" s="56"/>
      <c r="N368" s="56"/>
      <c r="O368" s="56"/>
      <c r="P368" s="56"/>
      <c r="Q368" s="56"/>
      <c r="R368" s="56"/>
      <c r="S368" s="56"/>
      <c r="T368" s="56"/>
      <c r="U368" s="56"/>
      <c r="V368" s="56"/>
      <c r="W368" s="56"/>
      <c r="X368" s="56"/>
      <c r="Y368" s="56"/>
      <c r="Z368" s="56"/>
    </row>
    <row r="369" spans="1:26" ht="15.75" customHeight="1">
      <c r="A369" s="56"/>
      <c r="B369" s="56"/>
      <c r="C369" s="56"/>
      <c r="D369" s="56"/>
      <c r="E369" s="56"/>
      <c r="F369" s="56"/>
      <c r="G369" s="56"/>
      <c r="H369" s="56"/>
      <c r="I369" s="56"/>
      <c r="J369" s="56"/>
      <c r="K369" s="56"/>
      <c r="L369" s="56"/>
      <c r="M369" s="56"/>
      <c r="N369" s="56"/>
      <c r="O369" s="56"/>
      <c r="P369" s="56"/>
      <c r="Q369" s="56"/>
      <c r="R369" s="56"/>
      <c r="S369" s="56"/>
      <c r="T369" s="56"/>
      <c r="U369" s="56"/>
      <c r="V369" s="56"/>
      <c r="W369" s="56"/>
      <c r="X369" s="56"/>
      <c r="Y369" s="56"/>
      <c r="Z369" s="56"/>
    </row>
    <row r="370" spans="1:26" ht="15.75" customHeight="1">
      <c r="A370" s="56"/>
      <c r="B370" s="56"/>
      <c r="C370" s="56"/>
      <c r="D370" s="56"/>
      <c r="E370" s="56"/>
      <c r="F370" s="56"/>
      <c r="G370" s="56"/>
      <c r="H370" s="56"/>
      <c r="I370" s="56"/>
      <c r="J370" s="56"/>
      <c r="K370" s="56"/>
      <c r="L370" s="56"/>
      <c r="M370" s="56"/>
      <c r="N370" s="56"/>
      <c r="O370" s="56"/>
      <c r="P370" s="56"/>
      <c r="Q370" s="56"/>
      <c r="R370" s="56"/>
      <c r="S370" s="56"/>
      <c r="T370" s="56"/>
      <c r="U370" s="56"/>
      <c r="V370" s="56"/>
      <c r="W370" s="56"/>
      <c r="X370" s="56"/>
      <c r="Y370" s="56"/>
      <c r="Z370" s="56"/>
    </row>
    <row r="371" spans="1:26" ht="15.75" customHeight="1">
      <c r="A371" s="56"/>
      <c r="B371" s="56"/>
      <c r="C371" s="56"/>
      <c r="D371" s="56"/>
      <c r="E371" s="56"/>
      <c r="F371" s="56"/>
      <c r="G371" s="56"/>
      <c r="H371" s="56"/>
      <c r="I371" s="56"/>
      <c r="J371" s="56"/>
      <c r="K371" s="56"/>
      <c r="L371" s="56"/>
      <c r="M371" s="56"/>
      <c r="N371" s="56"/>
      <c r="O371" s="56"/>
      <c r="P371" s="56"/>
      <c r="Q371" s="56"/>
      <c r="R371" s="56"/>
      <c r="S371" s="56"/>
      <c r="T371" s="56"/>
      <c r="U371" s="56"/>
      <c r="V371" s="56"/>
      <c r="W371" s="56"/>
      <c r="X371" s="56"/>
      <c r="Y371" s="56"/>
      <c r="Z371" s="56"/>
    </row>
    <row r="372" spans="1:26" ht="15.75" customHeight="1">
      <c r="A372" s="56"/>
      <c r="B372" s="56"/>
      <c r="C372" s="56"/>
      <c r="D372" s="56"/>
      <c r="E372" s="56"/>
      <c r="F372" s="56"/>
      <c r="G372" s="56"/>
      <c r="H372" s="56"/>
      <c r="I372" s="56"/>
      <c r="J372" s="56"/>
      <c r="K372" s="56"/>
      <c r="L372" s="56"/>
      <c r="M372" s="56"/>
      <c r="N372" s="56"/>
      <c r="O372" s="56"/>
      <c r="P372" s="56"/>
      <c r="Q372" s="56"/>
      <c r="R372" s="56"/>
      <c r="S372" s="56"/>
      <c r="T372" s="56"/>
      <c r="U372" s="56"/>
      <c r="V372" s="56"/>
      <c r="W372" s="56"/>
      <c r="X372" s="56"/>
      <c r="Y372" s="56"/>
      <c r="Z372" s="56"/>
    </row>
    <row r="373" spans="1:26" ht="15.75" customHeight="1">
      <c r="A373" s="56"/>
      <c r="B373" s="56"/>
      <c r="C373" s="56"/>
      <c r="D373" s="56"/>
      <c r="E373" s="56"/>
      <c r="F373" s="56"/>
      <c r="G373" s="56"/>
      <c r="H373" s="56"/>
      <c r="I373" s="56"/>
      <c r="J373" s="56"/>
      <c r="K373" s="56"/>
      <c r="L373" s="56"/>
      <c r="M373" s="56"/>
      <c r="N373" s="56"/>
      <c r="O373" s="56"/>
      <c r="P373" s="56"/>
      <c r="Q373" s="56"/>
      <c r="R373" s="56"/>
      <c r="S373" s="56"/>
      <c r="T373" s="56"/>
      <c r="U373" s="56"/>
      <c r="V373" s="56"/>
      <c r="W373" s="56"/>
      <c r="X373" s="56"/>
      <c r="Y373" s="56"/>
      <c r="Z373" s="56"/>
    </row>
    <row r="374" spans="1:26" ht="15.75" customHeight="1">
      <c r="A374" s="56"/>
      <c r="B374" s="56"/>
      <c r="C374" s="56"/>
      <c r="D374" s="56"/>
      <c r="E374" s="56"/>
      <c r="F374" s="56"/>
      <c r="G374" s="56"/>
      <c r="H374" s="56"/>
      <c r="I374" s="56"/>
      <c r="J374" s="56"/>
      <c r="K374" s="56"/>
      <c r="L374" s="56"/>
      <c r="M374" s="56"/>
      <c r="N374" s="56"/>
      <c r="O374" s="56"/>
      <c r="P374" s="56"/>
      <c r="Q374" s="56"/>
      <c r="R374" s="56"/>
      <c r="S374" s="56"/>
      <c r="T374" s="56"/>
      <c r="U374" s="56"/>
      <c r="V374" s="56"/>
      <c r="W374" s="56"/>
      <c r="X374" s="56"/>
      <c r="Y374" s="56"/>
      <c r="Z374" s="56"/>
    </row>
    <row r="375" spans="1:26" ht="15.75" customHeight="1">
      <c r="A375" s="56"/>
      <c r="B375" s="56"/>
      <c r="C375" s="56"/>
      <c r="D375" s="56"/>
      <c r="E375" s="56"/>
      <c r="F375" s="56"/>
      <c r="G375" s="56"/>
      <c r="H375" s="56"/>
      <c r="I375" s="56"/>
      <c r="J375" s="56"/>
      <c r="K375" s="56"/>
      <c r="L375" s="56"/>
      <c r="M375" s="56"/>
      <c r="N375" s="56"/>
      <c r="O375" s="56"/>
      <c r="P375" s="56"/>
      <c r="Q375" s="56"/>
      <c r="R375" s="56"/>
      <c r="S375" s="56"/>
      <c r="T375" s="56"/>
      <c r="U375" s="56"/>
      <c r="V375" s="56"/>
      <c r="W375" s="56"/>
      <c r="X375" s="56"/>
      <c r="Y375" s="56"/>
      <c r="Z375" s="56"/>
    </row>
    <row r="376" spans="1:26" ht="15.75" customHeight="1">
      <c r="A376" s="56"/>
      <c r="B376" s="56"/>
      <c r="C376" s="56"/>
      <c r="D376" s="56"/>
      <c r="E376" s="56"/>
      <c r="F376" s="56"/>
      <c r="G376" s="56"/>
      <c r="H376" s="56"/>
      <c r="I376" s="56"/>
      <c r="J376" s="56"/>
      <c r="K376" s="56"/>
      <c r="L376" s="56"/>
      <c r="M376" s="56"/>
      <c r="N376" s="56"/>
      <c r="O376" s="56"/>
      <c r="P376" s="56"/>
      <c r="Q376" s="56"/>
      <c r="R376" s="56"/>
      <c r="S376" s="56"/>
      <c r="T376" s="56"/>
      <c r="U376" s="56"/>
      <c r="V376" s="56"/>
      <c r="W376" s="56"/>
      <c r="X376" s="56"/>
      <c r="Y376" s="56"/>
      <c r="Z376" s="56"/>
    </row>
    <row r="377" spans="1:26" ht="15.75" customHeight="1">
      <c r="A377" s="56"/>
      <c r="B377" s="56"/>
      <c r="C377" s="56"/>
      <c r="D377" s="56"/>
      <c r="E377" s="56"/>
      <c r="F377" s="56"/>
      <c r="G377" s="56"/>
      <c r="H377" s="56"/>
      <c r="I377" s="56"/>
      <c r="J377" s="56"/>
      <c r="K377" s="56"/>
      <c r="L377" s="56"/>
      <c r="M377" s="56"/>
      <c r="N377" s="56"/>
      <c r="O377" s="56"/>
      <c r="P377" s="56"/>
      <c r="Q377" s="56"/>
      <c r="R377" s="56"/>
      <c r="S377" s="56"/>
      <c r="T377" s="56"/>
      <c r="U377" s="56"/>
      <c r="V377" s="56"/>
      <c r="W377" s="56"/>
      <c r="X377" s="56"/>
      <c r="Y377" s="56"/>
      <c r="Z377" s="56"/>
    </row>
    <row r="378" spans="1:26" ht="15.75" customHeight="1">
      <c r="A378" s="56"/>
      <c r="B378" s="56"/>
      <c r="C378" s="56"/>
      <c r="D378" s="56"/>
      <c r="E378" s="56"/>
      <c r="F378" s="56"/>
      <c r="G378" s="56"/>
      <c r="H378" s="56"/>
      <c r="I378" s="56"/>
      <c r="J378" s="56"/>
      <c r="K378" s="56"/>
      <c r="L378" s="56"/>
      <c r="M378" s="56"/>
      <c r="N378" s="56"/>
      <c r="O378" s="56"/>
      <c r="P378" s="56"/>
      <c r="Q378" s="56"/>
      <c r="R378" s="56"/>
      <c r="S378" s="56"/>
      <c r="T378" s="56"/>
      <c r="U378" s="56"/>
      <c r="V378" s="56"/>
      <c r="W378" s="56"/>
      <c r="X378" s="56"/>
      <c r="Y378" s="56"/>
      <c r="Z378" s="56"/>
    </row>
    <row r="379" spans="1:26" ht="15.75" customHeight="1">
      <c r="A379" s="56"/>
      <c r="B379" s="56"/>
      <c r="C379" s="56"/>
      <c r="D379" s="56"/>
      <c r="E379" s="56"/>
      <c r="F379" s="56"/>
      <c r="G379" s="56"/>
      <c r="H379" s="56"/>
      <c r="I379" s="56"/>
      <c r="J379" s="56"/>
      <c r="K379" s="56"/>
      <c r="L379" s="56"/>
      <c r="M379" s="56"/>
      <c r="N379" s="56"/>
      <c r="O379" s="56"/>
      <c r="P379" s="56"/>
      <c r="Q379" s="56"/>
      <c r="R379" s="56"/>
      <c r="S379" s="56"/>
      <c r="T379" s="56"/>
      <c r="U379" s="56"/>
      <c r="V379" s="56"/>
      <c r="W379" s="56"/>
      <c r="X379" s="56"/>
      <c r="Y379" s="56"/>
      <c r="Z379" s="56"/>
    </row>
    <row r="380" spans="1:26" ht="15.75" customHeight="1">
      <c r="A380" s="56"/>
      <c r="B380" s="56"/>
      <c r="C380" s="56"/>
      <c r="D380" s="56"/>
      <c r="E380" s="56"/>
      <c r="F380" s="56"/>
      <c r="G380" s="56"/>
      <c r="H380" s="56"/>
      <c r="I380" s="56"/>
      <c r="J380" s="56"/>
      <c r="K380" s="56"/>
      <c r="L380" s="56"/>
      <c r="M380" s="56"/>
      <c r="N380" s="56"/>
      <c r="O380" s="56"/>
      <c r="P380" s="56"/>
      <c r="Q380" s="56"/>
      <c r="R380" s="56"/>
      <c r="S380" s="56"/>
      <c r="T380" s="56"/>
      <c r="U380" s="56"/>
      <c r="V380" s="56"/>
      <c r="W380" s="56"/>
      <c r="X380" s="56"/>
      <c r="Y380" s="56"/>
      <c r="Z380" s="56"/>
    </row>
    <row r="381" spans="1:26" ht="15.75" customHeight="1">
      <c r="A381" s="56"/>
      <c r="B381" s="56"/>
      <c r="C381" s="56"/>
      <c r="D381" s="56"/>
      <c r="E381" s="56"/>
      <c r="F381" s="56"/>
      <c r="G381" s="56"/>
      <c r="H381" s="56"/>
      <c r="I381" s="56"/>
      <c r="J381" s="56"/>
      <c r="K381" s="56"/>
      <c r="L381" s="56"/>
      <c r="M381" s="56"/>
      <c r="N381" s="56"/>
      <c r="O381" s="56"/>
      <c r="P381" s="56"/>
      <c r="Q381" s="56"/>
      <c r="R381" s="56"/>
      <c r="S381" s="56"/>
      <c r="T381" s="56"/>
      <c r="U381" s="56"/>
      <c r="V381" s="56"/>
      <c r="W381" s="56"/>
      <c r="X381" s="56"/>
      <c r="Y381" s="56"/>
      <c r="Z381" s="56"/>
    </row>
    <row r="382" spans="1:26" ht="15.75" customHeight="1">
      <c r="A382" s="56"/>
      <c r="B382" s="56"/>
      <c r="C382" s="56"/>
      <c r="D382" s="56"/>
      <c r="E382" s="56"/>
      <c r="F382" s="56"/>
      <c r="G382" s="56"/>
      <c r="H382" s="56"/>
      <c r="I382" s="56"/>
      <c r="J382" s="56"/>
      <c r="K382" s="56"/>
      <c r="L382" s="56"/>
      <c r="M382" s="56"/>
      <c r="N382" s="56"/>
      <c r="O382" s="56"/>
      <c r="P382" s="56"/>
      <c r="Q382" s="56"/>
      <c r="R382" s="56"/>
      <c r="S382" s="56"/>
      <c r="T382" s="56"/>
      <c r="U382" s="56"/>
      <c r="V382" s="56"/>
      <c r="W382" s="56"/>
      <c r="X382" s="56"/>
      <c r="Y382" s="56"/>
      <c r="Z382" s="56"/>
    </row>
    <row r="383" spans="1:26" ht="15.75" customHeight="1">
      <c r="A383" s="56"/>
      <c r="B383" s="56"/>
      <c r="C383" s="56"/>
      <c r="D383" s="56"/>
      <c r="E383" s="56"/>
      <c r="F383" s="56"/>
      <c r="G383" s="56"/>
      <c r="H383" s="56"/>
      <c r="I383" s="56"/>
      <c r="J383" s="56"/>
      <c r="K383" s="56"/>
      <c r="L383" s="56"/>
      <c r="M383" s="56"/>
      <c r="N383" s="56"/>
      <c r="O383" s="56"/>
      <c r="P383" s="56"/>
      <c r="Q383" s="56"/>
      <c r="R383" s="56"/>
      <c r="S383" s="56"/>
      <c r="T383" s="56"/>
      <c r="U383" s="56"/>
      <c r="V383" s="56"/>
      <c r="W383" s="56"/>
      <c r="X383" s="56"/>
      <c r="Y383" s="56"/>
      <c r="Z383" s="56"/>
    </row>
    <row r="384" spans="1:26" ht="15.75" customHeight="1">
      <c r="A384" s="56"/>
      <c r="B384" s="56"/>
      <c r="C384" s="56"/>
      <c r="D384" s="56"/>
      <c r="E384" s="56"/>
      <c r="F384" s="56"/>
      <c r="G384" s="56"/>
      <c r="H384" s="56"/>
      <c r="I384" s="56"/>
      <c r="J384" s="56"/>
      <c r="K384" s="56"/>
      <c r="L384" s="56"/>
      <c r="M384" s="56"/>
      <c r="N384" s="56"/>
      <c r="O384" s="56"/>
      <c r="P384" s="56"/>
      <c r="Q384" s="56"/>
      <c r="R384" s="56"/>
      <c r="S384" s="56"/>
      <c r="T384" s="56"/>
      <c r="U384" s="56"/>
      <c r="V384" s="56"/>
      <c r="W384" s="56"/>
      <c r="X384" s="56"/>
      <c r="Y384" s="56"/>
      <c r="Z384" s="56"/>
    </row>
    <row r="385" spans="1:26" ht="15.75" customHeight="1">
      <c r="A385" s="56"/>
      <c r="B385" s="56"/>
      <c r="C385" s="56"/>
      <c r="D385" s="56"/>
      <c r="E385" s="56"/>
      <c r="F385" s="56"/>
      <c r="G385" s="56"/>
      <c r="H385" s="56"/>
      <c r="I385" s="56"/>
      <c r="J385" s="56"/>
      <c r="K385" s="56"/>
      <c r="L385" s="56"/>
      <c r="M385" s="56"/>
      <c r="N385" s="56"/>
      <c r="O385" s="56"/>
      <c r="P385" s="56"/>
      <c r="Q385" s="56"/>
      <c r="R385" s="56"/>
      <c r="S385" s="56"/>
      <c r="T385" s="56"/>
      <c r="U385" s="56"/>
      <c r="V385" s="56"/>
      <c r="W385" s="56"/>
      <c r="X385" s="56"/>
      <c r="Y385" s="56"/>
      <c r="Z385" s="56"/>
    </row>
    <row r="386" spans="1:26" ht="15.75" customHeight="1">
      <c r="A386" s="56"/>
      <c r="B386" s="56"/>
      <c r="C386" s="56"/>
      <c r="D386" s="56"/>
      <c r="E386" s="56"/>
      <c r="F386" s="56"/>
      <c r="G386" s="56"/>
      <c r="H386" s="56"/>
      <c r="I386" s="56"/>
      <c r="J386" s="56"/>
      <c r="K386" s="56"/>
      <c r="L386" s="56"/>
      <c r="M386" s="56"/>
      <c r="N386" s="56"/>
      <c r="O386" s="56"/>
      <c r="P386" s="56"/>
      <c r="Q386" s="56"/>
      <c r="R386" s="56"/>
      <c r="S386" s="56"/>
      <c r="T386" s="56"/>
      <c r="U386" s="56"/>
      <c r="V386" s="56"/>
      <c r="W386" s="56"/>
      <c r="X386" s="56"/>
      <c r="Y386" s="56"/>
      <c r="Z386" s="56"/>
    </row>
    <row r="387" spans="1:26" ht="15.75" customHeight="1">
      <c r="A387" s="56"/>
      <c r="B387" s="56"/>
      <c r="C387" s="56"/>
      <c r="D387" s="56"/>
      <c r="E387" s="56"/>
      <c r="F387" s="56"/>
      <c r="G387" s="56"/>
      <c r="H387" s="56"/>
      <c r="I387" s="56"/>
      <c r="J387" s="56"/>
      <c r="K387" s="56"/>
      <c r="L387" s="56"/>
      <c r="M387" s="56"/>
      <c r="N387" s="56"/>
      <c r="O387" s="56"/>
      <c r="P387" s="56"/>
      <c r="Q387" s="56"/>
      <c r="R387" s="56"/>
      <c r="S387" s="56"/>
      <c r="T387" s="56"/>
      <c r="U387" s="56"/>
      <c r="V387" s="56"/>
      <c r="W387" s="56"/>
      <c r="X387" s="56"/>
      <c r="Y387" s="56"/>
      <c r="Z387" s="56"/>
    </row>
    <row r="388" spans="1:26" ht="15.75" customHeight="1">
      <c r="A388" s="56"/>
      <c r="B388" s="56"/>
      <c r="C388" s="56"/>
      <c r="D388" s="56"/>
      <c r="E388" s="56"/>
      <c r="F388" s="56"/>
      <c r="G388" s="56"/>
      <c r="H388" s="56"/>
      <c r="I388" s="56"/>
      <c r="J388" s="56"/>
      <c r="K388" s="56"/>
      <c r="L388" s="56"/>
      <c r="M388" s="56"/>
      <c r="N388" s="56"/>
      <c r="O388" s="56"/>
      <c r="P388" s="56"/>
      <c r="Q388" s="56"/>
      <c r="R388" s="56"/>
      <c r="S388" s="56"/>
      <c r="T388" s="56"/>
      <c r="U388" s="56"/>
      <c r="V388" s="56"/>
      <c r="W388" s="56"/>
      <c r="X388" s="56"/>
      <c r="Y388" s="56"/>
      <c r="Z388" s="56"/>
    </row>
    <row r="389" spans="1:26" ht="15.75" customHeight="1">
      <c r="A389" s="56"/>
      <c r="B389" s="56"/>
      <c r="C389" s="56"/>
      <c r="D389" s="56"/>
      <c r="E389" s="56"/>
      <c r="F389" s="56"/>
      <c r="G389" s="56"/>
      <c r="H389" s="56"/>
      <c r="I389" s="56"/>
      <c r="J389" s="56"/>
      <c r="K389" s="56"/>
      <c r="L389" s="56"/>
      <c r="M389" s="56"/>
      <c r="N389" s="56"/>
      <c r="O389" s="56"/>
      <c r="P389" s="56"/>
      <c r="Q389" s="56"/>
      <c r="R389" s="56"/>
      <c r="S389" s="56"/>
      <c r="T389" s="56"/>
      <c r="U389" s="56"/>
      <c r="V389" s="56"/>
      <c r="W389" s="56"/>
      <c r="X389" s="56"/>
      <c r="Y389" s="56"/>
      <c r="Z389" s="56"/>
    </row>
    <row r="390" spans="1:26" ht="15.75" customHeight="1">
      <c r="A390" s="56"/>
      <c r="B390" s="56"/>
      <c r="C390" s="56"/>
      <c r="D390" s="56"/>
      <c r="E390" s="56"/>
      <c r="F390" s="56"/>
      <c r="G390" s="56"/>
      <c r="H390" s="56"/>
      <c r="I390" s="56"/>
      <c r="J390" s="56"/>
      <c r="K390" s="56"/>
      <c r="L390" s="56"/>
      <c r="M390" s="56"/>
      <c r="N390" s="56"/>
      <c r="O390" s="56"/>
      <c r="P390" s="56"/>
      <c r="Q390" s="56"/>
      <c r="R390" s="56"/>
      <c r="S390" s="56"/>
      <c r="T390" s="56"/>
      <c r="U390" s="56"/>
      <c r="V390" s="56"/>
      <c r="W390" s="56"/>
      <c r="X390" s="56"/>
      <c r="Y390" s="56"/>
      <c r="Z390" s="56"/>
    </row>
    <row r="391" spans="1:26" ht="15.75" customHeight="1">
      <c r="A391" s="56"/>
      <c r="B391" s="56"/>
      <c r="C391" s="56"/>
      <c r="D391" s="56"/>
      <c r="E391" s="56"/>
      <c r="F391" s="56"/>
      <c r="G391" s="56"/>
      <c r="H391" s="56"/>
      <c r="I391" s="56"/>
      <c r="J391" s="56"/>
      <c r="K391" s="56"/>
      <c r="L391" s="56"/>
      <c r="M391" s="56"/>
      <c r="N391" s="56"/>
      <c r="O391" s="56"/>
      <c r="P391" s="56"/>
      <c r="Q391" s="56"/>
      <c r="R391" s="56"/>
      <c r="S391" s="56"/>
      <c r="T391" s="56"/>
      <c r="U391" s="56"/>
      <c r="V391" s="56"/>
      <c r="W391" s="56"/>
      <c r="X391" s="56"/>
      <c r="Y391" s="56"/>
      <c r="Z391" s="56"/>
    </row>
    <row r="392" spans="1:26" ht="15.75" customHeight="1">
      <c r="A392" s="56"/>
      <c r="B392" s="56"/>
      <c r="C392" s="56"/>
      <c r="D392" s="56"/>
      <c r="E392" s="56"/>
      <c r="F392" s="56"/>
      <c r="G392" s="56"/>
      <c r="H392" s="56"/>
      <c r="I392" s="56"/>
      <c r="J392" s="56"/>
      <c r="K392" s="56"/>
      <c r="L392" s="56"/>
      <c r="M392" s="56"/>
      <c r="N392" s="56"/>
      <c r="O392" s="56"/>
      <c r="P392" s="56"/>
      <c r="Q392" s="56"/>
      <c r="R392" s="56"/>
      <c r="S392" s="56"/>
      <c r="T392" s="56"/>
      <c r="U392" s="56"/>
      <c r="V392" s="56"/>
      <c r="W392" s="56"/>
      <c r="X392" s="56"/>
      <c r="Y392" s="56"/>
      <c r="Z392" s="56"/>
    </row>
    <row r="393" spans="1:26" ht="15.75" customHeight="1">
      <c r="A393" s="56"/>
      <c r="B393" s="56"/>
      <c r="C393" s="56"/>
      <c r="D393" s="56"/>
      <c r="E393" s="56"/>
      <c r="F393" s="56"/>
      <c r="G393" s="56"/>
      <c r="H393" s="56"/>
      <c r="I393" s="56"/>
      <c r="J393" s="56"/>
      <c r="K393" s="56"/>
      <c r="L393" s="56"/>
      <c r="M393" s="56"/>
      <c r="N393" s="56"/>
      <c r="O393" s="56"/>
      <c r="P393" s="56"/>
      <c r="Q393" s="56"/>
      <c r="R393" s="56"/>
      <c r="S393" s="56"/>
      <c r="T393" s="56"/>
      <c r="U393" s="56"/>
      <c r="V393" s="56"/>
      <c r="W393" s="56"/>
      <c r="X393" s="56"/>
      <c r="Y393" s="56"/>
      <c r="Z393" s="56"/>
    </row>
    <row r="394" spans="1:26" ht="15.75" customHeight="1">
      <c r="A394" s="56"/>
      <c r="B394" s="56"/>
      <c r="C394" s="56"/>
      <c r="D394" s="56"/>
      <c r="E394" s="56"/>
      <c r="F394" s="56"/>
      <c r="G394" s="56"/>
      <c r="H394" s="56"/>
      <c r="I394" s="56"/>
      <c r="J394" s="56"/>
      <c r="K394" s="56"/>
      <c r="L394" s="56"/>
      <c r="M394" s="56"/>
      <c r="N394" s="56"/>
      <c r="O394" s="56"/>
      <c r="P394" s="56"/>
      <c r="Q394" s="56"/>
      <c r="R394" s="56"/>
      <c r="S394" s="56"/>
      <c r="T394" s="56"/>
      <c r="U394" s="56"/>
      <c r="V394" s="56"/>
      <c r="W394" s="56"/>
      <c r="X394" s="56"/>
      <c r="Y394" s="56"/>
      <c r="Z394" s="56"/>
    </row>
    <row r="395" spans="1:26" ht="15.75" customHeight="1">
      <c r="A395" s="56"/>
      <c r="B395" s="56"/>
      <c r="C395" s="56"/>
      <c r="D395" s="56"/>
      <c r="E395" s="56"/>
      <c r="F395" s="56"/>
      <c r="G395" s="56"/>
      <c r="H395" s="56"/>
      <c r="I395" s="56"/>
      <c r="J395" s="56"/>
      <c r="K395" s="56"/>
      <c r="L395" s="56"/>
      <c r="M395" s="56"/>
      <c r="N395" s="56"/>
      <c r="O395" s="56"/>
      <c r="P395" s="56"/>
      <c r="Q395" s="56"/>
      <c r="R395" s="56"/>
      <c r="S395" s="56"/>
      <c r="T395" s="56"/>
      <c r="U395" s="56"/>
      <c r="V395" s="56"/>
      <c r="W395" s="56"/>
      <c r="X395" s="56"/>
      <c r="Y395" s="56"/>
      <c r="Z395" s="56"/>
    </row>
    <row r="396" spans="1:26" ht="15.75" customHeight="1">
      <c r="A396" s="56"/>
      <c r="B396" s="56"/>
      <c r="C396" s="56"/>
      <c r="D396" s="56"/>
      <c r="E396" s="56"/>
      <c r="F396" s="56"/>
      <c r="G396" s="56"/>
      <c r="H396" s="56"/>
      <c r="I396" s="56"/>
      <c r="J396" s="56"/>
      <c r="K396" s="56"/>
      <c r="L396" s="56"/>
      <c r="M396" s="56"/>
      <c r="N396" s="56"/>
      <c r="O396" s="56"/>
      <c r="P396" s="56"/>
      <c r="Q396" s="56"/>
      <c r="R396" s="56"/>
      <c r="S396" s="56"/>
      <c r="T396" s="56"/>
      <c r="U396" s="56"/>
      <c r="V396" s="56"/>
      <c r="W396" s="56"/>
      <c r="X396" s="56"/>
      <c r="Y396" s="56"/>
      <c r="Z396" s="56"/>
    </row>
    <row r="397" spans="1:26" ht="15.75" customHeight="1">
      <c r="A397" s="56"/>
      <c r="B397" s="56"/>
      <c r="C397" s="56"/>
      <c r="D397" s="56"/>
      <c r="E397" s="56"/>
      <c r="F397" s="56"/>
      <c r="G397" s="56"/>
      <c r="H397" s="56"/>
      <c r="I397" s="56"/>
      <c r="J397" s="56"/>
      <c r="K397" s="56"/>
      <c r="L397" s="56"/>
      <c r="M397" s="56"/>
      <c r="N397" s="56"/>
      <c r="O397" s="56"/>
      <c r="P397" s="56"/>
      <c r="Q397" s="56"/>
      <c r="R397" s="56"/>
      <c r="S397" s="56"/>
      <c r="T397" s="56"/>
      <c r="U397" s="56"/>
      <c r="V397" s="56"/>
      <c r="W397" s="56"/>
      <c r="X397" s="56"/>
      <c r="Y397" s="56"/>
      <c r="Z397" s="56"/>
    </row>
    <row r="398" spans="1:26" ht="15.75" customHeight="1">
      <c r="A398" s="56"/>
      <c r="B398" s="56"/>
      <c r="C398" s="56"/>
      <c r="D398" s="56"/>
      <c r="E398" s="56"/>
      <c r="F398" s="56"/>
      <c r="G398" s="56"/>
      <c r="H398" s="56"/>
      <c r="I398" s="56"/>
      <c r="J398" s="56"/>
      <c r="K398" s="56"/>
      <c r="L398" s="56"/>
      <c r="M398" s="56"/>
      <c r="N398" s="56"/>
      <c r="O398" s="56"/>
      <c r="P398" s="56"/>
      <c r="Q398" s="56"/>
      <c r="R398" s="56"/>
      <c r="S398" s="56"/>
      <c r="T398" s="56"/>
      <c r="U398" s="56"/>
      <c r="V398" s="56"/>
      <c r="W398" s="56"/>
      <c r="X398" s="56"/>
      <c r="Y398" s="56"/>
      <c r="Z398" s="56"/>
    </row>
    <row r="399" spans="1:26" ht="15.75" customHeight="1">
      <c r="A399" s="56"/>
      <c r="B399" s="56"/>
      <c r="C399" s="56"/>
      <c r="D399" s="56"/>
      <c r="E399" s="56"/>
      <c r="F399" s="56"/>
      <c r="G399" s="56"/>
      <c r="H399" s="56"/>
      <c r="I399" s="56"/>
      <c r="J399" s="56"/>
      <c r="K399" s="56"/>
      <c r="L399" s="56"/>
      <c r="M399" s="56"/>
      <c r="N399" s="56"/>
      <c r="O399" s="56"/>
      <c r="P399" s="56"/>
      <c r="Q399" s="56"/>
      <c r="R399" s="56"/>
      <c r="S399" s="56"/>
      <c r="T399" s="56"/>
      <c r="U399" s="56"/>
      <c r="V399" s="56"/>
      <c r="W399" s="56"/>
      <c r="X399" s="56"/>
      <c r="Y399" s="56"/>
      <c r="Z399" s="56"/>
    </row>
    <row r="400" spans="1:26" ht="15.75" customHeight="1">
      <c r="A400" s="56"/>
      <c r="B400" s="56"/>
      <c r="C400" s="56"/>
      <c r="D400" s="56"/>
      <c r="E400" s="56"/>
      <c r="F400" s="56"/>
      <c r="G400" s="56"/>
      <c r="H400" s="56"/>
      <c r="I400" s="56"/>
      <c r="J400" s="56"/>
      <c r="K400" s="56"/>
      <c r="L400" s="56"/>
      <c r="M400" s="56"/>
      <c r="N400" s="56"/>
      <c r="O400" s="56"/>
      <c r="P400" s="56"/>
      <c r="Q400" s="56"/>
      <c r="R400" s="56"/>
      <c r="S400" s="56"/>
      <c r="T400" s="56"/>
      <c r="U400" s="56"/>
      <c r="V400" s="56"/>
      <c r="W400" s="56"/>
      <c r="X400" s="56"/>
      <c r="Y400" s="56"/>
      <c r="Z400" s="56"/>
    </row>
    <row r="401" spans="1:26" ht="15.75" customHeight="1">
      <c r="A401" s="56"/>
      <c r="B401" s="56"/>
      <c r="C401" s="56"/>
      <c r="D401" s="56"/>
      <c r="E401" s="56"/>
      <c r="F401" s="56"/>
      <c r="G401" s="56"/>
      <c r="H401" s="56"/>
      <c r="I401" s="56"/>
      <c r="J401" s="56"/>
      <c r="K401" s="56"/>
      <c r="L401" s="56"/>
      <c r="M401" s="56"/>
      <c r="N401" s="56"/>
      <c r="O401" s="56"/>
      <c r="P401" s="56"/>
      <c r="Q401" s="56"/>
      <c r="R401" s="56"/>
      <c r="S401" s="56"/>
      <c r="T401" s="56"/>
      <c r="U401" s="56"/>
      <c r="V401" s="56"/>
      <c r="W401" s="56"/>
      <c r="X401" s="56"/>
      <c r="Y401" s="56"/>
      <c r="Z401" s="56"/>
    </row>
    <row r="402" spans="1:26" ht="15.75" customHeight="1">
      <c r="A402" s="56"/>
      <c r="B402" s="56"/>
      <c r="C402" s="56"/>
      <c r="D402" s="56"/>
      <c r="E402" s="56"/>
      <c r="F402" s="56"/>
      <c r="G402" s="56"/>
      <c r="H402" s="56"/>
      <c r="I402" s="56"/>
      <c r="J402" s="56"/>
      <c r="K402" s="56"/>
      <c r="L402" s="56"/>
      <c r="M402" s="56"/>
      <c r="N402" s="56"/>
      <c r="O402" s="56"/>
      <c r="P402" s="56"/>
      <c r="Q402" s="56"/>
      <c r="R402" s="56"/>
      <c r="S402" s="56"/>
      <c r="T402" s="56"/>
      <c r="U402" s="56"/>
      <c r="V402" s="56"/>
      <c r="W402" s="56"/>
      <c r="X402" s="56"/>
      <c r="Y402" s="56"/>
      <c r="Z402" s="56"/>
    </row>
    <row r="403" spans="1:26" ht="15.75" customHeight="1">
      <c r="A403" s="56"/>
      <c r="B403" s="56"/>
      <c r="C403" s="56"/>
      <c r="D403" s="56"/>
      <c r="E403" s="56"/>
      <c r="F403" s="56"/>
      <c r="G403" s="56"/>
      <c r="H403" s="56"/>
      <c r="I403" s="56"/>
      <c r="J403" s="56"/>
      <c r="K403" s="56"/>
      <c r="L403" s="56"/>
      <c r="M403" s="56"/>
      <c r="N403" s="56"/>
      <c r="O403" s="56"/>
      <c r="P403" s="56"/>
      <c r="Q403" s="56"/>
      <c r="R403" s="56"/>
      <c r="S403" s="56"/>
      <c r="T403" s="56"/>
      <c r="U403" s="56"/>
      <c r="V403" s="56"/>
      <c r="W403" s="56"/>
      <c r="X403" s="56"/>
      <c r="Y403" s="56"/>
      <c r="Z403" s="56"/>
    </row>
    <row r="404" spans="1:26" ht="15.75" customHeight="1">
      <c r="A404" s="56"/>
      <c r="B404" s="56"/>
      <c r="C404" s="56"/>
      <c r="D404" s="56"/>
      <c r="E404" s="56"/>
      <c r="F404" s="56"/>
      <c r="G404" s="56"/>
      <c r="H404" s="56"/>
      <c r="I404" s="56"/>
      <c r="J404" s="56"/>
      <c r="K404" s="56"/>
      <c r="L404" s="56"/>
      <c r="M404" s="56"/>
      <c r="N404" s="56"/>
      <c r="O404" s="56"/>
      <c r="P404" s="56"/>
      <c r="Q404" s="56"/>
      <c r="R404" s="56"/>
      <c r="S404" s="56"/>
      <c r="T404" s="56"/>
      <c r="U404" s="56"/>
      <c r="V404" s="56"/>
      <c r="W404" s="56"/>
      <c r="X404" s="56"/>
      <c r="Y404" s="56"/>
      <c r="Z404" s="56"/>
    </row>
    <row r="405" spans="1:26" ht="15.75" customHeight="1">
      <c r="A405" s="56"/>
      <c r="B405" s="56"/>
      <c r="C405" s="56"/>
      <c r="D405" s="56"/>
      <c r="E405" s="56"/>
      <c r="F405" s="56"/>
      <c r="G405" s="56"/>
      <c r="H405" s="56"/>
      <c r="I405" s="56"/>
      <c r="J405" s="56"/>
      <c r="K405" s="56"/>
      <c r="L405" s="56"/>
      <c r="M405" s="56"/>
      <c r="N405" s="56"/>
      <c r="O405" s="56"/>
      <c r="P405" s="56"/>
      <c r="Q405" s="56"/>
      <c r="R405" s="56"/>
      <c r="S405" s="56"/>
      <c r="T405" s="56"/>
      <c r="U405" s="56"/>
      <c r="V405" s="56"/>
      <c r="W405" s="56"/>
      <c r="X405" s="56"/>
      <c r="Y405" s="56"/>
      <c r="Z405" s="56"/>
    </row>
    <row r="406" spans="1:26" ht="15.75" customHeight="1">
      <c r="A406" s="56"/>
      <c r="B406" s="56"/>
      <c r="C406" s="56"/>
      <c r="D406" s="56"/>
      <c r="E406" s="56"/>
      <c r="F406" s="56"/>
      <c r="G406" s="56"/>
      <c r="H406" s="56"/>
      <c r="I406" s="56"/>
      <c r="J406" s="56"/>
      <c r="K406" s="56"/>
      <c r="L406" s="56"/>
      <c r="M406" s="56"/>
      <c r="N406" s="56"/>
      <c r="O406" s="56"/>
      <c r="P406" s="56"/>
      <c r="Q406" s="56"/>
      <c r="R406" s="56"/>
      <c r="S406" s="56"/>
      <c r="T406" s="56"/>
      <c r="U406" s="56"/>
      <c r="V406" s="56"/>
      <c r="W406" s="56"/>
      <c r="X406" s="56"/>
      <c r="Y406" s="56"/>
      <c r="Z406" s="56"/>
    </row>
    <row r="407" spans="1:26" ht="15.75" customHeight="1">
      <c r="A407" s="56"/>
      <c r="B407" s="56"/>
      <c r="C407" s="56"/>
      <c r="D407" s="56"/>
      <c r="E407" s="56"/>
      <c r="F407" s="56"/>
      <c r="G407" s="56"/>
      <c r="H407" s="56"/>
      <c r="I407" s="56"/>
      <c r="J407" s="56"/>
      <c r="K407" s="56"/>
      <c r="L407" s="56"/>
      <c r="M407" s="56"/>
      <c r="N407" s="56"/>
      <c r="O407" s="56"/>
      <c r="P407" s="56"/>
      <c r="Q407" s="56"/>
      <c r="R407" s="56"/>
      <c r="S407" s="56"/>
      <c r="T407" s="56"/>
      <c r="U407" s="56"/>
      <c r="V407" s="56"/>
      <c r="W407" s="56"/>
      <c r="X407" s="56"/>
      <c r="Y407" s="56"/>
      <c r="Z407" s="56"/>
    </row>
    <row r="408" spans="1:26" ht="15.75" customHeight="1">
      <c r="A408" s="56"/>
      <c r="B408" s="56"/>
      <c r="C408" s="56"/>
      <c r="D408" s="56"/>
      <c r="E408" s="56"/>
      <c r="F408" s="56"/>
      <c r="G408" s="56"/>
      <c r="H408" s="56"/>
      <c r="I408" s="56"/>
      <c r="J408" s="56"/>
      <c r="K408" s="56"/>
      <c r="L408" s="56"/>
      <c r="M408" s="56"/>
      <c r="N408" s="56"/>
      <c r="O408" s="56"/>
      <c r="P408" s="56"/>
      <c r="Q408" s="56"/>
      <c r="R408" s="56"/>
      <c r="S408" s="56"/>
      <c r="T408" s="56"/>
      <c r="U408" s="56"/>
      <c r="V408" s="56"/>
      <c r="W408" s="56"/>
      <c r="X408" s="56"/>
      <c r="Y408" s="56"/>
      <c r="Z408" s="56"/>
    </row>
    <row r="409" spans="1:26" ht="15.75" customHeight="1">
      <c r="A409" s="56"/>
      <c r="B409" s="56"/>
      <c r="C409" s="56"/>
      <c r="D409" s="56"/>
      <c r="E409" s="56"/>
      <c r="F409" s="56"/>
      <c r="G409" s="56"/>
      <c r="H409" s="56"/>
      <c r="I409" s="56"/>
      <c r="J409" s="56"/>
      <c r="K409" s="56"/>
      <c r="L409" s="56"/>
      <c r="M409" s="56"/>
      <c r="N409" s="56"/>
      <c r="O409" s="56"/>
      <c r="P409" s="56"/>
      <c r="Q409" s="56"/>
      <c r="R409" s="56"/>
      <c r="S409" s="56"/>
      <c r="T409" s="56"/>
      <c r="U409" s="56"/>
      <c r="V409" s="56"/>
      <c r="W409" s="56"/>
      <c r="X409" s="56"/>
      <c r="Y409" s="56"/>
      <c r="Z409" s="56"/>
    </row>
    <row r="410" spans="1:26" ht="15.75" customHeight="1">
      <c r="A410" s="56"/>
      <c r="B410" s="56"/>
      <c r="C410" s="56"/>
      <c r="D410" s="56"/>
      <c r="E410" s="56"/>
      <c r="F410" s="56"/>
      <c r="G410" s="56"/>
      <c r="H410" s="56"/>
      <c r="I410" s="56"/>
      <c r="J410" s="56"/>
      <c r="K410" s="56"/>
      <c r="L410" s="56"/>
      <c r="M410" s="56"/>
      <c r="N410" s="56"/>
      <c r="O410" s="56"/>
      <c r="P410" s="56"/>
      <c r="Q410" s="56"/>
      <c r="R410" s="56"/>
      <c r="S410" s="56"/>
      <c r="T410" s="56"/>
      <c r="U410" s="56"/>
      <c r="V410" s="56"/>
      <c r="W410" s="56"/>
      <c r="X410" s="56"/>
      <c r="Y410" s="56"/>
      <c r="Z410" s="56"/>
    </row>
    <row r="411" spans="1:26" ht="15.75" customHeight="1">
      <c r="A411" s="56"/>
      <c r="B411" s="56"/>
      <c r="C411" s="56"/>
      <c r="D411" s="56"/>
      <c r="E411" s="56"/>
      <c r="F411" s="56"/>
      <c r="G411" s="56"/>
      <c r="H411" s="56"/>
      <c r="I411" s="56"/>
      <c r="J411" s="56"/>
      <c r="K411" s="56"/>
      <c r="L411" s="56"/>
      <c r="M411" s="56"/>
      <c r="N411" s="56"/>
      <c r="O411" s="56"/>
      <c r="P411" s="56"/>
      <c r="Q411" s="56"/>
      <c r="R411" s="56"/>
      <c r="S411" s="56"/>
      <c r="T411" s="56"/>
      <c r="U411" s="56"/>
      <c r="V411" s="56"/>
      <c r="W411" s="56"/>
      <c r="X411" s="56"/>
      <c r="Y411" s="56"/>
      <c r="Z411" s="56"/>
    </row>
    <row r="412" spans="1:26" ht="15.75" customHeight="1">
      <c r="A412" s="56"/>
      <c r="B412" s="56"/>
      <c r="C412" s="56"/>
      <c r="D412" s="56"/>
      <c r="E412" s="56"/>
      <c r="F412" s="56"/>
      <c r="G412" s="56"/>
      <c r="H412" s="56"/>
      <c r="I412" s="56"/>
      <c r="J412" s="56"/>
      <c r="K412" s="56"/>
      <c r="L412" s="56"/>
      <c r="M412" s="56"/>
      <c r="N412" s="56"/>
      <c r="O412" s="56"/>
      <c r="P412" s="56"/>
      <c r="Q412" s="56"/>
      <c r="R412" s="56"/>
      <c r="S412" s="56"/>
      <c r="T412" s="56"/>
      <c r="U412" s="56"/>
      <c r="V412" s="56"/>
      <c r="W412" s="56"/>
      <c r="X412" s="56"/>
      <c r="Y412" s="56"/>
      <c r="Z412" s="56"/>
    </row>
    <row r="413" spans="1:26" ht="15.75" customHeight="1">
      <c r="A413" s="56"/>
      <c r="B413" s="56"/>
      <c r="C413" s="56"/>
      <c r="D413" s="56"/>
      <c r="E413" s="56"/>
      <c r="F413" s="56"/>
      <c r="G413" s="56"/>
      <c r="H413" s="56"/>
      <c r="I413" s="56"/>
      <c r="J413" s="56"/>
      <c r="K413" s="56"/>
      <c r="L413" s="56"/>
      <c r="M413" s="56"/>
      <c r="N413" s="56"/>
      <c r="O413" s="56"/>
      <c r="P413" s="56"/>
      <c r="Q413" s="56"/>
      <c r="R413" s="56"/>
      <c r="S413" s="56"/>
      <c r="T413" s="56"/>
      <c r="U413" s="56"/>
      <c r="V413" s="56"/>
      <c r="W413" s="56"/>
      <c r="X413" s="56"/>
      <c r="Y413" s="56"/>
      <c r="Z413" s="56"/>
    </row>
    <row r="414" spans="1:26" ht="15.75" customHeight="1">
      <c r="A414" s="56"/>
      <c r="B414" s="56"/>
      <c r="C414" s="56"/>
      <c r="D414" s="56"/>
      <c r="E414" s="56"/>
      <c r="F414" s="56"/>
      <c r="G414" s="56"/>
      <c r="H414" s="56"/>
      <c r="I414" s="56"/>
      <c r="J414" s="56"/>
      <c r="K414" s="56"/>
      <c r="L414" s="56"/>
      <c r="M414" s="56"/>
      <c r="N414" s="56"/>
      <c r="O414" s="56"/>
      <c r="P414" s="56"/>
      <c r="Q414" s="56"/>
      <c r="R414" s="56"/>
      <c r="S414" s="56"/>
      <c r="T414" s="56"/>
      <c r="U414" s="56"/>
      <c r="V414" s="56"/>
      <c r="W414" s="56"/>
      <c r="X414" s="56"/>
      <c r="Y414" s="56"/>
      <c r="Z414" s="56"/>
    </row>
    <row r="415" spans="1:26" ht="15.75" customHeight="1">
      <c r="A415" s="56"/>
      <c r="B415" s="56"/>
      <c r="C415" s="56"/>
      <c r="D415" s="56"/>
      <c r="E415" s="56"/>
      <c r="F415" s="56"/>
      <c r="G415" s="56"/>
      <c r="H415" s="56"/>
      <c r="I415" s="56"/>
      <c r="J415" s="56"/>
      <c r="K415" s="56"/>
      <c r="L415" s="56"/>
      <c r="M415" s="56"/>
      <c r="N415" s="56"/>
      <c r="O415" s="56"/>
      <c r="P415" s="56"/>
      <c r="Q415" s="56"/>
      <c r="R415" s="56"/>
      <c r="S415" s="56"/>
      <c r="T415" s="56"/>
      <c r="U415" s="56"/>
      <c r="V415" s="56"/>
      <c r="W415" s="56"/>
      <c r="X415" s="56"/>
      <c r="Y415" s="56"/>
      <c r="Z415" s="56"/>
    </row>
    <row r="416" spans="1:26" ht="15.75" customHeight="1">
      <c r="A416" s="56"/>
      <c r="B416" s="56"/>
      <c r="C416" s="56"/>
      <c r="D416" s="56"/>
      <c r="E416" s="56"/>
      <c r="F416" s="56"/>
      <c r="G416" s="56"/>
      <c r="H416" s="56"/>
      <c r="I416" s="56"/>
      <c r="J416" s="56"/>
      <c r="K416" s="56"/>
      <c r="L416" s="56"/>
      <c r="M416" s="56"/>
      <c r="N416" s="56"/>
      <c r="O416" s="56"/>
      <c r="P416" s="56"/>
      <c r="Q416" s="56"/>
      <c r="R416" s="56"/>
      <c r="S416" s="56"/>
      <c r="T416" s="56"/>
      <c r="U416" s="56"/>
      <c r="V416" s="56"/>
      <c r="W416" s="56"/>
      <c r="X416" s="56"/>
      <c r="Y416" s="56"/>
      <c r="Z416" s="56"/>
    </row>
    <row r="417" spans="1:26" ht="15.75" customHeight="1">
      <c r="A417" s="56"/>
      <c r="B417" s="56"/>
      <c r="C417" s="56"/>
      <c r="D417" s="56"/>
      <c r="E417" s="56"/>
      <c r="F417" s="56"/>
      <c r="G417" s="56"/>
      <c r="H417" s="56"/>
      <c r="I417" s="56"/>
      <c r="J417" s="56"/>
      <c r="K417" s="56"/>
      <c r="L417" s="56"/>
      <c r="M417" s="56"/>
      <c r="N417" s="56"/>
      <c r="O417" s="56"/>
      <c r="P417" s="56"/>
      <c r="Q417" s="56"/>
      <c r="R417" s="56"/>
      <c r="S417" s="56"/>
      <c r="T417" s="56"/>
      <c r="U417" s="56"/>
      <c r="V417" s="56"/>
      <c r="W417" s="56"/>
      <c r="X417" s="56"/>
      <c r="Y417" s="56"/>
      <c r="Z417" s="56"/>
    </row>
    <row r="418" spans="1:26" ht="15.75" customHeight="1">
      <c r="A418" s="56"/>
      <c r="B418" s="56"/>
      <c r="C418" s="56"/>
      <c r="D418" s="56"/>
      <c r="E418" s="56"/>
      <c r="F418" s="56"/>
      <c r="G418" s="56"/>
      <c r="H418" s="56"/>
      <c r="I418" s="56"/>
      <c r="J418" s="56"/>
      <c r="K418" s="56"/>
      <c r="L418" s="56"/>
      <c r="M418" s="56"/>
      <c r="N418" s="56"/>
      <c r="O418" s="56"/>
      <c r="P418" s="56"/>
      <c r="Q418" s="56"/>
      <c r="R418" s="56"/>
      <c r="S418" s="56"/>
      <c r="T418" s="56"/>
      <c r="U418" s="56"/>
      <c r="V418" s="56"/>
      <c r="W418" s="56"/>
      <c r="X418" s="56"/>
      <c r="Y418" s="56"/>
      <c r="Z418" s="56"/>
    </row>
    <row r="419" spans="1:26" ht="15.75" customHeight="1">
      <c r="A419" s="56"/>
      <c r="B419" s="56"/>
      <c r="C419" s="56"/>
      <c r="D419" s="56"/>
      <c r="E419" s="56"/>
      <c r="F419" s="56"/>
      <c r="G419" s="56"/>
      <c r="H419" s="56"/>
      <c r="I419" s="56"/>
      <c r="J419" s="56"/>
      <c r="K419" s="56"/>
      <c r="L419" s="56"/>
      <c r="M419" s="56"/>
      <c r="N419" s="56"/>
      <c r="O419" s="56"/>
      <c r="P419" s="56"/>
      <c r="Q419" s="56"/>
      <c r="R419" s="56"/>
      <c r="S419" s="56"/>
      <c r="T419" s="56"/>
      <c r="U419" s="56"/>
      <c r="V419" s="56"/>
      <c r="W419" s="56"/>
      <c r="X419" s="56"/>
      <c r="Y419" s="56"/>
      <c r="Z419" s="56"/>
    </row>
    <row r="420" spans="1:26" ht="15.75" customHeight="1">
      <c r="A420" s="56"/>
      <c r="B420" s="56"/>
      <c r="C420" s="56"/>
      <c r="D420" s="56"/>
      <c r="E420" s="56"/>
      <c r="F420" s="56"/>
      <c r="G420" s="56"/>
      <c r="H420" s="56"/>
      <c r="I420" s="56"/>
      <c r="J420" s="56"/>
      <c r="K420" s="56"/>
      <c r="L420" s="56"/>
      <c r="M420" s="56"/>
      <c r="N420" s="56"/>
      <c r="O420" s="56"/>
      <c r="P420" s="56"/>
      <c r="Q420" s="56"/>
      <c r="R420" s="56"/>
      <c r="S420" s="56"/>
      <c r="T420" s="56"/>
      <c r="U420" s="56"/>
      <c r="V420" s="56"/>
      <c r="W420" s="56"/>
      <c r="X420" s="56"/>
      <c r="Y420" s="56"/>
      <c r="Z420" s="56"/>
    </row>
    <row r="421" spans="1:26" ht="15.75" customHeight="1">
      <c r="A421" s="56"/>
      <c r="B421" s="56"/>
      <c r="C421" s="56"/>
      <c r="D421" s="56"/>
      <c r="E421" s="56"/>
      <c r="F421" s="56"/>
      <c r="G421" s="56"/>
      <c r="H421" s="56"/>
      <c r="I421" s="56"/>
      <c r="J421" s="56"/>
      <c r="K421" s="56"/>
      <c r="L421" s="56"/>
      <c r="M421" s="56"/>
      <c r="N421" s="56"/>
      <c r="O421" s="56"/>
      <c r="P421" s="56"/>
      <c r="Q421" s="56"/>
      <c r="R421" s="56"/>
      <c r="S421" s="56"/>
      <c r="T421" s="56"/>
      <c r="U421" s="56"/>
      <c r="V421" s="56"/>
      <c r="W421" s="56"/>
      <c r="X421" s="56"/>
      <c r="Y421" s="56"/>
      <c r="Z421" s="56"/>
    </row>
    <row r="422" spans="1:26" ht="15.75" customHeight="1">
      <c r="A422" s="56"/>
      <c r="B422" s="56"/>
      <c r="C422" s="56"/>
      <c r="D422" s="56"/>
      <c r="E422" s="56"/>
      <c r="F422" s="56"/>
      <c r="G422" s="56"/>
      <c r="H422" s="56"/>
      <c r="I422" s="56"/>
      <c r="J422" s="56"/>
      <c r="K422" s="56"/>
      <c r="L422" s="56"/>
      <c r="M422" s="56"/>
      <c r="N422" s="56"/>
      <c r="O422" s="56"/>
      <c r="P422" s="56"/>
      <c r="Q422" s="56"/>
      <c r="R422" s="56"/>
      <c r="S422" s="56"/>
      <c r="T422" s="56"/>
      <c r="U422" s="56"/>
      <c r="V422" s="56"/>
      <c r="W422" s="56"/>
      <c r="X422" s="56"/>
      <c r="Y422" s="56"/>
      <c r="Z422" s="56"/>
    </row>
    <row r="423" spans="1:26" ht="15.75" customHeight="1">
      <c r="A423" s="56"/>
      <c r="B423" s="56"/>
      <c r="C423" s="56"/>
      <c r="D423" s="56"/>
      <c r="E423" s="56"/>
      <c r="F423" s="56"/>
      <c r="G423" s="56"/>
      <c r="H423" s="56"/>
      <c r="I423" s="56"/>
      <c r="J423" s="56"/>
      <c r="K423" s="56"/>
      <c r="L423" s="56"/>
      <c r="M423" s="56"/>
      <c r="N423" s="56"/>
      <c r="O423" s="56"/>
      <c r="P423" s="56"/>
      <c r="Q423" s="56"/>
      <c r="R423" s="56"/>
      <c r="S423" s="56"/>
      <c r="T423" s="56"/>
      <c r="U423" s="56"/>
      <c r="V423" s="56"/>
      <c r="W423" s="56"/>
      <c r="X423" s="56"/>
      <c r="Y423" s="56"/>
      <c r="Z423" s="56"/>
    </row>
    <row r="424" spans="1:26" ht="15.75" customHeight="1">
      <c r="A424" s="56"/>
      <c r="B424" s="56"/>
      <c r="C424" s="56"/>
      <c r="D424" s="56"/>
      <c r="E424" s="56"/>
      <c r="F424" s="56"/>
      <c r="G424" s="56"/>
      <c r="H424" s="56"/>
      <c r="I424" s="56"/>
      <c r="J424" s="56"/>
      <c r="K424" s="56"/>
      <c r="L424" s="56"/>
      <c r="M424" s="56"/>
      <c r="N424" s="56"/>
      <c r="O424" s="56"/>
      <c r="P424" s="56"/>
      <c r="Q424" s="56"/>
      <c r="R424" s="56"/>
      <c r="S424" s="56"/>
      <c r="T424" s="56"/>
      <c r="U424" s="56"/>
      <c r="V424" s="56"/>
      <c r="W424" s="56"/>
      <c r="X424" s="56"/>
      <c r="Y424" s="56"/>
      <c r="Z424" s="56"/>
    </row>
    <row r="425" spans="1:26" ht="15.75" customHeight="1">
      <c r="A425" s="56"/>
      <c r="B425" s="56"/>
      <c r="C425" s="56"/>
      <c r="D425" s="56"/>
      <c r="E425" s="56"/>
      <c r="F425" s="56"/>
      <c r="G425" s="56"/>
      <c r="H425" s="56"/>
      <c r="I425" s="56"/>
      <c r="J425" s="56"/>
      <c r="K425" s="56"/>
      <c r="L425" s="56"/>
      <c r="M425" s="56"/>
      <c r="N425" s="56"/>
      <c r="O425" s="56"/>
      <c r="P425" s="56"/>
      <c r="Q425" s="56"/>
      <c r="R425" s="56"/>
      <c r="S425" s="56"/>
      <c r="T425" s="56"/>
      <c r="U425" s="56"/>
      <c r="V425" s="56"/>
      <c r="W425" s="56"/>
      <c r="X425" s="56"/>
      <c r="Y425" s="56"/>
      <c r="Z425" s="56"/>
    </row>
    <row r="426" spans="1:26" ht="15.75" customHeight="1">
      <c r="A426" s="56"/>
      <c r="B426" s="56"/>
      <c r="C426" s="56"/>
      <c r="D426" s="56"/>
      <c r="E426" s="56"/>
      <c r="F426" s="56"/>
      <c r="G426" s="56"/>
      <c r="H426" s="56"/>
      <c r="I426" s="56"/>
      <c r="J426" s="56"/>
      <c r="K426" s="56"/>
      <c r="L426" s="56"/>
      <c r="M426" s="56"/>
      <c r="N426" s="56"/>
      <c r="O426" s="56"/>
      <c r="P426" s="56"/>
      <c r="Q426" s="56"/>
      <c r="R426" s="56"/>
      <c r="S426" s="56"/>
      <c r="T426" s="56"/>
      <c r="U426" s="56"/>
      <c r="V426" s="56"/>
      <c r="W426" s="56"/>
      <c r="X426" s="56"/>
      <c r="Y426" s="56"/>
      <c r="Z426" s="56"/>
    </row>
    <row r="427" spans="1:26" ht="15.75" customHeight="1">
      <c r="A427" s="56"/>
      <c r="B427" s="56"/>
      <c r="C427" s="56"/>
      <c r="D427" s="56"/>
      <c r="E427" s="56"/>
      <c r="F427" s="56"/>
      <c r="G427" s="56"/>
      <c r="H427" s="56"/>
      <c r="I427" s="56"/>
      <c r="J427" s="56"/>
      <c r="K427" s="56"/>
      <c r="L427" s="56"/>
      <c r="M427" s="56"/>
      <c r="N427" s="56"/>
      <c r="O427" s="56"/>
      <c r="P427" s="56"/>
      <c r="Q427" s="56"/>
      <c r="R427" s="56"/>
      <c r="S427" s="56"/>
      <c r="T427" s="56"/>
      <c r="U427" s="56"/>
      <c r="V427" s="56"/>
      <c r="W427" s="56"/>
      <c r="X427" s="56"/>
      <c r="Y427" s="56"/>
      <c r="Z427" s="56"/>
    </row>
    <row r="428" spans="1:26" ht="15.75" customHeight="1">
      <c r="A428" s="56"/>
      <c r="B428" s="56"/>
      <c r="C428" s="56"/>
      <c r="D428" s="56"/>
      <c r="E428" s="56"/>
      <c r="F428" s="56"/>
      <c r="G428" s="56"/>
      <c r="H428" s="56"/>
      <c r="I428" s="56"/>
      <c r="J428" s="56"/>
      <c r="K428" s="56"/>
      <c r="L428" s="56"/>
      <c r="M428" s="56"/>
      <c r="N428" s="56"/>
      <c r="O428" s="56"/>
      <c r="P428" s="56"/>
      <c r="Q428" s="56"/>
      <c r="R428" s="56"/>
      <c r="S428" s="56"/>
      <c r="T428" s="56"/>
      <c r="U428" s="56"/>
      <c r="V428" s="56"/>
      <c r="W428" s="56"/>
      <c r="X428" s="56"/>
      <c r="Y428" s="56"/>
      <c r="Z428" s="56"/>
    </row>
    <row r="429" spans="1:26" ht="15.75" customHeight="1">
      <c r="A429" s="56"/>
      <c r="B429" s="56"/>
      <c r="C429" s="56"/>
      <c r="D429" s="56"/>
      <c r="E429" s="56"/>
      <c r="F429" s="56"/>
      <c r="G429" s="56"/>
      <c r="H429" s="56"/>
      <c r="I429" s="56"/>
      <c r="J429" s="56"/>
      <c r="K429" s="56"/>
      <c r="L429" s="56"/>
      <c r="M429" s="56"/>
      <c r="N429" s="56"/>
      <c r="O429" s="56"/>
      <c r="P429" s="56"/>
      <c r="Q429" s="56"/>
      <c r="R429" s="56"/>
      <c r="S429" s="56"/>
      <c r="T429" s="56"/>
      <c r="U429" s="56"/>
      <c r="V429" s="56"/>
      <c r="W429" s="56"/>
      <c r="X429" s="56"/>
      <c r="Y429" s="56"/>
      <c r="Z429" s="56"/>
    </row>
    <row r="430" spans="1:26" ht="15.75" customHeight="1">
      <c r="A430" s="56"/>
      <c r="B430" s="56"/>
      <c r="C430" s="56"/>
      <c r="D430" s="56"/>
      <c r="E430" s="56"/>
      <c r="F430" s="56"/>
      <c r="G430" s="56"/>
      <c r="H430" s="56"/>
      <c r="I430" s="56"/>
      <c r="J430" s="56"/>
      <c r="K430" s="56"/>
      <c r="L430" s="56"/>
      <c r="M430" s="56"/>
      <c r="N430" s="56"/>
      <c r="O430" s="56"/>
      <c r="P430" s="56"/>
      <c r="Q430" s="56"/>
      <c r="R430" s="56"/>
      <c r="S430" s="56"/>
      <c r="T430" s="56"/>
      <c r="U430" s="56"/>
      <c r="V430" s="56"/>
      <c r="W430" s="56"/>
      <c r="X430" s="56"/>
      <c r="Y430" s="56"/>
      <c r="Z430" s="56"/>
    </row>
    <row r="431" spans="1:26" ht="15.75" customHeight="1">
      <c r="A431" s="56"/>
      <c r="B431" s="56"/>
      <c r="C431" s="56"/>
      <c r="D431" s="56"/>
      <c r="E431" s="56"/>
      <c r="F431" s="56"/>
      <c r="G431" s="56"/>
      <c r="H431" s="56"/>
      <c r="I431" s="56"/>
      <c r="J431" s="56"/>
      <c r="K431" s="56"/>
      <c r="L431" s="56"/>
      <c r="M431" s="56"/>
      <c r="N431" s="56"/>
      <c r="O431" s="56"/>
      <c r="P431" s="56"/>
      <c r="Q431" s="56"/>
      <c r="R431" s="56"/>
      <c r="S431" s="56"/>
      <c r="T431" s="56"/>
      <c r="U431" s="56"/>
      <c r="V431" s="56"/>
      <c r="W431" s="56"/>
      <c r="X431" s="56"/>
      <c r="Y431" s="56"/>
      <c r="Z431" s="56"/>
    </row>
    <row r="432" spans="1:26" ht="15.75" customHeight="1">
      <c r="A432" s="56"/>
      <c r="B432" s="56"/>
      <c r="C432" s="56"/>
      <c r="D432" s="56"/>
      <c r="E432" s="56"/>
      <c r="F432" s="56"/>
      <c r="G432" s="56"/>
      <c r="H432" s="56"/>
      <c r="I432" s="56"/>
      <c r="J432" s="56"/>
      <c r="K432" s="56"/>
      <c r="L432" s="56"/>
      <c r="M432" s="56"/>
      <c r="N432" s="56"/>
      <c r="O432" s="56"/>
      <c r="P432" s="56"/>
      <c r="Q432" s="56"/>
      <c r="R432" s="56"/>
      <c r="S432" s="56"/>
      <c r="T432" s="56"/>
      <c r="U432" s="56"/>
      <c r="V432" s="56"/>
      <c r="W432" s="56"/>
      <c r="X432" s="56"/>
      <c r="Y432" s="56"/>
      <c r="Z432" s="56"/>
    </row>
    <row r="433" spans="1:26" ht="15.75" customHeight="1">
      <c r="A433" s="56"/>
      <c r="B433" s="56"/>
      <c r="C433" s="56"/>
      <c r="D433" s="56"/>
      <c r="E433" s="56"/>
      <c r="F433" s="56"/>
      <c r="G433" s="56"/>
      <c r="H433" s="56"/>
      <c r="I433" s="56"/>
      <c r="J433" s="56"/>
      <c r="K433" s="56"/>
      <c r="L433" s="56"/>
      <c r="M433" s="56"/>
      <c r="N433" s="56"/>
      <c r="O433" s="56"/>
      <c r="P433" s="56"/>
      <c r="Q433" s="56"/>
      <c r="R433" s="56"/>
      <c r="S433" s="56"/>
      <c r="T433" s="56"/>
      <c r="U433" s="56"/>
      <c r="V433" s="56"/>
      <c r="W433" s="56"/>
      <c r="X433" s="56"/>
      <c r="Y433" s="56"/>
      <c r="Z433" s="56"/>
    </row>
    <row r="434" spans="1:26" ht="15.75" customHeight="1">
      <c r="A434" s="56"/>
      <c r="B434" s="56"/>
      <c r="C434" s="56"/>
      <c r="D434" s="56"/>
      <c r="E434" s="56"/>
      <c r="F434" s="56"/>
      <c r="G434" s="56"/>
      <c r="H434" s="56"/>
      <c r="I434" s="56"/>
      <c r="J434" s="56"/>
      <c r="K434" s="56"/>
      <c r="L434" s="56"/>
      <c r="M434" s="56"/>
      <c r="N434" s="56"/>
      <c r="O434" s="56"/>
      <c r="P434" s="56"/>
      <c r="Q434" s="56"/>
      <c r="R434" s="56"/>
      <c r="S434" s="56"/>
      <c r="T434" s="56"/>
      <c r="U434" s="56"/>
      <c r="V434" s="56"/>
      <c r="W434" s="56"/>
      <c r="X434" s="56"/>
      <c r="Y434" s="56"/>
      <c r="Z434" s="56"/>
    </row>
    <row r="435" spans="1:26" ht="15.75" customHeight="1">
      <c r="A435" s="56"/>
      <c r="B435" s="56"/>
      <c r="C435" s="56"/>
      <c r="D435" s="56"/>
      <c r="E435" s="56"/>
      <c r="F435" s="56"/>
      <c r="G435" s="56"/>
      <c r="H435" s="56"/>
      <c r="I435" s="56"/>
      <c r="J435" s="56"/>
      <c r="K435" s="56"/>
      <c r="L435" s="56"/>
      <c r="M435" s="56"/>
      <c r="N435" s="56"/>
      <c r="O435" s="56"/>
      <c r="P435" s="56"/>
      <c r="Q435" s="56"/>
      <c r="R435" s="56"/>
      <c r="S435" s="56"/>
      <c r="T435" s="56"/>
      <c r="U435" s="56"/>
      <c r="V435" s="56"/>
      <c r="W435" s="56"/>
      <c r="X435" s="56"/>
      <c r="Y435" s="56"/>
      <c r="Z435" s="56"/>
    </row>
    <row r="436" spans="1:26" ht="15.75" customHeight="1">
      <c r="A436" s="56"/>
      <c r="B436" s="56"/>
      <c r="C436" s="56"/>
      <c r="D436" s="56"/>
      <c r="E436" s="56"/>
      <c r="F436" s="56"/>
      <c r="G436" s="56"/>
      <c r="H436" s="56"/>
      <c r="I436" s="56"/>
      <c r="J436" s="56"/>
      <c r="K436" s="56"/>
      <c r="L436" s="56"/>
      <c r="M436" s="56"/>
      <c r="N436" s="56"/>
      <c r="O436" s="56"/>
      <c r="P436" s="56"/>
      <c r="Q436" s="56"/>
      <c r="R436" s="56"/>
      <c r="S436" s="56"/>
      <c r="T436" s="56"/>
      <c r="U436" s="56"/>
      <c r="V436" s="56"/>
      <c r="W436" s="56"/>
      <c r="X436" s="56"/>
      <c r="Y436" s="56"/>
      <c r="Z436" s="56"/>
    </row>
    <row r="437" spans="1:26" ht="15.75" customHeight="1">
      <c r="A437" s="56"/>
      <c r="B437" s="56"/>
      <c r="C437" s="56"/>
      <c r="D437" s="56"/>
      <c r="E437" s="56"/>
      <c r="F437" s="56"/>
      <c r="G437" s="56"/>
      <c r="H437" s="56"/>
      <c r="I437" s="56"/>
      <c r="J437" s="56"/>
      <c r="K437" s="56"/>
      <c r="L437" s="56"/>
      <c r="M437" s="56"/>
      <c r="N437" s="56"/>
      <c r="O437" s="56"/>
      <c r="P437" s="56"/>
      <c r="Q437" s="56"/>
      <c r="R437" s="56"/>
      <c r="S437" s="56"/>
      <c r="T437" s="56"/>
      <c r="U437" s="56"/>
      <c r="V437" s="56"/>
      <c r="W437" s="56"/>
      <c r="X437" s="56"/>
      <c r="Y437" s="56"/>
      <c r="Z437" s="56"/>
    </row>
    <row r="438" spans="1:26" ht="15.75" customHeight="1">
      <c r="A438" s="56"/>
      <c r="B438" s="56"/>
      <c r="C438" s="56"/>
      <c r="D438" s="56"/>
      <c r="E438" s="56"/>
      <c r="F438" s="56"/>
      <c r="G438" s="56"/>
      <c r="H438" s="56"/>
      <c r="I438" s="56"/>
      <c r="J438" s="56"/>
      <c r="K438" s="56"/>
      <c r="L438" s="56"/>
      <c r="M438" s="56"/>
      <c r="N438" s="56"/>
      <c r="O438" s="56"/>
      <c r="P438" s="56"/>
      <c r="Q438" s="56"/>
      <c r="R438" s="56"/>
      <c r="S438" s="56"/>
      <c r="T438" s="56"/>
      <c r="U438" s="56"/>
      <c r="V438" s="56"/>
      <c r="W438" s="56"/>
      <c r="X438" s="56"/>
      <c r="Y438" s="56"/>
      <c r="Z438" s="56"/>
    </row>
    <row r="439" spans="1:26" ht="15.75" customHeight="1">
      <c r="A439" s="56"/>
      <c r="B439" s="56"/>
      <c r="C439" s="56"/>
      <c r="D439" s="56"/>
      <c r="E439" s="56"/>
      <c r="F439" s="56"/>
      <c r="G439" s="56"/>
      <c r="H439" s="56"/>
      <c r="I439" s="56"/>
      <c r="J439" s="56"/>
      <c r="K439" s="56"/>
      <c r="L439" s="56"/>
      <c r="M439" s="56"/>
      <c r="N439" s="56"/>
      <c r="O439" s="56"/>
      <c r="P439" s="56"/>
      <c r="Q439" s="56"/>
      <c r="R439" s="56"/>
      <c r="S439" s="56"/>
      <c r="T439" s="56"/>
      <c r="U439" s="56"/>
      <c r="V439" s="56"/>
      <c r="W439" s="56"/>
      <c r="X439" s="56"/>
      <c r="Y439" s="56"/>
      <c r="Z439" s="56"/>
    </row>
    <row r="440" spans="1:26" ht="15.75" customHeight="1">
      <c r="A440" s="56"/>
      <c r="B440" s="56"/>
      <c r="C440" s="56"/>
      <c r="D440" s="56"/>
      <c r="E440" s="56"/>
      <c r="F440" s="56"/>
      <c r="G440" s="56"/>
      <c r="H440" s="56"/>
      <c r="I440" s="56"/>
      <c r="J440" s="56"/>
      <c r="K440" s="56"/>
      <c r="L440" s="56"/>
      <c r="M440" s="56"/>
      <c r="N440" s="56"/>
      <c r="O440" s="56"/>
      <c r="P440" s="56"/>
      <c r="Q440" s="56"/>
      <c r="R440" s="56"/>
      <c r="S440" s="56"/>
      <c r="T440" s="56"/>
      <c r="U440" s="56"/>
      <c r="V440" s="56"/>
      <c r="W440" s="56"/>
      <c r="X440" s="56"/>
      <c r="Y440" s="56"/>
      <c r="Z440" s="56"/>
    </row>
    <row r="441" spans="1:26" ht="15.75" customHeight="1">
      <c r="A441" s="56"/>
      <c r="B441" s="56"/>
      <c r="C441" s="56"/>
      <c r="D441" s="56"/>
      <c r="E441" s="56"/>
      <c r="F441" s="56"/>
      <c r="G441" s="56"/>
      <c r="H441" s="56"/>
      <c r="I441" s="56"/>
      <c r="J441" s="56"/>
      <c r="K441" s="56"/>
      <c r="L441" s="56"/>
      <c r="M441" s="56"/>
      <c r="N441" s="56"/>
      <c r="O441" s="56"/>
      <c r="P441" s="56"/>
      <c r="Q441" s="56"/>
      <c r="R441" s="56"/>
      <c r="S441" s="56"/>
      <c r="T441" s="56"/>
      <c r="U441" s="56"/>
      <c r="V441" s="56"/>
      <c r="W441" s="56"/>
      <c r="X441" s="56"/>
      <c r="Y441" s="56"/>
      <c r="Z441" s="56"/>
    </row>
    <row r="442" spans="1:26" ht="15.75" customHeight="1">
      <c r="A442" s="56"/>
      <c r="B442" s="56"/>
      <c r="C442" s="56"/>
      <c r="D442" s="56"/>
      <c r="E442" s="56"/>
      <c r="F442" s="56"/>
      <c r="G442" s="56"/>
      <c r="H442" s="56"/>
      <c r="I442" s="56"/>
      <c r="J442" s="56"/>
      <c r="K442" s="56"/>
      <c r="L442" s="56"/>
      <c r="M442" s="56"/>
      <c r="N442" s="56"/>
      <c r="O442" s="56"/>
      <c r="P442" s="56"/>
      <c r="Q442" s="56"/>
      <c r="R442" s="56"/>
      <c r="S442" s="56"/>
      <c r="T442" s="56"/>
      <c r="U442" s="56"/>
      <c r="V442" s="56"/>
      <c r="W442" s="56"/>
      <c r="X442" s="56"/>
      <c r="Y442" s="56"/>
      <c r="Z442" s="56"/>
    </row>
    <row r="443" spans="1:26" ht="15.75" customHeight="1">
      <c r="A443" s="56"/>
      <c r="B443" s="56"/>
      <c r="C443" s="56"/>
      <c r="D443" s="56"/>
      <c r="E443" s="56"/>
      <c r="F443" s="56"/>
      <c r="G443" s="56"/>
      <c r="H443" s="56"/>
      <c r="I443" s="56"/>
      <c r="J443" s="56"/>
      <c r="K443" s="56"/>
      <c r="L443" s="56"/>
      <c r="M443" s="56"/>
      <c r="N443" s="56"/>
      <c r="O443" s="56"/>
      <c r="P443" s="56"/>
      <c r="Q443" s="56"/>
      <c r="R443" s="56"/>
      <c r="S443" s="56"/>
      <c r="T443" s="56"/>
      <c r="U443" s="56"/>
      <c r="V443" s="56"/>
      <c r="W443" s="56"/>
      <c r="X443" s="56"/>
      <c r="Y443" s="56"/>
      <c r="Z443" s="56"/>
    </row>
    <row r="444" spans="1:26" ht="15.75" customHeight="1">
      <c r="A444" s="56"/>
      <c r="B444" s="56"/>
      <c r="C444" s="56"/>
      <c r="D444" s="56"/>
      <c r="E444" s="56"/>
      <c r="F444" s="56"/>
      <c r="G444" s="56"/>
      <c r="H444" s="56"/>
      <c r="I444" s="56"/>
      <c r="J444" s="56"/>
      <c r="K444" s="56"/>
      <c r="L444" s="56"/>
      <c r="M444" s="56"/>
      <c r="N444" s="56"/>
      <c r="O444" s="56"/>
      <c r="P444" s="56"/>
      <c r="Q444" s="56"/>
      <c r="R444" s="56"/>
      <c r="S444" s="56"/>
      <c r="T444" s="56"/>
      <c r="U444" s="56"/>
      <c r="V444" s="56"/>
      <c r="W444" s="56"/>
      <c r="X444" s="56"/>
      <c r="Y444" s="56"/>
      <c r="Z444" s="56"/>
    </row>
    <row r="445" spans="1:26" ht="15.75" customHeight="1">
      <c r="A445" s="56"/>
      <c r="B445" s="56"/>
      <c r="C445" s="56"/>
      <c r="D445" s="56"/>
      <c r="E445" s="56"/>
      <c r="F445" s="56"/>
      <c r="G445" s="56"/>
      <c r="H445" s="56"/>
      <c r="I445" s="56"/>
      <c r="J445" s="56"/>
      <c r="K445" s="56"/>
      <c r="L445" s="56"/>
      <c r="M445" s="56"/>
      <c r="N445" s="56"/>
      <c r="O445" s="56"/>
      <c r="P445" s="56"/>
      <c r="Q445" s="56"/>
      <c r="R445" s="56"/>
      <c r="S445" s="56"/>
      <c r="T445" s="56"/>
      <c r="U445" s="56"/>
      <c r="V445" s="56"/>
      <c r="W445" s="56"/>
      <c r="X445" s="56"/>
      <c r="Y445" s="56"/>
      <c r="Z445" s="56"/>
    </row>
    <row r="446" spans="1:26" ht="15.75" customHeight="1">
      <c r="A446" s="56"/>
      <c r="B446" s="56"/>
      <c r="C446" s="56"/>
      <c r="D446" s="56"/>
      <c r="E446" s="56"/>
      <c r="F446" s="56"/>
      <c r="G446" s="56"/>
      <c r="H446" s="56"/>
      <c r="I446" s="56"/>
      <c r="J446" s="56"/>
      <c r="K446" s="56"/>
      <c r="L446" s="56"/>
      <c r="M446" s="56"/>
      <c r="N446" s="56"/>
      <c r="O446" s="56"/>
      <c r="P446" s="56"/>
      <c r="Q446" s="56"/>
      <c r="R446" s="56"/>
      <c r="S446" s="56"/>
      <c r="T446" s="56"/>
      <c r="U446" s="56"/>
      <c r="V446" s="56"/>
      <c r="W446" s="56"/>
      <c r="X446" s="56"/>
      <c r="Y446" s="56"/>
      <c r="Z446" s="56"/>
    </row>
    <row r="447" spans="1:26" ht="15.75" customHeight="1">
      <c r="A447" s="56"/>
      <c r="B447" s="56"/>
      <c r="C447" s="56"/>
      <c r="D447" s="56"/>
      <c r="E447" s="56"/>
      <c r="F447" s="56"/>
      <c r="G447" s="56"/>
      <c r="H447" s="56"/>
      <c r="I447" s="56"/>
      <c r="J447" s="56"/>
      <c r="K447" s="56"/>
      <c r="L447" s="56"/>
      <c r="M447" s="56"/>
      <c r="N447" s="56"/>
      <c r="O447" s="56"/>
      <c r="P447" s="56"/>
      <c r="Q447" s="56"/>
      <c r="R447" s="56"/>
      <c r="S447" s="56"/>
      <c r="T447" s="56"/>
      <c r="U447" s="56"/>
      <c r="V447" s="56"/>
      <c r="W447" s="56"/>
      <c r="X447" s="56"/>
      <c r="Y447" s="56"/>
      <c r="Z447" s="56"/>
    </row>
    <row r="448" spans="1:26" ht="15.75" customHeight="1">
      <c r="A448" s="56"/>
      <c r="B448" s="56"/>
      <c r="C448" s="56"/>
      <c r="D448" s="56"/>
      <c r="E448" s="56"/>
      <c r="F448" s="56"/>
      <c r="G448" s="56"/>
      <c r="H448" s="56"/>
      <c r="I448" s="56"/>
      <c r="J448" s="56"/>
      <c r="K448" s="56"/>
      <c r="L448" s="56"/>
      <c r="M448" s="56"/>
      <c r="N448" s="56"/>
      <c r="O448" s="56"/>
      <c r="P448" s="56"/>
      <c r="Q448" s="56"/>
      <c r="R448" s="56"/>
      <c r="S448" s="56"/>
      <c r="T448" s="56"/>
      <c r="U448" s="56"/>
      <c r="V448" s="56"/>
      <c r="W448" s="56"/>
      <c r="X448" s="56"/>
      <c r="Y448" s="56"/>
      <c r="Z448" s="56"/>
    </row>
    <row r="449" spans="1:26" ht="15.75" customHeight="1">
      <c r="A449" s="56"/>
      <c r="B449" s="56"/>
      <c r="C449" s="56"/>
      <c r="D449" s="56"/>
      <c r="E449" s="56"/>
      <c r="F449" s="56"/>
      <c r="G449" s="56"/>
      <c r="H449" s="56"/>
      <c r="I449" s="56"/>
      <c r="J449" s="56"/>
      <c r="K449" s="56"/>
      <c r="L449" s="56"/>
      <c r="M449" s="56"/>
      <c r="N449" s="56"/>
      <c r="O449" s="56"/>
      <c r="P449" s="56"/>
      <c r="Q449" s="56"/>
      <c r="R449" s="56"/>
      <c r="S449" s="56"/>
      <c r="T449" s="56"/>
      <c r="U449" s="56"/>
      <c r="V449" s="56"/>
      <c r="W449" s="56"/>
      <c r="X449" s="56"/>
      <c r="Y449" s="56"/>
      <c r="Z449" s="56"/>
    </row>
    <row r="450" spans="1:26" ht="15.75" customHeight="1">
      <c r="A450" s="56"/>
      <c r="B450" s="56"/>
      <c r="C450" s="56"/>
      <c r="D450" s="56"/>
      <c r="E450" s="56"/>
      <c r="F450" s="56"/>
      <c r="G450" s="56"/>
      <c r="H450" s="56"/>
      <c r="I450" s="56"/>
      <c r="J450" s="56"/>
      <c r="K450" s="56"/>
      <c r="L450" s="56"/>
      <c r="M450" s="56"/>
      <c r="N450" s="56"/>
      <c r="O450" s="56"/>
      <c r="P450" s="56"/>
      <c r="Q450" s="56"/>
      <c r="R450" s="56"/>
      <c r="S450" s="56"/>
      <c r="T450" s="56"/>
      <c r="U450" s="56"/>
      <c r="V450" s="56"/>
      <c r="W450" s="56"/>
      <c r="X450" s="56"/>
      <c r="Y450" s="56"/>
      <c r="Z450" s="56"/>
    </row>
    <row r="451" spans="1:26" ht="15.75" customHeight="1">
      <c r="A451" s="56"/>
      <c r="B451" s="56"/>
      <c r="C451" s="56"/>
      <c r="D451" s="56"/>
      <c r="E451" s="56"/>
      <c r="F451" s="56"/>
      <c r="G451" s="56"/>
      <c r="H451" s="56"/>
      <c r="I451" s="56"/>
      <c r="J451" s="56"/>
      <c r="K451" s="56"/>
      <c r="L451" s="56"/>
      <c r="M451" s="56"/>
      <c r="N451" s="56"/>
      <c r="O451" s="56"/>
      <c r="P451" s="56"/>
      <c r="Q451" s="56"/>
      <c r="R451" s="56"/>
      <c r="S451" s="56"/>
      <c r="T451" s="56"/>
      <c r="U451" s="56"/>
      <c r="V451" s="56"/>
      <c r="W451" s="56"/>
      <c r="X451" s="56"/>
      <c r="Y451" s="56"/>
      <c r="Z451" s="56"/>
    </row>
    <row r="452" spans="1:26" ht="15.75" customHeight="1">
      <c r="A452" s="56"/>
      <c r="B452" s="56"/>
      <c r="C452" s="56"/>
      <c r="D452" s="56"/>
      <c r="E452" s="56"/>
      <c r="F452" s="56"/>
      <c r="G452" s="56"/>
      <c r="H452" s="56"/>
      <c r="I452" s="56"/>
      <c r="J452" s="56"/>
      <c r="K452" s="56"/>
      <c r="L452" s="56"/>
      <c r="M452" s="56"/>
      <c r="N452" s="56"/>
      <c r="O452" s="56"/>
      <c r="P452" s="56"/>
      <c r="Q452" s="56"/>
      <c r="R452" s="56"/>
      <c r="S452" s="56"/>
      <c r="T452" s="56"/>
      <c r="U452" s="56"/>
      <c r="V452" s="56"/>
      <c r="W452" s="56"/>
      <c r="X452" s="56"/>
      <c r="Y452" s="56"/>
      <c r="Z452" s="56"/>
    </row>
    <row r="453" spans="1:26" ht="15.75" customHeight="1">
      <c r="A453" s="56"/>
      <c r="B453" s="56"/>
      <c r="C453" s="56"/>
      <c r="D453" s="56"/>
      <c r="E453" s="56"/>
      <c r="F453" s="56"/>
      <c r="G453" s="56"/>
      <c r="H453" s="56"/>
      <c r="I453" s="56"/>
      <c r="J453" s="56"/>
      <c r="K453" s="56"/>
      <c r="L453" s="56"/>
      <c r="M453" s="56"/>
      <c r="N453" s="56"/>
      <c r="O453" s="56"/>
      <c r="P453" s="56"/>
      <c r="Q453" s="56"/>
      <c r="R453" s="56"/>
      <c r="S453" s="56"/>
      <c r="T453" s="56"/>
      <c r="U453" s="56"/>
      <c r="V453" s="56"/>
      <c r="W453" s="56"/>
      <c r="X453" s="56"/>
      <c r="Y453" s="56"/>
      <c r="Z453" s="56"/>
    </row>
    <row r="454" spans="1:26" ht="15.75" customHeight="1">
      <c r="A454" s="56"/>
      <c r="B454" s="56"/>
      <c r="C454" s="56"/>
      <c r="D454" s="56"/>
      <c r="E454" s="56"/>
      <c r="F454" s="56"/>
      <c r="G454" s="56"/>
      <c r="H454" s="56"/>
      <c r="I454" s="56"/>
      <c r="J454" s="56"/>
      <c r="K454" s="56"/>
      <c r="L454" s="56"/>
      <c r="M454" s="56"/>
      <c r="N454" s="56"/>
      <c r="O454" s="56"/>
      <c r="P454" s="56"/>
      <c r="Q454" s="56"/>
      <c r="R454" s="56"/>
      <c r="S454" s="56"/>
      <c r="T454" s="56"/>
      <c r="U454" s="56"/>
      <c r="V454" s="56"/>
      <c r="W454" s="56"/>
      <c r="X454" s="56"/>
      <c r="Y454" s="56"/>
      <c r="Z454" s="56"/>
    </row>
    <row r="455" spans="1:26" ht="15.75" customHeight="1">
      <c r="A455" s="56"/>
      <c r="B455" s="56"/>
      <c r="C455" s="56"/>
      <c r="D455" s="56"/>
      <c r="E455" s="56"/>
      <c r="F455" s="56"/>
      <c r="G455" s="56"/>
      <c r="H455" s="56"/>
      <c r="I455" s="56"/>
      <c r="J455" s="56"/>
      <c r="K455" s="56"/>
      <c r="L455" s="56"/>
      <c r="M455" s="56"/>
      <c r="N455" s="56"/>
      <c r="O455" s="56"/>
      <c r="P455" s="56"/>
      <c r="Q455" s="56"/>
      <c r="R455" s="56"/>
      <c r="S455" s="56"/>
      <c r="T455" s="56"/>
      <c r="U455" s="56"/>
      <c r="V455" s="56"/>
      <c r="W455" s="56"/>
      <c r="X455" s="56"/>
      <c r="Y455" s="56"/>
      <c r="Z455" s="56"/>
    </row>
    <row r="456" spans="1:26" ht="15.75" customHeight="1">
      <c r="A456" s="56"/>
      <c r="B456" s="56"/>
      <c r="C456" s="56"/>
      <c r="D456" s="56"/>
      <c r="E456" s="56"/>
      <c r="F456" s="56"/>
      <c r="G456" s="56"/>
      <c r="H456" s="56"/>
      <c r="I456" s="56"/>
      <c r="J456" s="56"/>
      <c r="K456" s="56"/>
      <c r="L456" s="56"/>
      <c r="M456" s="56"/>
      <c r="N456" s="56"/>
      <c r="O456" s="56"/>
      <c r="P456" s="56"/>
      <c r="Q456" s="56"/>
      <c r="R456" s="56"/>
      <c r="S456" s="56"/>
      <c r="T456" s="56"/>
      <c r="U456" s="56"/>
      <c r="V456" s="56"/>
      <c r="W456" s="56"/>
      <c r="X456" s="56"/>
      <c r="Y456" s="56"/>
      <c r="Z456" s="56"/>
    </row>
    <row r="457" spans="1:26" ht="15.75" customHeight="1">
      <c r="A457" s="56"/>
      <c r="B457" s="56"/>
      <c r="C457" s="56"/>
      <c r="D457" s="56"/>
      <c r="E457" s="56"/>
      <c r="F457" s="56"/>
      <c r="G457" s="56"/>
      <c r="H457" s="56"/>
      <c r="I457" s="56"/>
      <c r="J457" s="56"/>
      <c r="K457" s="56"/>
      <c r="L457" s="56"/>
      <c r="M457" s="56"/>
      <c r="N457" s="56"/>
      <c r="O457" s="56"/>
      <c r="P457" s="56"/>
      <c r="Q457" s="56"/>
      <c r="R457" s="56"/>
      <c r="S457" s="56"/>
      <c r="T457" s="56"/>
      <c r="U457" s="56"/>
      <c r="V457" s="56"/>
      <c r="W457" s="56"/>
      <c r="X457" s="56"/>
      <c r="Y457" s="56"/>
      <c r="Z457" s="56"/>
    </row>
    <row r="458" spans="1:26" ht="15.75" customHeight="1">
      <c r="A458" s="56"/>
      <c r="B458" s="56"/>
      <c r="C458" s="56"/>
      <c r="D458" s="56"/>
      <c r="E458" s="56"/>
      <c r="F458" s="56"/>
      <c r="G458" s="56"/>
      <c r="H458" s="56"/>
      <c r="I458" s="56"/>
      <c r="J458" s="56"/>
      <c r="K458" s="56"/>
      <c r="L458" s="56"/>
      <c r="M458" s="56"/>
      <c r="N458" s="56"/>
      <c r="O458" s="56"/>
      <c r="P458" s="56"/>
      <c r="Q458" s="56"/>
      <c r="R458" s="56"/>
      <c r="S458" s="56"/>
      <c r="T458" s="56"/>
      <c r="U458" s="56"/>
      <c r="V458" s="56"/>
      <c r="W458" s="56"/>
      <c r="X458" s="56"/>
      <c r="Y458" s="56"/>
      <c r="Z458" s="56"/>
    </row>
    <row r="459" spans="1:26" ht="15.75" customHeight="1">
      <c r="A459" s="56"/>
      <c r="B459" s="56"/>
      <c r="C459" s="56"/>
      <c r="D459" s="56"/>
      <c r="E459" s="56"/>
      <c r="F459" s="56"/>
      <c r="G459" s="56"/>
      <c r="H459" s="56"/>
      <c r="I459" s="56"/>
      <c r="J459" s="56"/>
      <c r="K459" s="56"/>
      <c r="L459" s="56"/>
      <c r="M459" s="56"/>
      <c r="N459" s="56"/>
      <c r="O459" s="56"/>
      <c r="P459" s="56"/>
      <c r="Q459" s="56"/>
      <c r="R459" s="56"/>
      <c r="S459" s="56"/>
      <c r="T459" s="56"/>
      <c r="U459" s="56"/>
      <c r="V459" s="56"/>
      <c r="W459" s="56"/>
      <c r="X459" s="56"/>
      <c r="Y459" s="56"/>
      <c r="Z459" s="56"/>
    </row>
    <row r="460" spans="1:26" ht="15.75" customHeight="1">
      <c r="A460" s="56"/>
      <c r="B460" s="56"/>
      <c r="C460" s="56"/>
      <c r="D460" s="56"/>
      <c r="E460" s="56"/>
      <c r="F460" s="56"/>
      <c r="G460" s="56"/>
      <c r="H460" s="56"/>
      <c r="I460" s="56"/>
      <c r="J460" s="56"/>
      <c r="K460" s="56"/>
      <c r="L460" s="56"/>
      <c r="M460" s="56"/>
      <c r="N460" s="56"/>
      <c r="O460" s="56"/>
      <c r="P460" s="56"/>
      <c r="Q460" s="56"/>
      <c r="R460" s="56"/>
      <c r="S460" s="56"/>
      <c r="T460" s="56"/>
      <c r="U460" s="56"/>
      <c r="V460" s="56"/>
      <c r="W460" s="56"/>
      <c r="X460" s="56"/>
      <c r="Y460" s="56"/>
      <c r="Z460" s="56"/>
    </row>
    <row r="461" spans="1:26" ht="15.75" customHeight="1">
      <c r="A461" s="56"/>
      <c r="B461" s="56"/>
      <c r="C461" s="56"/>
      <c r="D461" s="56"/>
      <c r="E461" s="56"/>
      <c r="F461" s="56"/>
      <c r="G461" s="56"/>
      <c r="H461" s="56"/>
      <c r="I461" s="56"/>
      <c r="J461" s="56"/>
      <c r="K461" s="56"/>
      <c r="L461" s="56"/>
      <c r="M461" s="56"/>
      <c r="N461" s="56"/>
      <c r="O461" s="56"/>
      <c r="P461" s="56"/>
      <c r="Q461" s="56"/>
      <c r="R461" s="56"/>
      <c r="S461" s="56"/>
      <c r="T461" s="56"/>
      <c r="U461" s="56"/>
      <c r="V461" s="56"/>
      <c r="W461" s="56"/>
      <c r="X461" s="56"/>
      <c r="Y461" s="56"/>
      <c r="Z461" s="56"/>
    </row>
    <row r="462" spans="1:26" ht="15.75" customHeight="1">
      <c r="A462" s="56"/>
      <c r="B462" s="56"/>
      <c r="C462" s="56"/>
      <c r="D462" s="56"/>
      <c r="E462" s="56"/>
      <c r="F462" s="56"/>
      <c r="G462" s="56"/>
      <c r="H462" s="56"/>
      <c r="I462" s="56"/>
      <c r="J462" s="56"/>
      <c r="K462" s="56"/>
      <c r="L462" s="56"/>
      <c r="M462" s="56"/>
      <c r="N462" s="56"/>
      <c r="O462" s="56"/>
      <c r="P462" s="56"/>
      <c r="Q462" s="56"/>
      <c r="R462" s="56"/>
      <c r="S462" s="56"/>
      <c r="T462" s="56"/>
      <c r="U462" s="56"/>
      <c r="V462" s="56"/>
      <c r="W462" s="56"/>
      <c r="X462" s="56"/>
      <c r="Y462" s="56"/>
      <c r="Z462" s="56"/>
    </row>
    <row r="463" spans="1:26" ht="15.75" customHeight="1">
      <c r="A463" s="56"/>
      <c r="B463" s="56"/>
      <c r="C463" s="56"/>
      <c r="D463" s="56"/>
      <c r="E463" s="56"/>
      <c r="F463" s="56"/>
      <c r="G463" s="56"/>
      <c r="H463" s="56"/>
      <c r="I463" s="56"/>
      <c r="J463" s="56"/>
      <c r="K463" s="56"/>
      <c r="L463" s="56"/>
      <c r="M463" s="56"/>
      <c r="N463" s="56"/>
      <c r="O463" s="56"/>
      <c r="P463" s="56"/>
      <c r="Q463" s="56"/>
      <c r="R463" s="56"/>
      <c r="S463" s="56"/>
      <c r="T463" s="56"/>
      <c r="U463" s="56"/>
      <c r="V463" s="56"/>
      <c r="W463" s="56"/>
      <c r="X463" s="56"/>
      <c r="Y463" s="56"/>
      <c r="Z463" s="56"/>
    </row>
    <row r="464" spans="1:26" ht="15.75" customHeight="1">
      <c r="A464" s="56"/>
      <c r="B464" s="56"/>
      <c r="C464" s="56"/>
      <c r="D464" s="56"/>
      <c r="E464" s="56"/>
      <c r="F464" s="56"/>
      <c r="G464" s="56"/>
      <c r="H464" s="56"/>
      <c r="I464" s="56"/>
      <c r="J464" s="56"/>
      <c r="K464" s="56"/>
      <c r="L464" s="56"/>
      <c r="M464" s="56"/>
      <c r="N464" s="56"/>
      <c r="O464" s="56"/>
      <c r="P464" s="56"/>
      <c r="Q464" s="56"/>
      <c r="R464" s="56"/>
      <c r="S464" s="56"/>
      <c r="T464" s="56"/>
      <c r="U464" s="56"/>
      <c r="V464" s="56"/>
      <c r="W464" s="56"/>
      <c r="X464" s="56"/>
      <c r="Y464" s="56"/>
      <c r="Z464" s="56"/>
    </row>
    <row r="465" spans="1:26" ht="15.75" customHeight="1">
      <c r="A465" s="56"/>
      <c r="B465" s="56"/>
      <c r="C465" s="56"/>
      <c r="D465" s="56"/>
      <c r="E465" s="56"/>
      <c r="F465" s="56"/>
      <c r="G465" s="56"/>
      <c r="H465" s="56"/>
      <c r="I465" s="56"/>
      <c r="J465" s="56"/>
      <c r="K465" s="56"/>
      <c r="L465" s="56"/>
      <c r="M465" s="56"/>
      <c r="N465" s="56"/>
      <c r="O465" s="56"/>
      <c r="P465" s="56"/>
      <c r="Q465" s="56"/>
      <c r="R465" s="56"/>
      <c r="S465" s="56"/>
      <c r="T465" s="56"/>
      <c r="U465" s="56"/>
      <c r="V465" s="56"/>
      <c r="W465" s="56"/>
      <c r="X465" s="56"/>
      <c r="Y465" s="56"/>
      <c r="Z465" s="56"/>
    </row>
    <row r="466" spans="1:26" ht="15.75" customHeight="1">
      <c r="A466" s="56"/>
      <c r="B466" s="56"/>
      <c r="C466" s="56"/>
      <c r="D466" s="56"/>
      <c r="E466" s="56"/>
      <c r="F466" s="56"/>
      <c r="G466" s="56"/>
      <c r="H466" s="56"/>
      <c r="I466" s="56"/>
      <c r="J466" s="56"/>
      <c r="K466" s="56"/>
      <c r="L466" s="56"/>
      <c r="M466" s="56"/>
      <c r="N466" s="56"/>
      <c r="O466" s="56"/>
      <c r="P466" s="56"/>
      <c r="Q466" s="56"/>
      <c r="R466" s="56"/>
      <c r="S466" s="56"/>
      <c r="T466" s="56"/>
      <c r="U466" s="56"/>
      <c r="V466" s="56"/>
      <c r="W466" s="56"/>
      <c r="X466" s="56"/>
      <c r="Y466" s="56"/>
      <c r="Z466" s="56"/>
    </row>
    <row r="467" spans="1:26" ht="15.75" customHeight="1">
      <c r="A467" s="56"/>
      <c r="B467" s="56"/>
      <c r="C467" s="56"/>
      <c r="D467" s="56"/>
      <c r="E467" s="56"/>
      <c r="F467" s="56"/>
      <c r="G467" s="56"/>
      <c r="H467" s="56"/>
      <c r="I467" s="56"/>
      <c r="J467" s="56"/>
      <c r="K467" s="56"/>
      <c r="L467" s="56"/>
      <c r="M467" s="56"/>
      <c r="N467" s="56"/>
      <c r="O467" s="56"/>
      <c r="P467" s="56"/>
      <c r="Q467" s="56"/>
      <c r="R467" s="56"/>
      <c r="S467" s="56"/>
      <c r="T467" s="56"/>
      <c r="U467" s="56"/>
      <c r="V467" s="56"/>
      <c r="W467" s="56"/>
      <c r="X467" s="56"/>
      <c r="Y467" s="56"/>
      <c r="Z467" s="56"/>
    </row>
    <row r="468" spans="1:26" ht="15.75" customHeight="1">
      <c r="A468" s="56"/>
      <c r="B468" s="56"/>
      <c r="C468" s="56"/>
      <c r="D468" s="56"/>
      <c r="E468" s="56"/>
      <c r="F468" s="56"/>
      <c r="G468" s="56"/>
      <c r="H468" s="56"/>
      <c r="I468" s="56"/>
      <c r="J468" s="56"/>
      <c r="K468" s="56"/>
      <c r="L468" s="56"/>
      <c r="M468" s="56"/>
      <c r="N468" s="56"/>
      <c r="O468" s="56"/>
      <c r="P468" s="56"/>
      <c r="Q468" s="56"/>
      <c r="R468" s="56"/>
      <c r="S468" s="56"/>
      <c r="T468" s="56"/>
      <c r="U468" s="56"/>
      <c r="V468" s="56"/>
      <c r="W468" s="56"/>
      <c r="X468" s="56"/>
      <c r="Y468" s="56"/>
      <c r="Z468" s="56"/>
    </row>
    <row r="469" spans="1:26" ht="15.75" customHeight="1">
      <c r="A469" s="56"/>
      <c r="B469" s="56"/>
      <c r="C469" s="56"/>
      <c r="D469" s="56"/>
      <c r="E469" s="56"/>
      <c r="F469" s="56"/>
      <c r="G469" s="56"/>
      <c r="H469" s="56"/>
      <c r="I469" s="56"/>
      <c r="J469" s="56"/>
      <c r="K469" s="56"/>
      <c r="L469" s="56"/>
      <c r="M469" s="56"/>
      <c r="N469" s="56"/>
      <c r="O469" s="56"/>
      <c r="P469" s="56"/>
      <c r="Q469" s="56"/>
      <c r="R469" s="56"/>
      <c r="S469" s="56"/>
      <c r="T469" s="56"/>
      <c r="U469" s="56"/>
      <c r="V469" s="56"/>
      <c r="W469" s="56"/>
      <c r="X469" s="56"/>
      <c r="Y469" s="56"/>
      <c r="Z469" s="56"/>
    </row>
    <row r="470" spans="1:26" ht="15.75" customHeight="1">
      <c r="A470" s="56"/>
      <c r="B470" s="56"/>
      <c r="C470" s="56"/>
      <c r="D470" s="56"/>
      <c r="E470" s="56"/>
      <c r="F470" s="56"/>
      <c r="G470" s="56"/>
      <c r="H470" s="56"/>
      <c r="I470" s="56"/>
      <c r="J470" s="56"/>
      <c r="K470" s="56"/>
      <c r="L470" s="56"/>
      <c r="M470" s="56"/>
      <c r="N470" s="56"/>
      <c r="O470" s="56"/>
      <c r="P470" s="56"/>
      <c r="Q470" s="56"/>
      <c r="R470" s="56"/>
      <c r="S470" s="56"/>
      <c r="T470" s="56"/>
      <c r="U470" s="56"/>
      <c r="V470" s="56"/>
      <c r="W470" s="56"/>
      <c r="X470" s="56"/>
      <c r="Y470" s="56"/>
      <c r="Z470" s="56"/>
    </row>
    <row r="471" spans="1:26" ht="15.75" customHeight="1">
      <c r="A471" s="56"/>
      <c r="B471" s="56"/>
      <c r="C471" s="56"/>
      <c r="D471" s="56"/>
      <c r="E471" s="56"/>
      <c r="F471" s="56"/>
      <c r="G471" s="56"/>
      <c r="H471" s="56"/>
      <c r="I471" s="56"/>
      <c r="J471" s="56"/>
      <c r="K471" s="56"/>
      <c r="L471" s="56"/>
      <c r="M471" s="56"/>
      <c r="N471" s="56"/>
      <c r="O471" s="56"/>
      <c r="P471" s="56"/>
      <c r="Q471" s="56"/>
      <c r="R471" s="56"/>
      <c r="S471" s="56"/>
      <c r="T471" s="56"/>
      <c r="U471" s="56"/>
      <c r="V471" s="56"/>
      <c r="W471" s="56"/>
      <c r="X471" s="56"/>
      <c r="Y471" s="56"/>
      <c r="Z471" s="56"/>
    </row>
    <row r="472" spans="1:26" ht="15.75" customHeight="1">
      <c r="A472" s="56"/>
      <c r="B472" s="56"/>
      <c r="C472" s="56"/>
      <c r="D472" s="56"/>
      <c r="E472" s="56"/>
      <c r="F472" s="56"/>
      <c r="G472" s="56"/>
      <c r="H472" s="56"/>
      <c r="I472" s="56"/>
      <c r="J472" s="56"/>
      <c r="K472" s="56"/>
      <c r="L472" s="56"/>
      <c r="M472" s="56"/>
      <c r="N472" s="56"/>
      <c r="O472" s="56"/>
      <c r="P472" s="56"/>
      <c r="Q472" s="56"/>
      <c r="R472" s="56"/>
      <c r="S472" s="56"/>
      <c r="T472" s="56"/>
      <c r="U472" s="56"/>
      <c r="V472" s="56"/>
      <c r="W472" s="56"/>
      <c r="X472" s="56"/>
      <c r="Y472" s="56"/>
      <c r="Z472" s="56"/>
    </row>
    <row r="473" spans="1:26" ht="15.75" customHeight="1">
      <c r="A473" s="56"/>
      <c r="B473" s="56"/>
      <c r="C473" s="56"/>
      <c r="D473" s="56"/>
      <c r="E473" s="56"/>
      <c r="F473" s="56"/>
      <c r="G473" s="56"/>
      <c r="H473" s="56"/>
      <c r="I473" s="56"/>
      <c r="J473" s="56"/>
      <c r="K473" s="56"/>
      <c r="L473" s="56"/>
      <c r="M473" s="56"/>
      <c r="N473" s="56"/>
      <c r="O473" s="56"/>
      <c r="P473" s="56"/>
      <c r="Q473" s="56"/>
      <c r="R473" s="56"/>
      <c r="S473" s="56"/>
      <c r="T473" s="56"/>
      <c r="U473" s="56"/>
      <c r="V473" s="56"/>
      <c r="W473" s="56"/>
      <c r="X473" s="56"/>
      <c r="Y473" s="56"/>
      <c r="Z473" s="56"/>
    </row>
    <row r="474" spans="1:26" ht="15.75" customHeight="1">
      <c r="A474" s="56"/>
      <c r="B474" s="56"/>
      <c r="C474" s="56"/>
      <c r="D474" s="56"/>
      <c r="E474" s="56"/>
      <c r="F474" s="56"/>
      <c r="G474" s="56"/>
      <c r="H474" s="56"/>
      <c r="I474" s="56"/>
      <c r="J474" s="56"/>
      <c r="K474" s="56"/>
      <c r="L474" s="56"/>
      <c r="M474" s="56"/>
      <c r="N474" s="56"/>
      <c r="O474" s="56"/>
      <c r="P474" s="56"/>
      <c r="Q474" s="56"/>
      <c r="R474" s="56"/>
      <c r="S474" s="56"/>
      <c r="T474" s="56"/>
      <c r="U474" s="56"/>
      <c r="V474" s="56"/>
      <c r="W474" s="56"/>
      <c r="X474" s="56"/>
      <c r="Y474" s="56"/>
      <c r="Z474" s="56"/>
    </row>
    <row r="475" spans="1:26" ht="15.75" customHeight="1">
      <c r="A475" s="56"/>
      <c r="B475" s="56"/>
      <c r="C475" s="56"/>
      <c r="D475" s="56"/>
      <c r="E475" s="56"/>
      <c r="F475" s="56"/>
      <c r="G475" s="56"/>
      <c r="H475" s="56"/>
      <c r="I475" s="56"/>
      <c r="J475" s="56"/>
      <c r="K475" s="56"/>
      <c r="L475" s="56"/>
      <c r="M475" s="56"/>
      <c r="N475" s="56"/>
      <c r="O475" s="56"/>
      <c r="P475" s="56"/>
      <c r="Q475" s="56"/>
      <c r="R475" s="56"/>
      <c r="S475" s="56"/>
      <c r="T475" s="56"/>
      <c r="U475" s="56"/>
      <c r="V475" s="56"/>
      <c r="W475" s="56"/>
      <c r="X475" s="56"/>
      <c r="Y475" s="56"/>
      <c r="Z475" s="56"/>
    </row>
    <row r="476" spans="1:26" ht="15.75" customHeight="1">
      <c r="A476" s="56"/>
      <c r="B476" s="56"/>
      <c r="C476" s="56"/>
      <c r="D476" s="56"/>
      <c r="E476" s="56"/>
      <c r="F476" s="56"/>
      <c r="G476" s="56"/>
      <c r="H476" s="56"/>
      <c r="I476" s="56"/>
      <c r="J476" s="56"/>
      <c r="K476" s="56"/>
      <c r="L476" s="56"/>
      <c r="M476" s="56"/>
      <c r="N476" s="56"/>
      <c r="O476" s="56"/>
      <c r="P476" s="56"/>
      <c r="Q476" s="56"/>
      <c r="R476" s="56"/>
      <c r="S476" s="56"/>
      <c r="T476" s="56"/>
      <c r="U476" s="56"/>
      <c r="V476" s="56"/>
      <c r="W476" s="56"/>
      <c r="X476" s="56"/>
      <c r="Y476" s="56"/>
      <c r="Z476" s="56"/>
    </row>
    <row r="477" spans="1:26" ht="15.75" customHeight="1">
      <c r="A477" s="56"/>
      <c r="B477" s="56"/>
      <c r="C477" s="56"/>
      <c r="D477" s="56"/>
      <c r="E477" s="56"/>
      <c r="F477" s="56"/>
      <c r="G477" s="56"/>
      <c r="H477" s="56"/>
      <c r="I477" s="56"/>
      <c r="J477" s="56"/>
      <c r="K477" s="56"/>
      <c r="L477" s="56"/>
      <c r="M477" s="56"/>
      <c r="N477" s="56"/>
      <c r="O477" s="56"/>
      <c r="P477" s="56"/>
      <c r="Q477" s="56"/>
      <c r="R477" s="56"/>
      <c r="S477" s="56"/>
      <c r="T477" s="56"/>
      <c r="U477" s="56"/>
      <c r="V477" s="56"/>
      <c r="W477" s="56"/>
      <c r="X477" s="56"/>
      <c r="Y477" s="56"/>
      <c r="Z477" s="56"/>
    </row>
    <row r="478" spans="1:26" ht="15.75" customHeight="1">
      <c r="A478" s="56"/>
      <c r="B478" s="56"/>
      <c r="C478" s="56"/>
      <c r="D478" s="56"/>
      <c r="E478" s="56"/>
      <c r="F478" s="56"/>
      <c r="G478" s="56"/>
      <c r="H478" s="56"/>
      <c r="I478" s="56"/>
      <c r="J478" s="56"/>
      <c r="K478" s="56"/>
      <c r="L478" s="56"/>
      <c r="M478" s="56"/>
      <c r="N478" s="56"/>
      <c r="O478" s="56"/>
      <c r="P478" s="56"/>
      <c r="Q478" s="56"/>
      <c r="R478" s="56"/>
      <c r="S478" s="56"/>
      <c r="T478" s="56"/>
      <c r="U478" s="56"/>
      <c r="V478" s="56"/>
      <c r="W478" s="56"/>
      <c r="X478" s="56"/>
      <c r="Y478" s="56"/>
      <c r="Z478" s="56"/>
    </row>
    <row r="479" spans="1:26" ht="15.75" customHeight="1">
      <c r="A479" s="56"/>
      <c r="B479" s="56"/>
      <c r="C479" s="56"/>
      <c r="D479" s="56"/>
      <c r="E479" s="56"/>
      <c r="F479" s="56"/>
      <c r="G479" s="56"/>
      <c r="H479" s="56"/>
      <c r="I479" s="56"/>
      <c r="J479" s="56"/>
      <c r="K479" s="56"/>
      <c r="L479" s="56"/>
      <c r="M479" s="56"/>
      <c r="N479" s="56"/>
      <c r="O479" s="56"/>
      <c r="P479" s="56"/>
      <c r="Q479" s="56"/>
      <c r="R479" s="56"/>
      <c r="S479" s="56"/>
      <c r="T479" s="56"/>
      <c r="U479" s="56"/>
      <c r="V479" s="56"/>
      <c r="W479" s="56"/>
      <c r="X479" s="56"/>
      <c r="Y479" s="56"/>
      <c r="Z479" s="56"/>
    </row>
    <row r="480" spans="1:26" ht="15.75" customHeight="1">
      <c r="A480" s="56"/>
      <c r="B480" s="56"/>
      <c r="C480" s="56"/>
      <c r="D480" s="56"/>
      <c r="E480" s="56"/>
      <c r="F480" s="56"/>
      <c r="G480" s="56"/>
      <c r="H480" s="56"/>
      <c r="I480" s="56"/>
      <c r="J480" s="56"/>
      <c r="K480" s="56"/>
      <c r="L480" s="56"/>
      <c r="M480" s="56"/>
      <c r="N480" s="56"/>
      <c r="O480" s="56"/>
      <c r="P480" s="56"/>
      <c r="Q480" s="56"/>
      <c r="R480" s="56"/>
      <c r="S480" s="56"/>
      <c r="T480" s="56"/>
      <c r="U480" s="56"/>
      <c r="V480" s="56"/>
      <c r="W480" s="56"/>
      <c r="X480" s="56"/>
      <c r="Y480" s="56"/>
      <c r="Z480" s="56"/>
    </row>
    <row r="481" spans="1:26" ht="15.75" customHeight="1">
      <c r="A481" s="56"/>
      <c r="B481" s="56"/>
      <c r="C481" s="56"/>
      <c r="D481" s="56"/>
      <c r="E481" s="56"/>
      <c r="F481" s="56"/>
      <c r="G481" s="56"/>
      <c r="H481" s="56"/>
      <c r="I481" s="56"/>
      <c r="J481" s="56"/>
      <c r="K481" s="56"/>
      <c r="L481" s="56"/>
      <c r="M481" s="56"/>
      <c r="N481" s="56"/>
      <c r="O481" s="56"/>
      <c r="P481" s="56"/>
      <c r="Q481" s="56"/>
      <c r="R481" s="56"/>
      <c r="S481" s="56"/>
      <c r="T481" s="56"/>
      <c r="U481" s="56"/>
      <c r="V481" s="56"/>
      <c r="W481" s="56"/>
      <c r="X481" s="56"/>
      <c r="Y481" s="56"/>
      <c r="Z481" s="56"/>
    </row>
    <row r="482" spans="1:26" ht="15.75" customHeight="1">
      <c r="A482" s="56"/>
      <c r="B482" s="56"/>
      <c r="C482" s="56"/>
      <c r="D482" s="56"/>
      <c r="E482" s="56"/>
      <c r="F482" s="56"/>
      <c r="G482" s="56"/>
      <c r="H482" s="56"/>
      <c r="I482" s="56"/>
      <c r="J482" s="56"/>
      <c r="K482" s="56"/>
      <c r="L482" s="56"/>
      <c r="M482" s="56"/>
      <c r="N482" s="56"/>
      <c r="O482" s="56"/>
      <c r="P482" s="56"/>
      <c r="Q482" s="56"/>
      <c r="R482" s="56"/>
      <c r="S482" s="56"/>
      <c r="T482" s="56"/>
      <c r="U482" s="56"/>
      <c r="V482" s="56"/>
      <c r="W482" s="56"/>
      <c r="X482" s="56"/>
      <c r="Y482" s="56"/>
      <c r="Z482" s="56"/>
    </row>
    <row r="483" spans="1:26" ht="15.75" customHeight="1">
      <c r="A483" s="56"/>
      <c r="B483" s="56"/>
      <c r="C483" s="56"/>
      <c r="D483" s="56"/>
      <c r="E483" s="56"/>
      <c r="F483" s="56"/>
      <c r="G483" s="56"/>
      <c r="H483" s="56"/>
      <c r="I483" s="56"/>
      <c r="J483" s="56"/>
      <c r="K483" s="56"/>
      <c r="L483" s="56"/>
      <c r="M483" s="56"/>
      <c r="N483" s="56"/>
      <c r="O483" s="56"/>
      <c r="P483" s="56"/>
      <c r="Q483" s="56"/>
      <c r="R483" s="56"/>
      <c r="S483" s="56"/>
      <c r="T483" s="56"/>
      <c r="U483" s="56"/>
      <c r="V483" s="56"/>
      <c r="W483" s="56"/>
      <c r="X483" s="56"/>
      <c r="Y483" s="56"/>
      <c r="Z483" s="56"/>
    </row>
    <row r="484" spans="1:26" ht="15.75" customHeight="1">
      <c r="A484" s="56"/>
      <c r="B484" s="56"/>
      <c r="C484" s="56"/>
      <c r="D484" s="56"/>
      <c r="E484" s="56"/>
      <c r="F484" s="56"/>
      <c r="G484" s="56"/>
      <c r="H484" s="56"/>
      <c r="I484" s="56"/>
      <c r="J484" s="56"/>
      <c r="K484" s="56"/>
      <c r="L484" s="56"/>
      <c r="M484" s="56"/>
      <c r="N484" s="56"/>
      <c r="O484" s="56"/>
      <c r="P484" s="56"/>
      <c r="Q484" s="56"/>
      <c r="R484" s="56"/>
      <c r="S484" s="56"/>
      <c r="T484" s="56"/>
      <c r="U484" s="56"/>
      <c r="V484" s="56"/>
      <c r="W484" s="56"/>
      <c r="X484" s="56"/>
      <c r="Y484" s="56"/>
      <c r="Z484" s="56"/>
    </row>
    <row r="485" spans="1:26" ht="15.75" customHeight="1">
      <c r="A485" s="56"/>
      <c r="B485" s="56"/>
      <c r="C485" s="56"/>
      <c r="D485" s="56"/>
      <c r="E485" s="56"/>
      <c r="F485" s="56"/>
      <c r="G485" s="56"/>
      <c r="H485" s="56"/>
      <c r="I485" s="56"/>
      <c r="J485" s="56"/>
      <c r="K485" s="56"/>
      <c r="L485" s="56"/>
      <c r="M485" s="56"/>
      <c r="N485" s="56"/>
      <c r="O485" s="56"/>
      <c r="P485" s="56"/>
      <c r="Q485" s="56"/>
      <c r="R485" s="56"/>
      <c r="S485" s="56"/>
      <c r="T485" s="56"/>
      <c r="U485" s="56"/>
      <c r="V485" s="56"/>
      <c r="W485" s="56"/>
      <c r="X485" s="56"/>
      <c r="Y485" s="56"/>
      <c r="Z485" s="56"/>
    </row>
    <row r="486" spans="1:26" ht="15.75" customHeight="1">
      <c r="A486" s="56"/>
      <c r="B486" s="56"/>
      <c r="C486" s="56"/>
      <c r="D486" s="56"/>
      <c r="E486" s="56"/>
      <c r="F486" s="56"/>
      <c r="G486" s="56"/>
      <c r="H486" s="56"/>
      <c r="I486" s="56"/>
      <c r="J486" s="56"/>
      <c r="K486" s="56"/>
      <c r="L486" s="56"/>
      <c r="M486" s="56"/>
      <c r="N486" s="56"/>
      <c r="O486" s="56"/>
      <c r="P486" s="56"/>
      <c r="Q486" s="56"/>
      <c r="R486" s="56"/>
      <c r="S486" s="56"/>
      <c r="T486" s="56"/>
      <c r="U486" s="56"/>
      <c r="V486" s="56"/>
      <c r="W486" s="56"/>
      <c r="X486" s="56"/>
      <c r="Y486" s="56"/>
      <c r="Z486" s="56"/>
    </row>
    <row r="487" spans="1:26" ht="15.75" customHeight="1">
      <c r="A487" s="56"/>
      <c r="B487" s="56"/>
      <c r="C487" s="56"/>
      <c r="D487" s="56"/>
      <c r="E487" s="56"/>
      <c r="F487" s="56"/>
      <c r="G487" s="56"/>
      <c r="H487" s="56"/>
      <c r="I487" s="56"/>
      <c r="J487" s="56"/>
      <c r="K487" s="56"/>
      <c r="L487" s="56"/>
      <c r="M487" s="56"/>
      <c r="N487" s="56"/>
      <c r="O487" s="56"/>
      <c r="P487" s="56"/>
      <c r="Q487" s="56"/>
      <c r="R487" s="56"/>
      <c r="S487" s="56"/>
      <c r="T487" s="56"/>
      <c r="U487" s="56"/>
      <c r="V487" s="56"/>
      <c r="W487" s="56"/>
      <c r="X487" s="56"/>
      <c r="Y487" s="56"/>
      <c r="Z487" s="56"/>
    </row>
    <row r="488" spans="1:26" ht="15.75" customHeight="1">
      <c r="A488" s="56"/>
      <c r="B488" s="56"/>
      <c r="C488" s="56"/>
      <c r="D488" s="56"/>
      <c r="E488" s="56"/>
      <c r="F488" s="56"/>
      <c r="G488" s="56"/>
      <c r="H488" s="56"/>
      <c r="I488" s="56"/>
      <c r="J488" s="56"/>
      <c r="K488" s="56"/>
      <c r="L488" s="56"/>
      <c r="M488" s="56"/>
      <c r="N488" s="56"/>
      <c r="O488" s="56"/>
      <c r="P488" s="56"/>
      <c r="Q488" s="56"/>
      <c r="R488" s="56"/>
      <c r="S488" s="56"/>
      <c r="T488" s="56"/>
      <c r="U488" s="56"/>
      <c r="V488" s="56"/>
      <c r="W488" s="56"/>
      <c r="X488" s="56"/>
      <c r="Y488" s="56"/>
      <c r="Z488" s="56"/>
    </row>
    <row r="489" spans="1:26" ht="15.75" customHeight="1">
      <c r="A489" s="56"/>
      <c r="B489" s="56"/>
      <c r="C489" s="56"/>
      <c r="D489" s="56"/>
      <c r="E489" s="56"/>
      <c r="F489" s="56"/>
      <c r="G489" s="56"/>
      <c r="H489" s="56"/>
      <c r="I489" s="56"/>
      <c r="J489" s="56"/>
      <c r="K489" s="56"/>
      <c r="L489" s="56"/>
      <c r="M489" s="56"/>
      <c r="N489" s="56"/>
      <c r="O489" s="56"/>
      <c r="P489" s="56"/>
      <c r="Q489" s="56"/>
      <c r="R489" s="56"/>
      <c r="S489" s="56"/>
      <c r="T489" s="56"/>
      <c r="U489" s="56"/>
      <c r="V489" s="56"/>
      <c r="W489" s="56"/>
      <c r="X489" s="56"/>
      <c r="Y489" s="56"/>
      <c r="Z489" s="56"/>
    </row>
    <row r="490" spans="1:26" ht="15.75" customHeight="1">
      <c r="A490" s="56"/>
      <c r="B490" s="56"/>
      <c r="C490" s="56"/>
      <c r="D490" s="56"/>
      <c r="E490" s="56"/>
      <c r="F490" s="56"/>
      <c r="G490" s="56"/>
      <c r="H490" s="56"/>
      <c r="I490" s="56"/>
      <c r="J490" s="56"/>
      <c r="K490" s="56"/>
      <c r="L490" s="56"/>
      <c r="M490" s="56"/>
      <c r="N490" s="56"/>
      <c r="O490" s="56"/>
      <c r="P490" s="56"/>
      <c r="Q490" s="56"/>
      <c r="R490" s="56"/>
      <c r="S490" s="56"/>
      <c r="T490" s="56"/>
      <c r="U490" s="56"/>
      <c r="V490" s="56"/>
      <c r="W490" s="56"/>
      <c r="X490" s="56"/>
      <c r="Y490" s="56"/>
      <c r="Z490" s="56"/>
    </row>
    <row r="491" spans="1:26" ht="15.75" customHeight="1">
      <c r="A491" s="56"/>
      <c r="B491" s="56"/>
      <c r="C491" s="56"/>
      <c r="D491" s="56"/>
      <c r="E491" s="56"/>
      <c r="F491" s="56"/>
      <c r="G491" s="56"/>
      <c r="H491" s="56"/>
      <c r="I491" s="56"/>
      <c r="J491" s="56"/>
      <c r="K491" s="56"/>
      <c r="L491" s="56"/>
      <c r="M491" s="56"/>
      <c r="N491" s="56"/>
      <c r="O491" s="56"/>
      <c r="P491" s="56"/>
      <c r="Q491" s="56"/>
      <c r="R491" s="56"/>
      <c r="S491" s="56"/>
      <c r="T491" s="56"/>
      <c r="U491" s="56"/>
      <c r="V491" s="56"/>
      <c r="W491" s="56"/>
      <c r="X491" s="56"/>
      <c r="Y491" s="56"/>
      <c r="Z491" s="56"/>
    </row>
    <row r="492" spans="1:26" ht="15.75" customHeight="1">
      <c r="A492" s="56"/>
      <c r="B492" s="56"/>
      <c r="C492" s="56"/>
      <c r="D492" s="56"/>
      <c r="E492" s="56"/>
      <c r="F492" s="56"/>
      <c r="G492" s="56"/>
      <c r="H492" s="56"/>
      <c r="I492" s="56"/>
      <c r="J492" s="56"/>
      <c r="K492" s="56"/>
      <c r="L492" s="56"/>
      <c r="M492" s="56"/>
      <c r="N492" s="56"/>
      <c r="O492" s="56"/>
      <c r="P492" s="56"/>
      <c r="Q492" s="56"/>
      <c r="R492" s="56"/>
      <c r="S492" s="56"/>
      <c r="T492" s="56"/>
      <c r="U492" s="56"/>
      <c r="V492" s="56"/>
      <c r="W492" s="56"/>
      <c r="X492" s="56"/>
      <c r="Y492" s="56"/>
      <c r="Z492" s="56"/>
    </row>
    <row r="493" spans="1:26" ht="15.75" customHeight="1">
      <c r="A493" s="56"/>
      <c r="B493" s="56"/>
      <c r="C493" s="56"/>
      <c r="D493" s="56"/>
      <c r="E493" s="56"/>
      <c r="F493" s="56"/>
      <c r="G493" s="56"/>
      <c r="H493" s="56"/>
      <c r="I493" s="56"/>
      <c r="J493" s="56"/>
      <c r="K493" s="56"/>
      <c r="L493" s="56"/>
      <c r="M493" s="56"/>
      <c r="N493" s="56"/>
      <c r="O493" s="56"/>
      <c r="P493" s="56"/>
      <c r="Q493" s="56"/>
      <c r="R493" s="56"/>
      <c r="S493" s="56"/>
      <c r="T493" s="56"/>
      <c r="U493" s="56"/>
      <c r="V493" s="56"/>
      <c r="W493" s="56"/>
      <c r="X493" s="56"/>
      <c r="Y493" s="56"/>
      <c r="Z493" s="56"/>
    </row>
    <row r="494" spans="1:26" ht="15.75" customHeight="1">
      <c r="A494" s="56"/>
      <c r="B494" s="56"/>
      <c r="C494" s="56"/>
      <c r="D494" s="56"/>
      <c r="E494" s="56"/>
      <c r="F494" s="56"/>
      <c r="G494" s="56"/>
      <c r="H494" s="56"/>
      <c r="I494" s="56"/>
      <c r="J494" s="56"/>
      <c r="K494" s="56"/>
      <c r="L494" s="56"/>
      <c r="M494" s="56"/>
      <c r="N494" s="56"/>
      <c r="O494" s="56"/>
      <c r="P494" s="56"/>
      <c r="Q494" s="56"/>
      <c r="R494" s="56"/>
      <c r="S494" s="56"/>
      <c r="T494" s="56"/>
      <c r="U494" s="56"/>
      <c r="V494" s="56"/>
      <c r="W494" s="56"/>
      <c r="X494" s="56"/>
      <c r="Y494" s="56"/>
      <c r="Z494" s="56"/>
    </row>
    <row r="495" spans="1:26" ht="15.75" customHeight="1">
      <c r="A495" s="56"/>
      <c r="B495" s="56"/>
      <c r="C495" s="56"/>
      <c r="D495" s="56"/>
      <c r="E495" s="56"/>
      <c r="F495" s="56"/>
      <c r="G495" s="56"/>
      <c r="H495" s="56"/>
      <c r="I495" s="56"/>
      <c r="J495" s="56"/>
      <c r="K495" s="56"/>
      <c r="L495" s="56"/>
      <c r="M495" s="56"/>
      <c r="N495" s="56"/>
      <c r="O495" s="56"/>
      <c r="P495" s="56"/>
      <c r="Q495" s="56"/>
      <c r="R495" s="56"/>
      <c r="S495" s="56"/>
      <c r="T495" s="56"/>
      <c r="U495" s="56"/>
      <c r="V495" s="56"/>
      <c r="W495" s="56"/>
      <c r="X495" s="56"/>
      <c r="Y495" s="56"/>
      <c r="Z495" s="56"/>
    </row>
    <row r="496" spans="1:26" ht="15.75" customHeight="1">
      <c r="A496" s="56"/>
      <c r="B496" s="56"/>
      <c r="C496" s="56"/>
      <c r="D496" s="56"/>
      <c r="E496" s="56"/>
      <c r="F496" s="56"/>
      <c r="G496" s="56"/>
      <c r="H496" s="56"/>
      <c r="I496" s="56"/>
      <c r="J496" s="56"/>
      <c r="K496" s="56"/>
      <c r="L496" s="56"/>
      <c r="M496" s="56"/>
      <c r="N496" s="56"/>
      <c r="O496" s="56"/>
      <c r="P496" s="56"/>
      <c r="Q496" s="56"/>
      <c r="R496" s="56"/>
      <c r="S496" s="56"/>
      <c r="T496" s="56"/>
      <c r="U496" s="56"/>
      <c r="V496" s="56"/>
      <c r="W496" s="56"/>
      <c r="X496" s="56"/>
      <c r="Y496" s="56"/>
      <c r="Z496" s="56"/>
    </row>
    <row r="497" spans="1:26" ht="15.75" customHeight="1">
      <c r="A497" s="56"/>
      <c r="B497" s="56"/>
      <c r="C497" s="56"/>
      <c r="D497" s="56"/>
      <c r="E497" s="56"/>
      <c r="F497" s="56"/>
      <c r="G497" s="56"/>
      <c r="H497" s="56"/>
      <c r="I497" s="56"/>
      <c r="J497" s="56"/>
      <c r="K497" s="56"/>
      <c r="L497" s="56"/>
      <c r="M497" s="56"/>
      <c r="N497" s="56"/>
      <c r="O497" s="56"/>
      <c r="P497" s="56"/>
      <c r="Q497" s="56"/>
      <c r="R497" s="56"/>
      <c r="S497" s="56"/>
      <c r="T497" s="56"/>
      <c r="U497" s="56"/>
      <c r="V497" s="56"/>
      <c r="W497" s="56"/>
      <c r="X497" s="56"/>
      <c r="Y497" s="56"/>
      <c r="Z497" s="56"/>
    </row>
    <row r="498" spans="1:26" ht="15.75" customHeight="1">
      <c r="A498" s="56"/>
      <c r="B498" s="56"/>
      <c r="C498" s="56"/>
      <c r="D498" s="56"/>
      <c r="E498" s="56"/>
      <c r="F498" s="56"/>
      <c r="G498" s="56"/>
      <c r="H498" s="56"/>
      <c r="I498" s="56"/>
      <c r="J498" s="56"/>
      <c r="K498" s="56"/>
      <c r="L498" s="56"/>
      <c r="M498" s="56"/>
      <c r="N498" s="56"/>
      <c r="O498" s="56"/>
      <c r="P498" s="56"/>
      <c r="Q498" s="56"/>
      <c r="R498" s="56"/>
      <c r="S498" s="56"/>
      <c r="T498" s="56"/>
      <c r="U498" s="56"/>
      <c r="V498" s="56"/>
      <c r="W498" s="56"/>
      <c r="X498" s="56"/>
      <c r="Y498" s="56"/>
      <c r="Z498" s="56"/>
    </row>
    <row r="499" spans="1:26" ht="15.75" customHeight="1">
      <c r="A499" s="56"/>
      <c r="B499" s="56"/>
      <c r="C499" s="56"/>
      <c r="D499" s="56"/>
      <c r="E499" s="56"/>
      <c r="F499" s="56"/>
      <c r="G499" s="56"/>
      <c r="H499" s="56"/>
      <c r="I499" s="56"/>
      <c r="J499" s="56"/>
      <c r="K499" s="56"/>
      <c r="L499" s="56"/>
      <c r="M499" s="56"/>
      <c r="N499" s="56"/>
      <c r="O499" s="56"/>
      <c r="P499" s="56"/>
      <c r="Q499" s="56"/>
      <c r="R499" s="56"/>
      <c r="S499" s="56"/>
      <c r="T499" s="56"/>
      <c r="U499" s="56"/>
      <c r="V499" s="56"/>
      <c r="W499" s="56"/>
      <c r="X499" s="56"/>
      <c r="Y499" s="56"/>
      <c r="Z499" s="56"/>
    </row>
    <row r="500" spans="1:26" ht="15.75" customHeight="1">
      <c r="A500" s="56"/>
      <c r="B500" s="56"/>
      <c r="C500" s="56"/>
      <c r="D500" s="56"/>
      <c r="E500" s="56"/>
      <c r="F500" s="56"/>
      <c r="G500" s="56"/>
      <c r="H500" s="56"/>
      <c r="I500" s="56"/>
      <c r="J500" s="56"/>
      <c r="K500" s="56"/>
      <c r="L500" s="56"/>
      <c r="M500" s="56"/>
      <c r="N500" s="56"/>
      <c r="O500" s="56"/>
      <c r="P500" s="56"/>
      <c r="Q500" s="56"/>
      <c r="R500" s="56"/>
      <c r="S500" s="56"/>
      <c r="T500" s="56"/>
      <c r="U500" s="56"/>
      <c r="V500" s="56"/>
      <c r="W500" s="56"/>
      <c r="X500" s="56"/>
      <c r="Y500" s="56"/>
      <c r="Z500" s="56"/>
    </row>
    <row r="501" spans="1:26" ht="15.75" customHeight="1">
      <c r="A501" s="56"/>
      <c r="B501" s="56"/>
      <c r="C501" s="56"/>
      <c r="D501" s="56"/>
      <c r="E501" s="56"/>
      <c r="F501" s="56"/>
      <c r="G501" s="56"/>
      <c r="H501" s="56"/>
      <c r="I501" s="56"/>
      <c r="J501" s="56"/>
      <c r="K501" s="56"/>
      <c r="L501" s="56"/>
      <c r="M501" s="56"/>
      <c r="N501" s="56"/>
      <c r="O501" s="56"/>
      <c r="P501" s="56"/>
      <c r="Q501" s="56"/>
      <c r="R501" s="56"/>
      <c r="S501" s="56"/>
      <c r="T501" s="56"/>
      <c r="U501" s="56"/>
      <c r="V501" s="56"/>
      <c r="W501" s="56"/>
      <c r="X501" s="56"/>
      <c r="Y501" s="56"/>
      <c r="Z501" s="56"/>
    </row>
    <row r="502" spans="1:26" ht="15.75" customHeight="1">
      <c r="A502" s="56"/>
      <c r="B502" s="56"/>
      <c r="C502" s="56"/>
      <c r="D502" s="56"/>
      <c r="E502" s="56"/>
      <c r="F502" s="56"/>
      <c r="G502" s="56"/>
      <c r="H502" s="56"/>
      <c r="I502" s="56"/>
      <c r="J502" s="56"/>
      <c r="K502" s="56"/>
      <c r="L502" s="56"/>
      <c r="M502" s="56"/>
      <c r="N502" s="56"/>
      <c r="O502" s="56"/>
      <c r="P502" s="56"/>
      <c r="Q502" s="56"/>
      <c r="R502" s="56"/>
      <c r="S502" s="56"/>
      <c r="T502" s="56"/>
      <c r="U502" s="56"/>
      <c r="V502" s="56"/>
      <c r="W502" s="56"/>
      <c r="X502" s="56"/>
      <c r="Y502" s="56"/>
      <c r="Z502" s="56"/>
    </row>
    <row r="503" spans="1:26" ht="15.75" customHeight="1">
      <c r="A503" s="56"/>
      <c r="B503" s="56"/>
      <c r="C503" s="56"/>
      <c r="D503" s="56"/>
      <c r="E503" s="56"/>
      <c r="F503" s="56"/>
      <c r="G503" s="56"/>
      <c r="H503" s="56"/>
      <c r="I503" s="56"/>
      <c r="J503" s="56"/>
      <c r="K503" s="56"/>
      <c r="L503" s="56"/>
      <c r="M503" s="56"/>
      <c r="N503" s="56"/>
      <c r="O503" s="56"/>
      <c r="P503" s="56"/>
      <c r="Q503" s="56"/>
      <c r="R503" s="56"/>
      <c r="S503" s="56"/>
      <c r="T503" s="56"/>
      <c r="U503" s="56"/>
      <c r="V503" s="56"/>
      <c r="W503" s="56"/>
      <c r="X503" s="56"/>
      <c r="Y503" s="56"/>
      <c r="Z503" s="56"/>
    </row>
    <row r="504" spans="1:26" ht="15.75" customHeight="1">
      <c r="A504" s="56"/>
      <c r="B504" s="56"/>
      <c r="C504" s="56"/>
      <c r="D504" s="56"/>
      <c r="E504" s="56"/>
      <c r="F504" s="56"/>
      <c r="G504" s="56"/>
      <c r="H504" s="56"/>
      <c r="I504" s="56"/>
      <c r="J504" s="56"/>
      <c r="K504" s="56"/>
      <c r="L504" s="56"/>
      <c r="M504" s="56"/>
      <c r="N504" s="56"/>
      <c r="O504" s="56"/>
      <c r="P504" s="56"/>
      <c r="Q504" s="56"/>
      <c r="R504" s="56"/>
      <c r="S504" s="56"/>
      <c r="T504" s="56"/>
      <c r="U504" s="56"/>
      <c r="V504" s="56"/>
      <c r="W504" s="56"/>
      <c r="X504" s="56"/>
      <c r="Y504" s="56"/>
      <c r="Z504" s="56"/>
    </row>
    <row r="505" spans="1:26" ht="15.75" customHeight="1">
      <c r="A505" s="56"/>
      <c r="B505" s="56"/>
      <c r="C505" s="56"/>
      <c r="D505" s="56"/>
      <c r="E505" s="56"/>
      <c r="F505" s="56"/>
      <c r="G505" s="56"/>
      <c r="H505" s="56"/>
      <c r="I505" s="56"/>
      <c r="J505" s="56"/>
      <c r="K505" s="56"/>
      <c r="L505" s="56"/>
      <c r="M505" s="56"/>
      <c r="N505" s="56"/>
      <c r="O505" s="56"/>
      <c r="P505" s="56"/>
      <c r="Q505" s="56"/>
      <c r="R505" s="56"/>
      <c r="S505" s="56"/>
      <c r="T505" s="56"/>
      <c r="U505" s="56"/>
      <c r="V505" s="56"/>
      <c r="W505" s="56"/>
      <c r="X505" s="56"/>
      <c r="Y505" s="56"/>
      <c r="Z505" s="56"/>
    </row>
    <row r="506" spans="1:26" ht="15.75" customHeight="1">
      <c r="A506" s="56"/>
      <c r="B506" s="56"/>
      <c r="C506" s="56"/>
      <c r="D506" s="56"/>
      <c r="E506" s="56"/>
      <c r="F506" s="56"/>
      <c r="G506" s="56"/>
      <c r="H506" s="56"/>
      <c r="I506" s="56"/>
      <c r="J506" s="56"/>
      <c r="K506" s="56"/>
      <c r="L506" s="56"/>
      <c r="M506" s="56"/>
      <c r="N506" s="56"/>
      <c r="O506" s="56"/>
      <c r="P506" s="56"/>
      <c r="Q506" s="56"/>
      <c r="R506" s="56"/>
      <c r="S506" s="56"/>
      <c r="T506" s="56"/>
      <c r="U506" s="56"/>
      <c r="V506" s="56"/>
      <c r="W506" s="56"/>
      <c r="X506" s="56"/>
      <c r="Y506" s="56"/>
      <c r="Z506" s="56"/>
    </row>
    <row r="507" spans="1:26" ht="15.75" customHeight="1">
      <c r="A507" s="56"/>
      <c r="B507" s="56"/>
      <c r="C507" s="56"/>
      <c r="D507" s="56"/>
      <c r="E507" s="56"/>
      <c r="F507" s="56"/>
      <c r="G507" s="56"/>
      <c r="H507" s="56"/>
      <c r="I507" s="56"/>
      <c r="J507" s="56"/>
      <c r="K507" s="56"/>
      <c r="L507" s="56"/>
      <c r="M507" s="56"/>
      <c r="N507" s="56"/>
      <c r="O507" s="56"/>
      <c r="P507" s="56"/>
      <c r="Q507" s="56"/>
      <c r="R507" s="56"/>
      <c r="S507" s="56"/>
      <c r="T507" s="56"/>
      <c r="U507" s="56"/>
      <c r="V507" s="56"/>
      <c r="W507" s="56"/>
      <c r="X507" s="56"/>
      <c r="Y507" s="56"/>
      <c r="Z507" s="56"/>
    </row>
    <row r="508" spans="1:26" ht="15.75" customHeight="1">
      <c r="A508" s="56"/>
      <c r="B508" s="56"/>
      <c r="C508" s="56"/>
      <c r="D508" s="56"/>
      <c r="E508" s="56"/>
      <c r="F508" s="56"/>
      <c r="G508" s="56"/>
      <c r="H508" s="56"/>
      <c r="I508" s="56"/>
      <c r="J508" s="56"/>
      <c r="K508" s="56"/>
      <c r="L508" s="56"/>
      <c r="M508" s="56"/>
      <c r="N508" s="56"/>
      <c r="O508" s="56"/>
      <c r="P508" s="56"/>
      <c r="Q508" s="56"/>
      <c r="R508" s="56"/>
      <c r="S508" s="56"/>
      <c r="T508" s="56"/>
      <c r="U508" s="56"/>
      <c r="V508" s="56"/>
      <c r="W508" s="56"/>
      <c r="X508" s="56"/>
      <c r="Y508" s="56"/>
      <c r="Z508" s="56"/>
    </row>
    <row r="509" spans="1:26" ht="15.75" customHeight="1">
      <c r="A509" s="56"/>
      <c r="B509" s="56"/>
      <c r="C509" s="56"/>
      <c r="D509" s="56"/>
      <c r="E509" s="56"/>
      <c r="F509" s="56"/>
      <c r="G509" s="56"/>
      <c r="H509" s="56"/>
      <c r="I509" s="56"/>
      <c r="J509" s="56"/>
      <c r="K509" s="56"/>
      <c r="L509" s="56"/>
      <c r="M509" s="56"/>
      <c r="N509" s="56"/>
      <c r="O509" s="56"/>
      <c r="P509" s="56"/>
      <c r="Q509" s="56"/>
      <c r="R509" s="56"/>
      <c r="S509" s="56"/>
      <c r="T509" s="56"/>
      <c r="U509" s="56"/>
      <c r="V509" s="56"/>
      <c r="W509" s="56"/>
      <c r="X509" s="56"/>
      <c r="Y509" s="56"/>
      <c r="Z509" s="56"/>
    </row>
    <row r="510" spans="1:26" ht="15.75" customHeight="1">
      <c r="A510" s="56"/>
      <c r="B510" s="56"/>
      <c r="C510" s="56"/>
      <c r="D510" s="56"/>
      <c r="E510" s="56"/>
      <c r="F510" s="56"/>
      <c r="G510" s="56"/>
      <c r="H510" s="56"/>
      <c r="I510" s="56"/>
      <c r="J510" s="56"/>
      <c r="K510" s="56"/>
      <c r="L510" s="56"/>
      <c r="M510" s="56"/>
      <c r="N510" s="56"/>
      <c r="O510" s="56"/>
      <c r="P510" s="56"/>
      <c r="Q510" s="56"/>
      <c r="R510" s="56"/>
      <c r="S510" s="56"/>
      <c r="T510" s="56"/>
      <c r="U510" s="56"/>
      <c r="V510" s="56"/>
      <c r="W510" s="56"/>
      <c r="X510" s="56"/>
      <c r="Y510" s="56"/>
      <c r="Z510" s="56"/>
    </row>
    <row r="511" spans="1:26" ht="15.75" customHeight="1">
      <c r="A511" s="56"/>
      <c r="B511" s="56"/>
      <c r="C511" s="56"/>
      <c r="D511" s="56"/>
      <c r="E511" s="56"/>
      <c r="F511" s="56"/>
      <c r="G511" s="56"/>
      <c r="H511" s="56"/>
      <c r="I511" s="56"/>
      <c r="J511" s="56"/>
      <c r="K511" s="56"/>
      <c r="L511" s="56"/>
      <c r="M511" s="56"/>
      <c r="N511" s="56"/>
      <c r="O511" s="56"/>
      <c r="P511" s="56"/>
      <c r="Q511" s="56"/>
      <c r="R511" s="56"/>
      <c r="S511" s="56"/>
      <c r="T511" s="56"/>
      <c r="U511" s="56"/>
      <c r="V511" s="56"/>
      <c r="W511" s="56"/>
      <c r="X511" s="56"/>
      <c r="Y511" s="56"/>
      <c r="Z511" s="56"/>
    </row>
    <row r="512" spans="1:26" ht="15.75" customHeight="1">
      <c r="A512" s="56"/>
      <c r="B512" s="56"/>
      <c r="C512" s="56"/>
      <c r="D512" s="56"/>
      <c r="E512" s="56"/>
      <c r="F512" s="56"/>
      <c r="G512" s="56"/>
      <c r="H512" s="56"/>
      <c r="I512" s="56"/>
      <c r="J512" s="56"/>
      <c r="K512" s="56"/>
      <c r="L512" s="56"/>
      <c r="M512" s="56"/>
      <c r="N512" s="56"/>
      <c r="O512" s="56"/>
      <c r="P512" s="56"/>
      <c r="Q512" s="56"/>
      <c r="R512" s="56"/>
      <c r="S512" s="56"/>
      <c r="T512" s="56"/>
      <c r="U512" s="56"/>
      <c r="V512" s="56"/>
      <c r="W512" s="56"/>
      <c r="X512" s="56"/>
      <c r="Y512" s="56"/>
      <c r="Z512" s="56"/>
    </row>
    <row r="513" spans="1:26" ht="15.75" customHeight="1">
      <c r="A513" s="56"/>
      <c r="B513" s="56"/>
      <c r="C513" s="56"/>
      <c r="D513" s="56"/>
      <c r="E513" s="56"/>
      <c r="F513" s="56"/>
      <c r="G513" s="56"/>
      <c r="H513" s="56"/>
      <c r="I513" s="56"/>
      <c r="J513" s="56"/>
      <c r="K513" s="56"/>
      <c r="L513" s="56"/>
      <c r="M513" s="56"/>
      <c r="N513" s="56"/>
      <c r="O513" s="56"/>
      <c r="P513" s="56"/>
      <c r="Q513" s="56"/>
      <c r="R513" s="56"/>
      <c r="S513" s="56"/>
      <c r="T513" s="56"/>
      <c r="U513" s="56"/>
      <c r="V513" s="56"/>
      <c r="W513" s="56"/>
      <c r="X513" s="56"/>
      <c r="Y513" s="56"/>
      <c r="Z513" s="56"/>
    </row>
    <row r="514" spans="1:26" ht="15.75" customHeight="1">
      <c r="A514" s="56"/>
      <c r="B514" s="56"/>
      <c r="C514" s="56"/>
      <c r="D514" s="56"/>
      <c r="E514" s="56"/>
      <c r="F514" s="56"/>
      <c r="G514" s="56"/>
      <c r="H514" s="56"/>
      <c r="I514" s="56"/>
      <c r="J514" s="56"/>
      <c r="K514" s="56"/>
      <c r="L514" s="56"/>
      <c r="M514" s="56"/>
      <c r="N514" s="56"/>
      <c r="O514" s="56"/>
      <c r="P514" s="56"/>
      <c r="Q514" s="56"/>
      <c r="R514" s="56"/>
      <c r="S514" s="56"/>
      <c r="T514" s="56"/>
      <c r="U514" s="56"/>
      <c r="V514" s="56"/>
      <c r="W514" s="56"/>
      <c r="X514" s="56"/>
      <c r="Y514" s="56"/>
      <c r="Z514" s="56"/>
    </row>
    <row r="515" spans="1:26" ht="15.75" customHeight="1">
      <c r="A515" s="56"/>
      <c r="B515" s="56"/>
      <c r="C515" s="56"/>
      <c r="D515" s="56"/>
      <c r="E515" s="56"/>
      <c r="F515" s="56"/>
      <c r="G515" s="56"/>
      <c r="H515" s="56"/>
      <c r="I515" s="56"/>
      <c r="J515" s="56"/>
      <c r="K515" s="56"/>
      <c r="L515" s="56"/>
      <c r="M515" s="56"/>
      <c r="N515" s="56"/>
      <c r="O515" s="56"/>
      <c r="P515" s="56"/>
      <c r="Q515" s="56"/>
      <c r="R515" s="56"/>
      <c r="S515" s="56"/>
      <c r="T515" s="56"/>
      <c r="U515" s="56"/>
      <c r="V515" s="56"/>
      <c r="W515" s="56"/>
      <c r="X515" s="56"/>
      <c r="Y515" s="56"/>
      <c r="Z515" s="56"/>
    </row>
    <row r="516" spans="1:26" ht="15.75" customHeight="1">
      <c r="A516" s="56"/>
      <c r="B516" s="56"/>
      <c r="C516" s="56"/>
      <c r="D516" s="56"/>
      <c r="E516" s="56"/>
      <c r="F516" s="56"/>
      <c r="G516" s="56"/>
      <c r="H516" s="56"/>
      <c r="I516" s="56"/>
      <c r="J516" s="56"/>
      <c r="K516" s="56"/>
      <c r="L516" s="56"/>
      <c r="M516" s="56"/>
      <c r="N516" s="56"/>
      <c r="O516" s="56"/>
      <c r="P516" s="56"/>
      <c r="Q516" s="56"/>
      <c r="R516" s="56"/>
      <c r="S516" s="56"/>
      <c r="T516" s="56"/>
      <c r="U516" s="56"/>
      <c r="V516" s="56"/>
      <c r="W516" s="56"/>
      <c r="X516" s="56"/>
      <c r="Y516" s="56"/>
      <c r="Z516" s="56"/>
    </row>
    <row r="517" spans="1:26" ht="15.75" customHeight="1">
      <c r="A517" s="56"/>
      <c r="B517" s="56"/>
      <c r="C517" s="56"/>
      <c r="D517" s="56"/>
      <c r="E517" s="56"/>
      <c r="F517" s="56"/>
      <c r="G517" s="56"/>
      <c r="H517" s="56"/>
      <c r="I517" s="56"/>
      <c r="J517" s="56"/>
      <c r="K517" s="56"/>
      <c r="L517" s="56"/>
      <c r="M517" s="56"/>
      <c r="N517" s="56"/>
      <c r="O517" s="56"/>
      <c r="P517" s="56"/>
      <c r="Q517" s="56"/>
      <c r="R517" s="56"/>
      <c r="S517" s="56"/>
      <c r="T517" s="56"/>
      <c r="U517" s="56"/>
      <c r="V517" s="56"/>
      <c r="W517" s="56"/>
      <c r="X517" s="56"/>
      <c r="Y517" s="56"/>
      <c r="Z517" s="56"/>
    </row>
    <row r="518" spans="1:26" ht="15.75" customHeight="1">
      <c r="A518" s="56"/>
      <c r="B518" s="56"/>
      <c r="C518" s="56"/>
      <c r="D518" s="56"/>
      <c r="E518" s="56"/>
      <c r="F518" s="56"/>
      <c r="G518" s="56"/>
      <c r="H518" s="56"/>
      <c r="I518" s="56"/>
      <c r="J518" s="56"/>
      <c r="K518" s="56"/>
      <c r="L518" s="56"/>
      <c r="M518" s="56"/>
      <c r="N518" s="56"/>
      <c r="O518" s="56"/>
      <c r="P518" s="56"/>
      <c r="Q518" s="56"/>
      <c r="R518" s="56"/>
      <c r="S518" s="56"/>
      <c r="T518" s="56"/>
      <c r="U518" s="56"/>
      <c r="V518" s="56"/>
      <c r="W518" s="56"/>
      <c r="X518" s="56"/>
      <c r="Y518" s="56"/>
      <c r="Z518" s="56"/>
    </row>
    <row r="519" spans="1:26" ht="15.75" customHeight="1">
      <c r="A519" s="56"/>
      <c r="B519" s="56"/>
      <c r="C519" s="56"/>
      <c r="D519" s="56"/>
      <c r="E519" s="56"/>
      <c r="F519" s="56"/>
      <c r="G519" s="56"/>
      <c r="H519" s="56"/>
      <c r="I519" s="56"/>
      <c r="J519" s="56"/>
      <c r="K519" s="56"/>
      <c r="L519" s="56"/>
      <c r="M519" s="56"/>
      <c r="N519" s="56"/>
      <c r="O519" s="56"/>
      <c r="P519" s="56"/>
      <c r="Q519" s="56"/>
      <c r="R519" s="56"/>
      <c r="S519" s="56"/>
      <c r="T519" s="56"/>
      <c r="U519" s="56"/>
      <c r="V519" s="56"/>
      <c r="W519" s="56"/>
      <c r="X519" s="56"/>
      <c r="Y519" s="56"/>
      <c r="Z519" s="56"/>
    </row>
    <row r="520" spans="1:26" ht="15.75" customHeight="1">
      <c r="A520" s="56"/>
      <c r="B520" s="56"/>
      <c r="C520" s="56"/>
      <c r="D520" s="56"/>
      <c r="E520" s="56"/>
      <c r="F520" s="56"/>
      <c r="G520" s="56"/>
      <c r="H520" s="56"/>
      <c r="I520" s="56"/>
      <c r="J520" s="56"/>
      <c r="K520" s="56"/>
      <c r="L520" s="56"/>
      <c r="M520" s="56"/>
      <c r="N520" s="56"/>
      <c r="O520" s="56"/>
      <c r="P520" s="56"/>
      <c r="Q520" s="56"/>
      <c r="R520" s="56"/>
      <c r="S520" s="56"/>
      <c r="T520" s="56"/>
      <c r="U520" s="56"/>
      <c r="V520" s="56"/>
      <c r="W520" s="56"/>
      <c r="X520" s="56"/>
      <c r="Y520" s="56"/>
      <c r="Z520" s="56"/>
    </row>
    <row r="521" spans="1:26" ht="15.75" customHeight="1">
      <c r="A521" s="56"/>
      <c r="B521" s="56"/>
      <c r="C521" s="56"/>
      <c r="D521" s="56"/>
      <c r="E521" s="56"/>
      <c r="F521" s="56"/>
      <c r="G521" s="56"/>
      <c r="H521" s="56"/>
      <c r="I521" s="56"/>
      <c r="J521" s="56"/>
      <c r="K521" s="56"/>
      <c r="L521" s="56"/>
      <c r="M521" s="56"/>
      <c r="N521" s="56"/>
      <c r="O521" s="56"/>
      <c r="P521" s="56"/>
      <c r="Q521" s="56"/>
      <c r="R521" s="56"/>
      <c r="S521" s="56"/>
      <c r="T521" s="56"/>
      <c r="U521" s="56"/>
      <c r="V521" s="56"/>
      <c r="W521" s="56"/>
      <c r="X521" s="56"/>
      <c r="Y521" s="56"/>
      <c r="Z521" s="56"/>
    </row>
    <row r="522" spans="1:26" ht="15.75" customHeight="1">
      <c r="A522" s="56"/>
      <c r="B522" s="56"/>
      <c r="C522" s="56"/>
      <c r="D522" s="56"/>
      <c r="E522" s="56"/>
      <c r="F522" s="56"/>
      <c r="G522" s="56"/>
      <c r="H522" s="56"/>
      <c r="I522" s="56"/>
      <c r="J522" s="56"/>
      <c r="K522" s="56"/>
      <c r="L522" s="56"/>
      <c r="M522" s="56"/>
      <c r="N522" s="56"/>
      <c r="O522" s="56"/>
      <c r="P522" s="56"/>
      <c r="Q522" s="56"/>
      <c r="R522" s="56"/>
      <c r="S522" s="56"/>
      <c r="T522" s="56"/>
      <c r="U522" s="56"/>
      <c r="V522" s="56"/>
      <c r="W522" s="56"/>
      <c r="X522" s="56"/>
      <c r="Y522" s="56"/>
      <c r="Z522" s="56"/>
    </row>
    <row r="523" spans="1:26" ht="15.75" customHeight="1">
      <c r="A523" s="56"/>
      <c r="B523" s="56"/>
      <c r="C523" s="56"/>
      <c r="D523" s="56"/>
      <c r="E523" s="56"/>
      <c r="F523" s="56"/>
      <c r="G523" s="56"/>
      <c r="H523" s="56"/>
      <c r="I523" s="56"/>
      <c r="J523" s="56"/>
      <c r="K523" s="56"/>
      <c r="L523" s="56"/>
      <c r="M523" s="56"/>
      <c r="N523" s="56"/>
      <c r="O523" s="56"/>
      <c r="P523" s="56"/>
      <c r="Q523" s="56"/>
      <c r="R523" s="56"/>
      <c r="S523" s="56"/>
      <c r="T523" s="56"/>
      <c r="U523" s="56"/>
      <c r="V523" s="56"/>
      <c r="W523" s="56"/>
      <c r="X523" s="56"/>
      <c r="Y523" s="56"/>
      <c r="Z523" s="56"/>
    </row>
    <row r="524" spans="1:26" ht="15.75" customHeight="1">
      <c r="A524" s="56"/>
      <c r="B524" s="56"/>
      <c r="C524" s="56"/>
      <c r="D524" s="56"/>
      <c r="E524" s="56"/>
      <c r="F524" s="56"/>
      <c r="G524" s="56"/>
      <c r="H524" s="56"/>
      <c r="I524" s="56"/>
      <c r="J524" s="56"/>
      <c r="K524" s="56"/>
      <c r="L524" s="56"/>
      <c r="M524" s="56"/>
      <c r="N524" s="56"/>
      <c r="O524" s="56"/>
      <c r="P524" s="56"/>
      <c r="Q524" s="56"/>
      <c r="R524" s="56"/>
      <c r="S524" s="56"/>
      <c r="T524" s="56"/>
      <c r="U524" s="56"/>
      <c r="V524" s="56"/>
      <c r="W524" s="56"/>
      <c r="X524" s="56"/>
      <c r="Y524" s="56"/>
      <c r="Z524" s="56"/>
    </row>
    <row r="525" spans="1:26" ht="15.75" customHeight="1">
      <c r="A525" s="56"/>
      <c r="B525" s="56"/>
      <c r="C525" s="56"/>
      <c r="D525" s="56"/>
      <c r="E525" s="56"/>
      <c r="F525" s="56"/>
      <c r="G525" s="56"/>
      <c r="H525" s="56"/>
      <c r="I525" s="56"/>
      <c r="J525" s="56"/>
      <c r="K525" s="56"/>
      <c r="L525" s="56"/>
      <c r="M525" s="56"/>
      <c r="N525" s="56"/>
      <c r="O525" s="56"/>
      <c r="P525" s="56"/>
      <c r="Q525" s="56"/>
      <c r="R525" s="56"/>
      <c r="S525" s="56"/>
      <c r="T525" s="56"/>
      <c r="U525" s="56"/>
      <c r="V525" s="56"/>
      <c r="W525" s="56"/>
      <c r="X525" s="56"/>
      <c r="Y525" s="56"/>
      <c r="Z525" s="56"/>
    </row>
    <row r="526" spans="1:26" ht="15.75" customHeight="1">
      <c r="A526" s="56"/>
      <c r="B526" s="56"/>
      <c r="C526" s="56"/>
      <c r="D526" s="56"/>
      <c r="E526" s="56"/>
      <c r="F526" s="56"/>
      <c r="G526" s="56"/>
      <c r="H526" s="56"/>
      <c r="I526" s="56"/>
      <c r="J526" s="56"/>
      <c r="K526" s="56"/>
      <c r="L526" s="56"/>
      <c r="M526" s="56"/>
      <c r="N526" s="56"/>
      <c r="O526" s="56"/>
      <c r="P526" s="56"/>
      <c r="Q526" s="56"/>
      <c r="R526" s="56"/>
      <c r="S526" s="56"/>
      <c r="T526" s="56"/>
      <c r="U526" s="56"/>
      <c r="V526" s="56"/>
      <c r="W526" s="56"/>
      <c r="X526" s="56"/>
      <c r="Y526" s="56"/>
      <c r="Z526" s="56"/>
    </row>
    <row r="527" spans="1:26" ht="15.75" customHeight="1">
      <c r="A527" s="56"/>
      <c r="B527" s="56"/>
      <c r="C527" s="56"/>
      <c r="D527" s="56"/>
      <c r="E527" s="56"/>
      <c r="F527" s="56"/>
      <c r="G527" s="56"/>
      <c r="H527" s="56"/>
      <c r="I527" s="56"/>
      <c r="J527" s="56"/>
      <c r="K527" s="56"/>
      <c r="L527" s="56"/>
      <c r="M527" s="56"/>
      <c r="N527" s="56"/>
      <c r="O527" s="56"/>
      <c r="P527" s="56"/>
      <c r="Q527" s="56"/>
      <c r="R527" s="56"/>
      <c r="S527" s="56"/>
      <c r="T527" s="56"/>
      <c r="U527" s="56"/>
      <c r="V527" s="56"/>
      <c r="W527" s="56"/>
      <c r="X527" s="56"/>
      <c r="Y527" s="56"/>
      <c r="Z527" s="56"/>
    </row>
    <row r="528" spans="1:26" ht="15.75" customHeight="1">
      <c r="A528" s="56"/>
      <c r="B528" s="56"/>
      <c r="C528" s="56"/>
      <c r="D528" s="56"/>
      <c r="E528" s="56"/>
      <c r="F528" s="56"/>
      <c r="G528" s="56"/>
      <c r="H528" s="56"/>
      <c r="I528" s="56"/>
      <c r="J528" s="56"/>
      <c r="K528" s="56"/>
      <c r="L528" s="56"/>
      <c r="M528" s="56"/>
      <c r="N528" s="56"/>
      <c r="O528" s="56"/>
      <c r="P528" s="56"/>
      <c r="Q528" s="56"/>
      <c r="R528" s="56"/>
      <c r="S528" s="56"/>
      <c r="T528" s="56"/>
      <c r="U528" s="56"/>
      <c r="V528" s="56"/>
      <c r="W528" s="56"/>
      <c r="X528" s="56"/>
      <c r="Y528" s="56"/>
      <c r="Z528" s="56"/>
    </row>
    <row r="529" spans="1:26" ht="15.75" customHeight="1">
      <c r="A529" s="56"/>
      <c r="B529" s="56"/>
      <c r="C529" s="56"/>
      <c r="D529" s="56"/>
      <c r="E529" s="56"/>
      <c r="F529" s="56"/>
      <c r="G529" s="56"/>
      <c r="H529" s="56"/>
      <c r="I529" s="56"/>
      <c r="J529" s="56"/>
      <c r="K529" s="56"/>
      <c r="L529" s="56"/>
      <c r="M529" s="56"/>
      <c r="N529" s="56"/>
      <c r="O529" s="56"/>
      <c r="P529" s="56"/>
      <c r="Q529" s="56"/>
      <c r="R529" s="56"/>
      <c r="S529" s="56"/>
      <c r="T529" s="56"/>
      <c r="U529" s="56"/>
      <c r="V529" s="56"/>
      <c r="W529" s="56"/>
      <c r="X529" s="56"/>
      <c r="Y529" s="56"/>
      <c r="Z529" s="56"/>
    </row>
    <row r="530" spans="1:26" ht="15.75" customHeight="1">
      <c r="A530" s="56"/>
      <c r="B530" s="56"/>
      <c r="C530" s="56"/>
      <c r="D530" s="56"/>
      <c r="E530" s="56"/>
      <c r="F530" s="56"/>
      <c r="G530" s="56"/>
      <c r="H530" s="56"/>
      <c r="I530" s="56"/>
      <c r="J530" s="56"/>
      <c r="K530" s="56"/>
      <c r="L530" s="56"/>
      <c r="M530" s="56"/>
      <c r="N530" s="56"/>
      <c r="O530" s="56"/>
      <c r="P530" s="56"/>
      <c r="Q530" s="56"/>
      <c r="R530" s="56"/>
      <c r="S530" s="56"/>
      <c r="T530" s="56"/>
      <c r="U530" s="56"/>
      <c r="V530" s="56"/>
      <c r="W530" s="56"/>
      <c r="X530" s="56"/>
      <c r="Y530" s="56"/>
      <c r="Z530" s="56"/>
    </row>
    <row r="531" spans="1:26" ht="15.75" customHeight="1">
      <c r="A531" s="56"/>
      <c r="B531" s="56"/>
      <c r="C531" s="56"/>
      <c r="D531" s="56"/>
      <c r="E531" s="56"/>
      <c r="F531" s="56"/>
      <c r="G531" s="56"/>
      <c r="H531" s="56"/>
      <c r="I531" s="56"/>
      <c r="J531" s="56"/>
      <c r="K531" s="56"/>
      <c r="L531" s="56"/>
      <c r="M531" s="56"/>
      <c r="N531" s="56"/>
      <c r="O531" s="56"/>
      <c r="P531" s="56"/>
      <c r="Q531" s="56"/>
      <c r="R531" s="56"/>
      <c r="S531" s="56"/>
      <c r="T531" s="56"/>
      <c r="U531" s="56"/>
      <c r="V531" s="56"/>
      <c r="W531" s="56"/>
      <c r="X531" s="56"/>
      <c r="Y531" s="56"/>
      <c r="Z531" s="56"/>
    </row>
    <row r="532" spans="1:26" ht="15.75" customHeight="1">
      <c r="A532" s="56"/>
      <c r="B532" s="56"/>
      <c r="C532" s="56"/>
      <c r="D532" s="56"/>
      <c r="E532" s="56"/>
      <c r="F532" s="56"/>
      <c r="G532" s="56"/>
      <c r="H532" s="56"/>
      <c r="I532" s="56"/>
      <c r="J532" s="56"/>
      <c r="K532" s="56"/>
      <c r="L532" s="56"/>
      <c r="M532" s="56"/>
      <c r="N532" s="56"/>
      <c r="O532" s="56"/>
      <c r="P532" s="56"/>
      <c r="Q532" s="56"/>
      <c r="R532" s="56"/>
      <c r="S532" s="56"/>
      <c r="T532" s="56"/>
      <c r="U532" s="56"/>
      <c r="V532" s="56"/>
      <c r="W532" s="56"/>
      <c r="X532" s="56"/>
      <c r="Y532" s="56"/>
      <c r="Z532" s="56"/>
    </row>
    <row r="533" spans="1:26" ht="15.75" customHeight="1">
      <c r="A533" s="56"/>
      <c r="B533" s="56"/>
      <c r="C533" s="56"/>
      <c r="D533" s="56"/>
      <c r="E533" s="56"/>
      <c r="F533" s="56"/>
      <c r="G533" s="56"/>
      <c r="H533" s="56"/>
      <c r="I533" s="56"/>
      <c r="J533" s="56"/>
      <c r="K533" s="56"/>
      <c r="L533" s="56"/>
      <c r="M533" s="56"/>
      <c r="N533" s="56"/>
      <c r="O533" s="56"/>
      <c r="P533" s="56"/>
      <c r="Q533" s="56"/>
      <c r="R533" s="56"/>
      <c r="S533" s="56"/>
      <c r="T533" s="56"/>
      <c r="U533" s="56"/>
      <c r="V533" s="56"/>
      <c r="W533" s="56"/>
      <c r="X533" s="56"/>
      <c r="Y533" s="56"/>
      <c r="Z533" s="56"/>
    </row>
    <row r="534" spans="1:26" ht="15.75" customHeight="1">
      <c r="A534" s="56"/>
      <c r="B534" s="56"/>
      <c r="C534" s="56"/>
      <c r="D534" s="56"/>
      <c r="E534" s="56"/>
      <c r="F534" s="56"/>
      <c r="G534" s="56"/>
      <c r="H534" s="56"/>
      <c r="I534" s="56"/>
      <c r="J534" s="56"/>
      <c r="K534" s="56"/>
      <c r="L534" s="56"/>
      <c r="M534" s="56"/>
      <c r="N534" s="56"/>
      <c r="O534" s="56"/>
      <c r="P534" s="56"/>
      <c r="Q534" s="56"/>
      <c r="R534" s="56"/>
      <c r="S534" s="56"/>
      <c r="T534" s="56"/>
      <c r="U534" s="56"/>
      <c r="V534" s="56"/>
      <c r="W534" s="56"/>
      <c r="X534" s="56"/>
      <c r="Y534" s="56"/>
      <c r="Z534" s="56"/>
    </row>
    <row r="535" spans="1:26" ht="15.75" customHeight="1">
      <c r="A535" s="56"/>
      <c r="B535" s="56"/>
      <c r="C535" s="56"/>
      <c r="D535" s="56"/>
      <c r="E535" s="56"/>
      <c r="F535" s="56"/>
      <c r="G535" s="56"/>
      <c r="H535" s="56"/>
      <c r="I535" s="56"/>
      <c r="J535" s="56"/>
      <c r="K535" s="56"/>
      <c r="L535" s="56"/>
      <c r="M535" s="56"/>
      <c r="N535" s="56"/>
      <c r="O535" s="56"/>
      <c r="P535" s="56"/>
      <c r="Q535" s="56"/>
      <c r="R535" s="56"/>
      <c r="S535" s="56"/>
      <c r="T535" s="56"/>
      <c r="U535" s="56"/>
      <c r="V535" s="56"/>
      <c r="W535" s="56"/>
      <c r="X535" s="56"/>
      <c r="Y535" s="56"/>
      <c r="Z535" s="56"/>
    </row>
    <row r="536" spans="1:26" ht="15.75" customHeight="1">
      <c r="A536" s="56"/>
      <c r="B536" s="56"/>
      <c r="C536" s="56"/>
      <c r="D536" s="56"/>
      <c r="E536" s="56"/>
      <c r="F536" s="56"/>
      <c r="G536" s="56"/>
      <c r="H536" s="56"/>
      <c r="I536" s="56"/>
      <c r="J536" s="56"/>
      <c r="K536" s="56"/>
      <c r="L536" s="56"/>
      <c r="M536" s="56"/>
      <c r="N536" s="56"/>
      <c r="O536" s="56"/>
      <c r="P536" s="56"/>
      <c r="Q536" s="56"/>
      <c r="R536" s="56"/>
      <c r="S536" s="56"/>
      <c r="T536" s="56"/>
      <c r="U536" s="56"/>
      <c r="V536" s="56"/>
      <c r="W536" s="56"/>
      <c r="X536" s="56"/>
      <c r="Y536" s="56"/>
      <c r="Z536" s="56"/>
    </row>
    <row r="537" spans="1:26" ht="15.75" customHeight="1">
      <c r="A537" s="56"/>
      <c r="B537" s="56"/>
      <c r="C537" s="56"/>
      <c r="D537" s="56"/>
      <c r="E537" s="56"/>
      <c r="F537" s="56"/>
      <c r="G537" s="56"/>
      <c r="H537" s="56"/>
      <c r="I537" s="56"/>
      <c r="J537" s="56"/>
      <c r="K537" s="56"/>
      <c r="L537" s="56"/>
      <c r="M537" s="56"/>
      <c r="N537" s="56"/>
      <c r="O537" s="56"/>
      <c r="P537" s="56"/>
      <c r="Q537" s="56"/>
      <c r="R537" s="56"/>
      <c r="S537" s="56"/>
      <c r="T537" s="56"/>
      <c r="U537" s="56"/>
      <c r="V537" s="56"/>
      <c r="W537" s="56"/>
      <c r="X537" s="56"/>
      <c r="Y537" s="56"/>
      <c r="Z537" s="56"/>
    </row>
    <row r="538" spans="1:26" ht="15.75" customHeight="1">
      <c r="A538" s="56"/>
      <c r="B538" s="56"/>
      <c r="C538" s="56"/>
      <c r="D538" s="56"/>
      <c r="E538" s="56"/>
      <c r="F538" s="56"/>
      <c r="G538" s="56"/>
      <c r="H538" s="56"/>
      <c r="I538" s="56"/>
      <c r="J538" s="56"/>
      <c r="K538" s="56"/>
      <c r="L538" s="56"/>
      <c r="M538" s="56"/>
      <c r="N538" s="56"/>
      <c r="O538" s="56"/>
      <c r="P538" s="56"/>
      <c r="Q538" s="56"/>
      <c r="R538" s="56"/>
      <c r="S538" s="56"/>
      <c r="T538" s="56"/>
      <c r="U538" s="56"/>
      <c r="V538" s="56"/>
      <c r="W538" s="56"/>
      <c r="X538" s="56"/>
      <c r="Y538" s="56"/>
      <c r="Z538" s="56"/>
    </row>
    <row r="539" spans="1:26" ht="15.75" customHeight="1">
      <c r="A539" s="56"/>
      <c r="B539" s="56"/>
      <c r="C539" s="56"/>
      <c r="D539" s="56"/>
      <c r="E539" s="56"/>
      <c r="F539" s="56"/>
      <c r="G539" s="56"/>
      <c r="H539" s="56"/>
      <c r="I539" s="56"/>
      <c r="J539" s="56"/>
      <c r="K539" s="56"/>
      <c r="L539" s="56"/>
      <c r="M539" s="56"/>
      <c r="N539" s="56"/>
      <c r="O539" s="56"/>
      <c r="P539" s="56"/>
      <c r="Q539" s="56"/>
      <c r="R539" s="56"/>
      <c r="S539" s="56"/>
      <c r="T539" s="56"/>
      <c r="U539" s="56"/>
      <c r="V539" s="56"/>
      <c r="W539" s="56"/>
      <c r="X539" s="56"/>
      <c r="Y539" s="56"/>
      <c r="Z539" s="56"/>
    </row>
    <row r="540" spans="1:26" ht="15.75" customHeight="1">
      <c r="A540" s="56"/>
      <c r="B540" s="56"/>
      <c r="C540" s="56"/>
      <c r="D540" s="56"/>
      <c r="E540" s="56"/>
      <c r="F540" s="56"/>
      <c r="G540" s="56"/>
      <c r="H540" s="56"/>
      <c r="I540" s="56"/>
      <c r="J540" s="56"/>
      <c r="K540" s="56"/>
      <c r="L540" s="56"/>
      <c r="M540" s="56"/>
      <c r="N540" s="56"/>
      <c r="O540" s="56"/>
      <c r="P540" s="56"/>
      <c r="Q540" s="56"/>
      <c r="R540" s="56"/>
      <c r="S540" s="56"/>
      <c r="T540" s="56"/>
      <c r="U540" s="56"/>
      <c r="V540" s="56"/>
      <c r="W540" s="56"/>
      <c r="X540" s="56"/>
      <c r="Y540" s="56"/>
      <c r="Z540" s="56"/>
    </row>
    <row r="541" spans="1:26" ht="15.75" customHeight="1">
      <c r="A541" s="56"/>
      <c r="B541" s="56"/>
      <c r="C541" s="56"/>
      <c r="D541" s="56"/>
      <c r="E541" s="56"/>
      <c r="F541" s="56"/>
      <c r="G541" s="56"/>
      <c r="H541" s="56"/>
      <c r="I541" s="56"/>
      <c r="J541" s="56"/>
      <c r="K541" s="56"/>
      <c r="L541" s="56"/>
      <c r="M541" s="56"/>
      <c r="N541" s="56"/>
      <c r="O541" s="56"/>
      <c r="P541" s="56"/>
      <c r="Q541" s="56"/>
      <c r="R541" s="56"/>
      <c r="S541" s="56"/>
      <c r="T541" s="56"/>
      <c r="U541" s="56"/>
      <c r="V541" s="56"/>
      <c r="W541" s="56"/>
      <c r="X541" s="56"/>
      <c r="Y541" s="56"/>
      <c r="Z541" s="56"/>
    </row>
    <row r="542" spans="1:26" ht="15.75" customHeight="1">
      <c r="A542" s="56"/>
      <c r="B542" s="56"/>
      <c r="C542" s="56"/>
      <c r="D542" s="56"/>
      <c r="E542" s="56"/>
      <c r="F542" s="56"/>
      <c r="G542" s="56"/>
      <c r="H542" s="56"/>
      <c r="I542" s="56"/>
      <c r="J542" s="56"/>
      <c r="K542" s="56"/>
      <c r="L542" s="56"/>
      <c r="M542" s="56"/>
      <c r="N542" s="56"/>
      <c r="O542" s="56"/>
      <c r="P542" s="56"/>
      <c r="Q542" s="56"/>
      <c r="R542" s="56"/>
      <c r="S542" s="56"/>
      <c r="T542" s="56"/>
      <c r="U542" s="56"/>
      <c r="V542" s="56"/>
      <c r="W542" s="56"/>
      <c r="X542" s="56"/>
      <c r="Y542" s="56"/>
      <c r="Z542" s="56"/>
    </row>
    <row r="543" spans="1:26" ht="15.75" customHeight="1">
      <c r="A543" s="56"/>
      <c r="B543" s="56"/>
      <c r="C543" s="56"/>
      <c r="D543" s="56"/>
      <c r="E543" s="56"/>
      <c r="F543" s="56"/>
      <c r="G543" s="56"/>
      <c r="H543" s="56"/>
      <c r="I543" s="56"/>
      <c r="J543" s="56"/>
      <c r="K543" s="56"/>
      <c r="L543" s="56"/>
      <c r="M543" s="56"/>
      <c r="N543" s="56"/>
      <c r="O543" s="56"/>
      <c r="P543" s="56"/>
      <c r="Q543" s="56"/>
      <c r="R543" s="56"/>
      <c r="S543" s="56"/>
      <c r="T543" s="56"/>
      <c r="U543" s="56"/>
      <c r="V543" s="56"/>
      <c r="W543" s="56"/>
      <c r="X543" s="56"/>
      <c r="Y543" s="56"/>
      <c r="Z543" s="56"/>
    </row>
    <row r="544" spans="1:26" ht="15.75" customHeight="1">
      <c r="A544" s="56"/>
      <c r="B544" s="56"/>
      <c r="C544" s="56"/>
      <c r="D544" s="56"/>
      <c r="E544" s="56"/>
      <c r="F544" s="56"/>
      <c r="G544" s="56"/>
      <c r="H544" s="56"/>
      <c r="I544" s="56"/>
      <c r="J544" s="56"/>
      <c r="K544" s="56"/>
      <c r="L544" s="56"/>
      <c r="M544" s="56"/>
      <c r="N544" s="56"/>
      <c r="O544" s="56"/>
      <c r="P544" s="56"/>
      <c r="Q544" s="56"/>
      <c r="R544" s="56"/>
      <c r="S544" s="56"/>
      <c r="T544" s="56"/>
      <c r="U544" s="56"/>
      <c r="V544" s="56"/>
      <c r="W544" s="56"/>
      <c r="X544" s="56"/>
      <c r="Y544" s="56"/>
      <c r="Z544" s="56"/>
    </row>
    <row r="545" spans="1:26" ht="15.75" customHeight="1">
      <c r="A545" s="56"/>
      <c r="B545" s="56"/>
      <c r="C545" s="56"/>
      <c r="D545" s="56"/>
      <c r="E545" s="56"/>
      <c r="F545" s="56"/>
      <c r="G545" s="56"/>
      <c r="H545" s="56"/>
      <c r="I545" s="56"/>
      <c r="J545" s="56"/>
      <c r="K545" s="56"/>
      <c r="L545" s="56"/>
      <c r="M545" s="56"/>
      <c r="N545" s="56"/>
      <c r="O545" s="56"/>
      <c r="P545" s="56"/>
      <c r="Q545" s="56"/>
      <c r="R545" s="56"/>
      <c r="S545" s="56"/>
      <c r="T545" s="56"/>
      <c r="U545" s="56"/>
      <c r="V545" s="56"/>
      <c r="W545" s="56"/>
      <c r="X545" s="56"/>
      <c r="Y545" s="56"/>
      <c r="Z545" s="56"/>
    </row>
    <row r="546" spans="1:26" ht="15.75" customHeight="1">
      <c r="A546" s="56"/>
      <c r="B546" s="56"/>
      <c r="C546" s="56"/>
      <c r="D546" s="56"/>
      <c r="E546" s="56"/>
      <c r="F546" s="56"/>
      <c r="G546" s="56"/>
      <c r="H546" s="56"/>
      <c r="I546" s="56"/>
      <c r="J546" s="56"/>
      <c r="K546" s="56"/>
      <c r="L546" s="56"/>
      <c r="M546" s="56"/>
      <c r="N546" s="56"/>
      <c r="O546" s="56"/>
      <c r="P546" s="56"/>
      <c r="Q546" s="56"/>
      <c r="R546" s="56"/>
      <c r="S546" s="56"/>
      <c r="T546" s="56"/>
      <c r="U546" s="56"/>
      <c r="V546" s="56"/>
      <c r="W546" s="56"/>
      <c r="X546" s="56"/>
      <c r="Y546" s="56"/>
      <c r="Z546" s="56"/>
    </row>
    <row r="547" spans="1:26" ht="15.75" customHeight="1">
      <c r="A547" s="56"/>
      <c r="B547" s="56"/>
      <c r="C547" s="56"/>
      <c r="D547" s="56"/>
      <c r="E547" s="56"/>
      <c r="F547" s="56"/>
      <c r="G547" s="56"/>
      <c r="H547" s="56"/>
      <c r="I547" s="56"/>
      <c r="J547" s="56"/>
      <c r="K547" s="56"/>
      <c r="L547" s="56"/>
      <c r="M547" s="56"/>
      <c r="N547" s="56"/>
      <c r="O547" s="56"/>
      <c r="P547" s="56"/>
      <c r="Q547" s="56"/>
      <c r="R547" s="56"/>
      <c r="S547" s="56"/>
      <c r="T547" s="56"/>
      <c r="U547" s="56"/>
      <c r="V547" s="56"/>
      <c r="W547" s="56"/>
      <c r="X547" s="56"/>
      <c r="Y547" s="56"/>
      <c r="Z547" s="56"/>
    </row>
    <row r="548" spans="1:26" ht="15.75" customHeight="1">
      <c r="A548" s="56"/>
      <c r="B548" s="56"/>
      <c r="C548" s="56"/>
      <c r="D548" s="56"/>
      <c r="E548" s="56"/>
      <c r="F548" s="56"/>
      <c r="G548" s="56"/>
      <c r="H548" s="56"/>
      <c r="I548" s="56"/>
      <c r="J548" s="56"/>
      <c r="K548" s="56"/>
      <c r="L548" s="56"/>
      <c r="M548" s="56"/>
      <c r="N548" s="56"/>
      <c r="O548" s="56"/>
      <c r="P548" s="56"/>
      <c r="Q548" s="56"/>
      <c r="R548" s="56"/>
      <c r="S548" s="56"/>
      <c r="T548" s="56"/>
      <c r="U548" s="56"/>
      <c r="V548" s="56"/>
      <c r="W548" s="56"/>
      <c r="X548" s="56"/>
      <c r="Y548" s="56"/>
      <c r="Z548" s="56"/>
    </row>
    <row r="549" spans="1:26" ht="15.75" customHeight="1">
      <c r="A549" s="56"/>
      <c r="B549" s="56"/>
      <c r="C549" s="56"/>
      <c r="D549" s="56"/>
      <c r="E549" s="56"/>
      <c r="F549" s="56"/>
      <c r="G549" s="56"/>
      <c r="H549" s="56"/>
      <c r="I549" s="56"/>
      <c r="J549" s="56"/>
      <c r="K549" s="56"/>
      <c r="L549" s="56"/>
      <c r="M549" s="56"/>
      <c r="N549" s="56"/>
      <c r="O549" s="56"/>
      <c r="P549" s="56"/>
      <c r="Q549" s="56"/>
      <c r="R549" s="56"/>
      <c r="S549" s="56"/>
      <c r="T549" s="56"/>
      <c r="U549" s="56"/>
      <c r="V549" s="56"/>
      <c r="W549" s="56"/>
      <c r="X549" s="56"/>
      <c r="Y549" s="56"/>
      <c r="Z549" s="56"/>
    </row>
    <row r="550" spans="1:26" ht="15.75" customHeight="1">
      <c r="A550" s="56"/>
      <c r="B550" s="56"/>
      <c r="C550" s="56"/>
      <c r="D550" s="56"/>
      <c r="E550" s="56"/>
      <c r="F550" s="56"/>
      <c r="G550" s="56"/>
      <c r="H550" s="56"/>
      <c r="I550" s="56"/>
      <c r="J550" s="56"/>
      <c r="K550" s="56"/>
      <c r="L550" s="56"/>
      <c r="M550" s="56"/>
      <c r="N550" s="56"/>
      <c r="O550" s="56"/>
      <c r="P550" s="56"/>
      <c r="Q550" s="56"/>
      <c r="R550" s="56"/>
      <c r="S550" s="56"/>
      <c r="T550" s="56"/>
      <c r="U550" s="56"/>
      <c r="V550" s="56"/>
      <c r="W550" s="56"/>
      <c r="X550" s="56"/>
      <c r="Y550" s="56"/>
      <c r="Z550" s="56"/>
    </row>
    <row r="551" spans="1:26" ht="15.75" customHeight="1">
      <c r="A551" s="56"/>
      <c r="B551" s="56"/>
      <c r="C551" s="56"/>
      <c r="D551" s="56"/>
      <c r="E551" s="56"/>
      <c r="F551" s="56"/>
      <c r="G551" s="56"/>
      <c r="H551" s="56"/>
      <c r="I551" s="56"/>
      <c r="J551" s="56"/>
      <c r="K551" s="56"/>
      <c r="L551" s="56"/>
      <c r="M551" s="56"/>
      <c r="N551" s="56"/>
      <c r="O551" s="56"/>
      <c r="P551" s="56"/>
      <c r="Q551" s="56"/>
      <c r="R551" s="56"/>
      <c r="S551" s="56"/>
      <c r="T551" s="56"/>
      <c r="U551" s="56"/>
      <c r="V551" s="56"/>
      <c r="W551" s="56"/>
      <c r="X551" s="56"/>
      <c r="Y551" s="56"/>
      <c r="Z551" s="56"/>
    </row>
    <row r="552" spans="1:26" ht="15.75" customHeight="1">
      <c r="A552" s="56"/>
      <c r="B552" s="56"/>
      <c r="C552" s="56"/>
      <c r="D552" s="56"/>
      <c r="E552" s="56"/>
      <c r="F552" s="56"/>
      <c r="G552" s="56"/>
      <c r="H552" s="56"/>
      <c r="I552" s="56"/>
      <c r="J552" s="56"/>
      <c r="K552" s="56"/>
      <c r="L552" s="56"/>
      <c r="M552" s="56"/>
      <c r="N552" s="56"/>
      <c r="O552" s="56"/>
      <c r="P552" s="56"/>
      <c r="Q552" s="56"/>
      <c r="R552" s="56"/>
      <c r="S552" s="56"/>
      <c r="T552" s="56"/>
      <c r="U552" s="56"/>
      <c r="V552" s="56"/>
      <c r="W552" s="56"/>
      <c r="X552" s="56"/>
      <c r="Y552" s="56"/>
      <c r="Z552" s="56"/>
    </row>
    <row r="553" spans="1:26" ht="15.75" customHeight="1">
      <c r="A553" s="56"/>
      <c r="B553" s="56"/>
      <c r="C553" s="56"/>
      <c r="D553" s="56"/>
      <c r="E553" s="56"/>
      <c r="F553" s="56"/>
      <c r="G553" s="56"/>
      <c r="H553" s="56"/>
      <c r="I553" s="56"/>
      <c r="J553" s="56"/>
      <c r="K553" s="56"/>
      <c r="L553" s="56"/>
      <c r="M553" s="56"/>
      <c r="N553" s="56"/>
      <c r="O553" s="56"/>
      <c r="P553" s="56"/>
      <c r="Q553" s="56"/>
      <c r="R553" s="56"/>
      <c r="S553" s="56"/>
      <c r="T553" s="56"/>
      <c r="U553" s="56"/>
      <c r="V553" s="56"/>
      <c r="W553" s="56"/>
      <c r="X553" s="56"/>
      <c r="Y553" s="56"/>
      <c r="Z553" s="56"/>
    </row>
    <row r="554" spans="1:26" ht="15.75" customHeight="1">
      <c r="A554" s="56"/>
      <c r="B554" s="56"/>
      <c r="C554" s="56"/>
      <c r="D554" s="56"/>
      <c r="E554" s="56"/>
      <c r="F554" s="56"/>
      <c r="G554" s="56"/>
      <c r="H554" s="56"/>
      <c r="I554" s="56"/>
      <c r="J554" s="56"/>
      <c r="K554" s="56"/>
      <c r="L554" s="56"/>
      <c r="M554" s="56"/>
      <c r="N554" s="56"/>
      <c r="O554" s="56"/>
      <c r="P554" s="56"/>
      <c r="Q554" s="56"/>
      <c r="R554" s="56"/>
      <c r="S554" s="56"/>
      <c r="T554" s="56"/>
      <c r="U554" s="56"/>
      <c r="V554" s="56"/>
      <c r="W554" s="56"/>
      <c r="X554" s="56"/>
      <c r="Y554" s="56"/>
      <c r="Z554" s="56"/>
    </row>
    <row r="555" spans="1:26" ht="15.75" customHeight="1">
      <c r="A555" s="56"/>
      <c r="B555" s="56"/>
      <c r="C555" s="56"/>
      <c r="D555" s="56"/>
      <c r="E555" s="56"/>
      <c r="F555" s="56"/>
      <c r="G555" s="56"/>
      <c r="H555" s="56"/>
      <c r="I555" s="56"/>
      <c r="J555" s="56"/>
      <c r="K555" s="56"/>
      <c r="L555" s="56"/>
      <c r="M555" s="56"/>
      <c r="N555" s="56"/>
      <c r="O555" s="56"/>
      <c r="P555" s="56"/>
      <c r="Q555" s="56"/>
      <c r="R555" s="56"/>
      <c r="S555" s="56"/>
      <c r="T555" s="56"/>
      <c r="U555" s="56"/>
      <c r="V555" s="56"/>
      <c r="W555" s="56"/>
      <c r="X555" s="56"/>
      <c r="Y555" s="56"/>
      <c r="Z555" s="56"/>
    </row>
    <row r="556" spans="1:26" ht="15.75" customHeight="1">
      <c r="A556" s="56"/>
      <c r="B556" s="56"/>
      <c r="C556" s="56"/>
      <c r="D556" s="56"/>
      <c r="E556" s="56"/>
      <c r="F556" s="56"/>
      <c r="G556" s="56"/>
      <c r="H556" s="56"/>
      <c r="I556" s="56"/>
      <c r="J556" s="56"/>
      <c r="K556" s="56"/>
      <c r="L556" s="56"/>
      <c r="M556" s="56"/>
      <c r="N556" s="56"/>
      <c r="O556" s="56"/>
      <c r="P556" s="56"/>
      <c r="Q556" s="56"/>
      <c r="R556" s="56"/>
      <c r="S556" s="56"/>
      <c r="T556" s="56"/>
      <c r="U556" s="56"/>
      <c r="V556" s="56"/>
      <c r="W556" s="56"/>
      <c r="X556" s="56"/>
      <c r="Y556" s="56"/>
      <c r="Z556" s="56"/>
    </row>
    <row r="557" spans="1:26" ht="15.75" customHeight="1">
      <c r="A557" s="56"/>
      <c r="B557" s="56"/>
      <c r="C557" s="56"/>
      <c r="D557" s="56"/>
      <c r="E557" s="56"/>
      <c r="F557" s="56"/>
      <c r="G557" s="56"/>
      <c r="H557" s="56"/>
      <c r="I557" s="56"/>
      <c r="J557" s="56"/>
      <c r="K557" s="56"/>
      <c r="L557" s="56"/>
      <c r="M557" s="56"/>
      <c r="N557" s="56"/>
      <c r="O557" s="56"/>
      <c r="P557" s="56"/>
      <c r="Q557" s="56"/>
      <c r="R557" s="56"/>
      <c r="S557" s="56"/>
      <c r="T557" s="56"/>
      <c r="U557" s="56"/>
      <c r="V557" s="56"/>
      <c r="W557" s="56"/>
      <c r="X557" s="56"/>
      <c r="Y557" s="56"/>
      <c r="Z557" s="56"/>
    </row>
    <row r="558" spans="1:26" ht="15.75" customHeight="1">
      <c r="A558" s="56"/>
      <c r="B558" s="56"/>
      <c r="C558" s="56"/>
      <c r="D558" s="56"/>
      <c r="E558" s="56"/>
      <c r="F558" s="56"/>
      <c r="G558" s="56"/>
      <c r="H558" s="56"/>
      <c r="I558" s="56"/>
      <c r="J558" s="56"/>
      <c r="K558" s="56"/>
      <c r="L558" s="56"/>
      <c r="M558" s="56"/>
      <c r="N558" s="56"/>
      <c r="O558" s="56"/>
      <c r="P558" s="56"/>
      <c r="Q558" s="56"/>
      <c r="R558" s="56"/>
      <c r="S558" s="56"/>
      <c r="T558" s="56"/>
      <c r="U558" s="56"/>
      <c r="V558" s="56"/>
      <c r="W558" s="56"/>
      <c r="X558" s="56"/>
      <c r="Y558" s="56"/>
      <c r="Z558" s="56"/>
    </row>
    <row r="559" spans="1:26" ht="15.75" customHeight="1">
      <c r="A559" s="56"/>
      <c r="B559" s="56"/>
      <c r="C559" s="56"/>
      <c r="D559" s="56"/>
      <c r="E559" s="56"/>
      <c r="F559" s="56"/>
      <c r="G559" s="56"/>
      <c r="H559" s="56"/>
      <c r="I559" s="56"/>
      <c r="J559" s="56"/>
      <c r="K559" s="56"/>
      <c r="L559" s="56"/>
      <c r="M559" s="56"/>
      <c r="N559" s="56"/>
      <c r="O559" s="56"/>
      <c r="P559" s="56"/>
      <c r="Q559" s="56"/>
      <c r="R559" s="56"/>
      <c r="S559" s="56"/>
      <c r="T559" s="56"/>
      <c r="U559" s="56"/>
      <c r="V559" s="56"/>
      <c r="W559" s="56"/>
      <c r="X559" s="56"/>
      <c r="Y559" s="56"/>
      <c r="Z559" s="56"/>
    </row>
    <row r="560" spans="1:26" ht="15.75" customHeight="1">
      <c r="A560" s="56"/>
      <c r="B560" s="56"/>
      <c r="C560" s="56"/>
      <c r="D560" s="56"/>
      <c r="E560" s="56"/>
      <c r="F560" s="56"/>
      <c r="G560" s="56"/>
      <c r="H560" s="56"/>
      <c r="I560" s="56"/>
      <c r="J560" s="56"/>
      <c r="K560" s="56"/>
      <c r="L560" s="56"/>
      <c r="M560" s="56"/>
      <c r="N560" s="56"/>
      <c r="O560" s="56"/>
      <c r="P560" s="56"/>
      <c r="Q560" s="56"/>
      <c r="R560" s="56"/>
      <c r="S560" s="56"/>
      <c r="T560" s="56"/>
      <c r="U560" s="56"/>
      <c r="V560" s="56"/>
      <c r="W560" s="56"/>
      <c r="X560" s="56"/>
      <c r="Y560" s="56"/>
      <c r="Z560" s="56"/>
    </row>
    <row r="561" spans="1:26" ht="15.75" customHeight="1">
      <c r="A561" s="56"/>
      <c r="B561" s="56"/>
      <c r="C561" s="56"/>
      <c r="D561" s="56"/>
      <c r="E561" s="56"/>
      <c r="F561" s="56"/>
      <c r="G561" s="56"/>
      <c r="H561" s="56"/>
      <c r="I561" s="56"/>
      <c r="J561" s="56"/>
      <c r="K561" s="56"/>
      <c r="L561" s="56"/>
      <c r="M561" s="56"/>
      <c r="N561" s="56"/>
      <c r="O561" s="56"/>
      <c r="P561" s="56"/>
      <c r="Q561" s="56"/>
      <c r="R561" s="56"/>
      <c r="S561" s="56"/>
      <c r="T561" s="56"/>
      <c r="U561" s="56"/>
      <c r="V561" s="56"/>
      <c r="W561" s="56"/>
      <c r="X561" s="56"/>
      <c r="Y561" s="56"/>
      <c r="Z561" s="56"/>
    </row>
    <row r="562" spans="1:26" ht="15.75" customHeight="1">
      <c r="A562" s="56"/>
      <c r="B562" s="56"/>
      <c r="C562" s="56"/>
      <c r="D562" s="56"/>
      <c r="E562" s="56"/>
      <c r="F562" s="56"/>
      <c r="G562" s="56"/>
      <c r="H562" s="56"/>
      <c r="I562" s="56"/>
      <c r="J562" s="56"/>
      <c r="K562" s="56"/>
      <c r="L562" s="56"/>
      <c r="M562" s="56"/>
      <c r="N562" s="56"/>
      <c r="O562" s="56"/>
      <c r="P562" s="56"/>
      <c r="Q562" s="56"/>
      <c r="R562" s="56"/>
      <c r="S562" s="56"/>
      <c r="T562" s="56"/>
      <c r="U562" s="56"/>
      <c r="V562" s="56"/>
      <c r="W562" s="56"/>
      <c r="X562" s="56"/>
      <c r="Y562" s="56"/>
      <c r="Z562" s="56"/>
    </row>
    <row r="563" spans="1:26" ht="15.75" customHeight="1">
      <c r="A563" s="56"/>
      <c r="B563" s="56"/>
      <c r="C563" s="56"/>
      <c r="D563" s="56"/>
      <c r="E563" s="56"/>
      <c r="F563" s="56"/>
      <c r="G563" s="56"/>
      <c r="H563" s="56"/>
      <c r="I563" s="56"/>
      <c r="J563" s="56"/>
      <c r="K563" s="56"/>
      <c r="L563" s="56"/>
      <c r="M563" s="56"/>
      <c r="N563" s="56"/>
      <c r="O563" s="56"/>
      <c r="P563" s="56"/>
      <c r="Q563" s="56"/>
      <c r="R563" s="56"/>
      <c r="S563" s="56"/>
      <c r="T563" s="56"/>
      <c r="U563" s="56"/>
      <c r="V563" s="56"/>
      <c r="W563" s="56"/>
      <c r="X563" s="56"/>
      <c r="Y563" s="56"/>
      <c r="Z563" s="56"/>
    </row>
    <row r="564" spans="1:26" ht="15.75" customHeight="1">
      <c r="A564" s="56"/>
      <c r="B564" s="56"/>
      <c r="C564" s="56"/>
      <c r="D564" s="56"/>
      <c r="E564" s="56"/>
      <c r="F564" s="56"/>
      <c r="G564" s="56"/>
      <c r="H564" s="56"/>
      <c r="I564" s="56"/>
      <c r="J564" s="56"/>
      <c r="K564" s="56"/>
      <c r="L564" s="56"/>
      <c r="M564" s="56"/>
      <c r="N564" s="56"/>
      <c r="O564" s="56"/>
      <c r="P564" s="56"/>
      <c r="Q564" s="56"/>
      <c r="R564" s="56"/>
      <c r="S564" s="56"/>
      <c r="T564" s="56"/>
      <c r="U564" s="56"/>
      <c r="V564" s="56"/>
      <c r="W564" s="56"/>
      <c r="X564" s="56"/>
      <c r="Y564" s="56"/>
      <c r="Z564" s="56"/>
    </row>
    <row r="565" spans="1:26" ht="15.75" customHeight="1">
      <c r="A565" s="56"/>
      <c r="B565" s="56"/>
      <c r="C565" s="56"/>
      <c r="D565" s="56"/>
      <c r="E565" s="56"/>
      <c r="F565" s="56"/>
      <c r="G565" s="56"/>
      <c r="H565" s="56"/>
      <c r="I565" s="56"/>
      <c r="J565" s="56"/>
      <c r="K565" s="56"/>
      <c r="L565" s="56"/>
      <c r="M565" s="56"/>
      <c r="N565" s="56"/>
      <c r="O565" s="56"/>
      <c r="P565" s="56"/>
      <c r="Q565" s="56"/>
      <c r="R565" s="56"/>
      <c r="S565" s="56"/>
      <c r="T565" s="56"/>
      <c r="U565" s="56"/>
      <c r="V565" s="56"/>
      <c r="W565" s="56"/>
      <c r="X565" s="56"/>
      <c r="Y565" s="56"/>
      <c r="Z565" s="56"/>
    </row>
    <row r="566" spans="1:26" ht="15.75" customHeight="1">
      <c r="A566" s="56"/>
      <c r="B566" s="56"/>
      <c r="C566" s="56"/>
      <c r="D566" s="56"/>
      <c r="E566" s="56"/>
      <c r="F566" s="56"/>
      <c r="G566" s="56"/>
      <c r="H566" s="56"/>
      <c r="I566" s="56"/>
      <c r="J566" s="56"/>
      <c r="K566" s="56"/>
      <c r="L566" s="56"/>
      <c r="M566" s="56"/>
      <c r="N566" s="56"/>
      <c r="O566" s="56"/>
      <c r="P566" s="56"/>
      <c r="Q566" s="56"/>
      <c r="R566" s="56"/>
      <c r="S566" s="56"/>
      <c r="T566" s="56"/>
      <c r="U566" s="56"/>
      <c r="V566" s="56"/>
      <c r="W566" s="56"/>
      <c r="X566" s="56"/>
      <c r="Y566" s="56"/>
      <c r="Z566" s="56"/>
    </row>
    <row r="567" spans="1:26" ht="15.75" customHeight="1">
      <c r="A567" s="56"/>
      <c r="B567" s="56"/>
      <c r="C567" s="56"/>
      <c r="D567" s="56"/>
      <c r="E567" s="56"/>
      <c r="F567" s="56"/>
      <c r="G567" s="56"/>
      <c r="H567" s="56"/>
      <c r="I567" s="56"/>
      <c r="J567" s="56"/>
      <c r="K567" s="56"/>
      <c r="L567" s="56"/>
      <c r="M567" s="56"/>
      <c r="N567" s="56"/>
      <c r="O567" s="56"/>
      <c r="P567" s="56"/>
      <c r="Q567" s="56"/>
      <c r="R567" s="56"/>
      <c r="S567" s="56"/>
      <c r="T567" s="56"/>
      <c r="U567" s="56"/>
      <c r="V567" s="56"/>
      <c r="W567" s="56"/>
      <c r="X567" s="56"/>
      <c r="Y567" s="56"/>
      <c r="Z567" s="56"/>
    </row>
    <row r="568" spans="1:26" ht="15.75" customHeight="1">
      <c r="A568" s="56"/>
      <c r="B568" s="56"/>
      <c r="C568" s="56"/>
      <c r="D568" s="56"/>
      <c r="E568" s="56"/>
      <c r="F568" s="56"/>
      <c r="G568" s="56"/>
      <c r="H568" s="56"/>
      <c r="I568" s="56"/>
      <c r="J568" s="56"/>
      <c r="K568" s="56"/>
      <c r="L568" s="56"/>
      <c r="M568" s="56"/>
      <c r="N568" s="56"/>
      <c r="O568" s="56"/>
      <c r="P568" s="56"/>
      <c r="Q568" s="56"/>
      <c r="R568" s="56"/>
      <c r="S568" s="56"/>
      <c r="T568" s="56"/>
      <c r="U568" s="56"/>
      <c r="V568" s="56"/>
      <c r="W568" s="56"/>
      <c r="X568" s="56"/>
      <c r="Y568" s="56"/>
      <c r="Z568" s="56"/>
    </row>
    <row r="569" spans="1:26" ht="15.75" customHeight="1">
      <c r="A569" s="56"/>
      <c r="B569" s="56"/>
      <c r="C569" s="56"/>
      <c r="D569" s="56"/>
      <c r="E569" s="56"/>
      <c r="F569" s="56"/>
      <c r="G569" s="56"/>
      <c r="H569" s="56"/>
      <c r="I569" s="56"/>
      <c r="J569" s="56"/>
      <c r="K569" s="56"/>
      <c r="L569" s="56"/>
      <c r="M569" s="56"/>
      <c r="N569" s="56"/>
      <c r="O569" s="56"/>
      <c r="P569" s="56"/>
      <c r="Q569" s="56"/>
      <c r="R569" s="56"/>
      <c r="S569" s="56"/>
      <c r="T569" s="56"/>
      <c r="U569" s="56"/>
      <c r="V569" s="56"/>
      <c r="W569" s="56"/>
      <c r="X569" s="56"/>
      <c r="Y569" s="56"/>
      <c r="Z569" s="56"/>
    </row>
    <row r="570" spans="1:26" ht="15.75" customHeight="1">
      <c r="A570" s="56"/>
      <c r="B570" s="56"/>
      <c r="C570" s="56"/>
      <c r="D570" s="56"/>
      <c r="E570" s="56"/>
      <c r="F570" s="56"/>
      <c r="G570" s="56"/>
      <c r="H570" s="56"/>
      <c r="I570" s="56"/>
      <c r="J570" s="56"/>
      <c r="K570" s="56"/>
      <c r="L570" s="56"/>
      <c r="M570" s="56"/>
      <c r="N570" s="56"/>
      <c r="O570" s="56"/>
      <c r="P570" s="56"/>
      <c r="Q570" s="56"/>
      <c r="R570" s="56"/>
      <c r="S570" s="56"/>
      <c r="T570" s="56"/>
      <c r="U570" s="56"/>
      <c r="V570" s="56"/>
      <c r="W570" s="56"/>
      <c r="X570" s="56"/>
      <c r="Y570" s="56"/>
      <c r="Z570" s="56"/>
    </row>
    <row r="571" spans="1:26" ht="15.75" customHeight="1">
      <c r="A571" s="56"/>
      <c r="B571" s="56"/>
      <c r="C571" s="56"/>
      <c r="D571" s="56"/>
      <c r="E571" s="56"/>
      <c r="F571" s="56"/>
      <c r="G571" s="56"/>
      <c r="H571" s="56"/>
      <c r="I571" s="56"/>
      <c r="J571" s="56"/>
      <c r="K571" s="56"/>
      <c r="L571" s="56"/>
      <c r="M571" s="56"/>
      <c r="N571" s="56"/>
      <c r="O571" s="56"/>
      <c r="P571" s="56"/>
      <c r="Q571" s="56"/>
      <c r="R571" s="56"/>
      <c r="S571" s="56"/>
      <c r="T571" s="56"/>
      <c r="U571" s="56"/>
      <c r="V571" s="56"/>
      <c r="W571" s="56"/>
      <c r="X571" s="56"/>
      <c r="Y571" s="56"/>
      <c r="Z571" s="56"/>
    </row>
    <row r="572" spans="1:26" ht="15.75" customHeight="1">
      <c r="A572" s="56"/>
      <c r="B572" s="56"/>
      <c r="C572" s="56"/>
      <c r="D572" s="56"/>
      <c r="E572" s="56"/>
      <c r="F572" s="56"/>
      <c r="G572" s="56"/>
      <c r="H572" s="56"/>
      <c r="I572" s="56"/>
      <c r="J572" s="56"/>
      <c r="K572" s="56"/>
      <c r="L572" s="56"/>
      <c r="M572" s="56"/>
      <c r="N572" s="56"/>
      <c r="O572" s="56"/>
      <c r="P572" s="56"/>
      <c r="Q572" s="56"/>
      <c r="R572" s="56"/>
      <c r="S572" s="56"/>
      <c r="T572" s="56"/>
      <c r="U572" s="56"/>
      <c r="V572" s="56"/>
      <c r="W572" s="56"/>
      <c r="X572" s="56"/>
      <c r="Y572" s="56"/>
      <c r="Z572" s="56"/>
    </row>
    <row r="573" spans="1:26" ht="15.75" customHeight="1">
      <c r="A573" s="56"/>
      <c r="B573" s="56"/>
      <c r="C573" s="56"/>
      <c r="D573" s="56"/>
      <c r="E573" s="56"/>
      <c r="F573" s="56"/>
      <c r="G573" s="56"/>
      <c r="H573" s="56"/>
      <c r="I573" s="56"/>
      <c r="J573" s="56"/>
      <c r="K573" s="56"/>
      <c r="L573" s="56"/>
      <c r="M573" s="56"/>
      <c r="N573" s="56"/>
      <c r="O573" s="56"/>
      <c r="P573" s="56"/>
      <c r="Q573" s="56"/>
      <c r="R573" s="56"/>
      <c r="S573" s="56"/>
      <c r="T573" s="56"/>
      <c r="U573" s="56"/>
      <c r="V573" s="56"/>
      <c r="W573" s="56"/>
      <c r="X573" s="56"/>
      <c r="Y573" s="56"/>
      <c r="Z573" s="56"/>
    </row>
    <row r="574" spans="1:26" ht="15.75" customHeight="1">
      <c r="A574" s="56"/>
      <c r="B574" s="56"/>
      <c r="C574" s="56"/>
      <c r="D574" s="56"/>
      <c r="E574" s="56"/>
      <c r="F574" s="56"/>
      <c r="G574" s="56"/>
      <c r="H574" s="56"/>
      <c r="I574" s="56"/>
      <c r="J574" s="56"/>
      <c r="K574" s="56"/>
      <c r="L574" s="56"/>
      <c r="M574" s="56"/>
      <c r="N574" s="56"/>
      <c r="O574" s="56"/>
      <c r="P574" s="56"/>
      <c r="Q574" s="56"/>
      <c r="R574" s="56"/>
      <c r="S574" s="56"/>
      <c r="T574" s="56"/>
      <c r="U574" s="56"/>
      <c r="V574" s="56"/>
      <c r="W574" s="56"/>
      <c r="X574" s="56"/>
      <c r="Y574" s="56"/>
      <c r="Z574" s="56"/>
    </row>
    <row r="575" spans="1:26" ht="15.75" customHeight="1">
      <c r="A575" s="56"/>
      <c r="B575" s="56"/>
      <c r="C575" s="56"/>
      <c r="D575" s="56"/>
      <c r="E575" s="56"/>
      <c r="F575" s="56"/>
      <c r="G575" s="56"/>
      <c r="H575" s="56"/>
      <c r="I575" s="56"/>
      <c r="J575" s="56"/>
      <c r="K575" s="56"/>
      <c r="L575" s="56"/>
      <c r="M575" s="56"/>
      <c r="N575" s="56"/>
      <c r="O575" s="56"/>
      <c r="P575" s="56"/>
      <c r="Q575" s="56"/>
      <c r="R575" s="56"/>
      <c r="S575" s="56"/>
      <c r="T575" s="56"/>
      <c r="U575" s="56"/>
      <c r="V575" s="56"/>
      <c r="W575" s="56"/>
      <c r="X575" s="56"/>
      <c r="Y575" s="56"/>
      <c r="Z575" s="56"/>
    </row>
    <row r="576" spans="1:26" ht="15.75" customHeight="1">
      <c r="A576" s="56"/>
      <c r="B576" s="56"/>
      <c r="C576" s="56"/>
      <c r="D576" s="56"/>
      <c r="E576" s="56"/>
      <c r="F576" s="56"/>
      <c r="G576" s="56"/>
      <c r="H576" s="56"/>
      <c r="I576" s="56"/>
      <c r="J576" s="56"/>
      <c r="K576" s="56"/>
      <c r="L576" s="56"/>
      <c r="M576" s="56"/>
      <c r="N576" s="56"/>
      <c r="O576" s="56"/>
      <c r="P576" s="56"/>
      <c r="Q576" s="56"/>
      <c r="R576" s="56"/>
      <c r="S576" s="56"/>
      <c r="T576" s="56"/>
      <c r="U576" s="56"/>
      <c r="V576" s="56"/>
      <c r="W576" s="56"/>
      <c r="X576" s="56"/>
      <c r="Y576" s="56"/>
      <c r="Z576" s="56"/>
    </row>
    <row r="577" spans="1:26" ht="15.75" customHeight="1">
      <c r="A577" s="56"/>
      <c r="B577" s="56"/>
      <c r="C577" s="56"/>
      <c r="D577" s="56"/>
      <c r="E577" s="56"/>
      <c r="F577" s="56"/>
      <c r="G577" s="56"/>
      <c r="H577" s="56"/>
      <c r="I577" s="56"/>
      <c r="J577" s="56"/>
      <c r="K577" s="56"/>
      <c r="L577" s="56"/>
      <c r="M577" s="56"/>
      <c r="N577" s="56"/>
      <c r="O577" s="56"/>
      <c r="P577" s="56"/>
      <c r="Q577" s="56"/>
      <c r="R577" s="56"/>
      <c r="S577" s="56"/>
      <c r="T577" s="56"/>
      <c r="U577" s="56"/>
      <c r="V577" s="56"/>
      <c r="W577" s="56"/>
      <c r="X577" s="56"/>
      <c r="Y577" s="56"/>
      <c r="Z577" s="56"/>
    </row>
    <row r="578" spans="1:26" ht="15.75" customHeight="1">
      <c r="A578" s="56"/>
      <c r="B578" s="56"/>
      <c r="C578" s="56"/>
      <c r="D578" s="56"/>
      <c r="E578" s="56"/>
      <c r="F578" s="56"/>
      <c r="G578" s="56"/>
      <c r="H578" s="56"/>
      <c r="I578" s="56"/>
      <c r="J578" s="56"/>
      <c r="K578" s="56"/>
      <c r="L578" s="56"/>
      <c r="M578" s="56"/>
      <c r="N578" s="56"/>
      <c r="O578" s="56"/>
      <c r="P578" s="56"/>
      <c r="Q578" s="56"/>
      <c r="R578" s="56"/>
      <c r="S578" s="56"/>
      <c r="T578" s="56"/>
      <c r="U578" s="56"/>
      <c r="V578" s="56"/>
      <c r="W578" s="56"/>
      <c r="X578" s="56"/>
      <c r="Y578" s="56"/>
      <c r="Z578" s="56"/>
    </row>
    <row r="579" spans="1:26" ht="15.75" customHeight="1">
      <c r="A579" s="56"/>
      <c r="B579" s="56"/>
      <c r="C579" s="56"/>
      <c r="D579" s="56"/>
      <c r="E579" s="56"/>
      <c r="F579" s="56"/>
      <c r="G579" s="56"/>
      <c r="H579" s="56"/>
      <c r="I579" s="56"/>
      <c r="J579" s="56"/>
      <c r="K579" s="56"/>
      <c r="L579" s="56"/>
      <c r="M579" s="56"/>
      <c r="N579" s="56"/>
      <c r="O579" s="56"/>
      <c r="P579" s="56"/>
      <c r="Q579" s="56"/>
      <c r="R579" s="56"/>
      <c r="S579" s="56"/>
      <c r="T579" s="56"/>
      <c r="U579" s="56"/>
      <c r="V579" s="56"/>
      <c r="W579" s="56"/>
      <c r="X579" s="56"/>
      <c r="Y579" s="56"/>
      <c r="Z579" s="56"/>
    </row>
    <row r="580" spans="1:26" ht="15.75" customHeight="1">
      <c r="A580" s="56"/>
      <c r="B580" s="56"/>
      <c r="C580" s="56"/>
      <c r="D580" s="56"/>
      <c r="E580" s="56"/>
      <c r="F580" s="56"/>
      <c r="G580" s="56"/>
      <c r="H580" s="56"/>
      <c r="I580" s="56"/>
      <c r="J580" s="56"/>
      <c r="K580" s="56"/>
      <c r="L580" s="56"/>
      <c r="M580" s="56"/>
      <c r="N580" s="56"/>
      <c r="O580" s="56"/>
      <c r="P580" s="56"/>
      <c r="Q580" s="56"/>
      <c r="R580" s="56"/>
      <c r="S580" s="56"/>
      <c r="T580" s="56"/>
      <c r="U580" s="56"/>
      <c r="V580" s="56"/>
      <c r="W580" s="56"/>
      <c r="X580" s="56"/>
      <c r="Y580" s="56"/>
      <c r="Z580" s="56"/>
    </row>
    <row r="581" spans="1:26" ht="15.75" customHeight="1">
      <c r="A581" s="56"/>
      <c r="B581" s="56"/>
      <c r="C581" s="56"/>
      <c r="D581" s="56"/>
      <c r="E581" s="56"/>
      <c r="F581" s="56"/>
      <c r="G581" s="56"/>
      <c r="H581" s="56"/>
      <c r="I581" s="56"/>
      <c r="J581" s="56"/>
      <c r="K581" s="56"/>
      <c r="L581" s="56"/>
      <c r="M581" s="56"/>
      <c r="N581" s="56"/>
      <c r="O581" s="56"/>
      <c r="P581" s="56"/>
      <c r="Q581" s="56"/>
      <c r="R581" s="56"/>
      <c r="S581" s="56"/>
      <c r="T581" s="56"/>
      <c r="U581" s="56"/>
      <c r="V581" s="56"/>
      <c r="W581" s="56"/>
      <c r="X581" s="56"/>
      <c r="Y581" s="56"/>
      <c r="Z581" s="56"/>
    </row>
    <row r="582" spans="1:26" ht="15.75" customHeight="1">
      <c r="A582" s="56"/>
      <c r="B582" s="56"/>
      <c r="C582" s="56"/>
      <c r="D582" s="56"/>
      <c r="E582" s="56"/>
      <c r="F582" s="56"/>
      <c r="G582" s="56"/>
      <c r="H582" s="56"/>
      <c r="I582" s="56"/>
      <c r="J582" s="56"/>
      <c r="K582" s="56"/>
      <c r="L582" s="56"/>
      <c r="M582" s="56"/>
      <c r="N582" s="56"/>
      <c r="O582" s="56"/>
      <c r="P582" s="56"/>
      <c r="Q582" s="56"/>
      <c r="R582" s="56"/>
      <c r="S582" s="56"/>
      <c r="T582" s="56"/>
      <c r="U582" s="56"/>
      <c r="V582" s="56"/>
      <c r="W582" s="56"/>
      <c r="X582" s="56"/>
      <c r="Y582" s="56"/>
      <c r="Z582" s="56"/>
    </row>
    <row r="583" spans="1:26" ht="15.75" customHeight="1">
      <c r="A583" s="56"/>
      <c r="B583" s="56"/>
      <c r="C583" s="56"/>
      <c r="D583" s="56"/>
      <c r="E583" s="56"/>
      <c r="F583" s="56"/>
      <c r="G583" s="56"/>
      <c r="H583" s="56"/>
      <c r="I583" s="56"/>
      <c r="J583" s="56"/>
      <c r="K583" s="56"/>
      <c r="L583" s="56"/>
      <c r="M583" s="56"/>
      <c r="N583" s="56"/>
      <c r="O583" s="56"/>
      <c r="P583" s="56"/>
      <c r="Q583" s="56"/>
      <c r="R583" s="56"/>
      <c r="S583" s="56"/>
      <c r="T583" s="56"/>
      <c r="U583" s="56"/>
      <c r="V583" s="56"/>
      <c r="W583" s="56"/>
      <c r="X583" s="56"/>
      <c r="Y583" s="56"/>
      <c r="Z583" s="56"/>
    </row>
    <row r="584" spans="1:26" ht="15.75" customHeight="1">
      <c r="A584" s="56"/>
      <c r="B584" s="56"/>
      <c r="C584" s="56"/>
      <c r="D584" s="56"/>
      <c r="E584" s="56"/>
      <c r="F584" s="56"/>
      <c r="G584" s="56"/>
      <c r="H584" s="56"/>
      <c r="I584" s="56"/>
      <c r="J584" s="56"/>
      <c r="K584" s="56"/>
      <c r="L584" s="56"/>
      <c r="M584" s="56"/>
      <c r="N584" s="56"/>
      <c r="O584" s="56"/>
      <c r="P584" s="56"/>
      <c r="Q584" s="56"/>
      <c r="R584" s="56"/>
      <c r="S584" s="56"/>
      <c r="T584" s="56"/>
      <c r="U584" s="56"/>
      <c r="V584" s="56"/>
      <c r="W584" s="56"/>
      <c r="X584" s="56"/>
      <c r="Y584" s="56"/>
      <c r="Z584" s="56"/>
    </row>
    <row r="585" spans="1:26" ht="15.75" customHeight="1">
      <c r="A585" s="56"/>
      <c r="B585" s="56"/>
      <c r="C585" s="56"/>
      <c r="D585" s="56"/>
      <c r="E585" s="56"/>
      <c r="F585" s="56"/>
      <c r="G585" s="56"/>
      <c r="H585" s="56"/>
      <c r="I585" s="56"/>
      <c r="J585" s="56"/>
      <c r="K585" s="56"/>
      <c r="L585" s="56"/>
      <c r="M585" s="56"/>
      <c r="N585" s="56"/>
      <c r="O585" s="56"/>
      <c r="P585" s="56"/>
      <c r="Q585" s="56"/>
      <c r="R585" s="56"/>
      <c r="S585" s="56"/>
      <c r="T585" s="56"/>
      <c r="U585" s="56"/>
      <c r="V585" s="56"/>
      <c r="W585" s="56"/>
      <c r="X585" s="56"/>
      <c r="Y585" s="56"/>
      <c r="Z585" s="56"/>
    </row>
    <row r="586" spans="1:26" ht="15.75" customHeight="1">
      <c r="A586" s="56"/>
      <c r="B586" s="56"/>
      <c r="C586" s="56"/>
      <c r="D586" s="56"/>
      <c r="E586" s="56"/>
      <c r="F586" s="56"/>
      <c r="G586" s="56"/>
      <c r="H586" s="56"/>
      <c r="I586" s="56"/>
      <c r="J586" s="56"/>
      <c r="K586" s="56"/>
      <c r="L586" s="56"/>
      <c r="M586" s="56"/>
      <c r="N586" s="56"/>
      <c r="O586" s="56"/>
      <c r="P586" s="56"/>
      <c r="Q586" s="56"/>
      <c r="R586" s="56"/>
      <c r="S586" s="56"/>
      <c r="T586" s="56"/>
      <c r="U586" s="56"/>
      <c r="V586" s="56"/>
      <c r="W586" s="56"/>
      <c r="X586" s="56"/>
      <c r="Y586" s="56"/>
      <c r="Z586" s="56"/>
    </row>
    <row r="587" spans="1:26" ht="15.75" customHeight="1">
      <c r="A587" s="56"/>
      <c r="B587" s="56"/>
      <c r="C587" s="56"/>
      <c r="D587" s="56"/>
      <c r="E587" s="56"/>
      <c r="F587" s="56"/>
      <c r="G587" s="56"/>
      <c r="H587" s="56"/>
      <c r="I587" s="56"/>
      <c r="J587" s="56"/>
      <c r="K587" s="56"/>
      <c r="L587" s="56"/>
      <c r="M587" s="56"/>
      <c r="N587" s="56"/>
      <c r="O587" s="56"/>
      <c r="P587" s="56"/>
      <c r="Q587" s="56"/>
      <c r="R587" s="56"/>
      <c r="S587" s="56"/>
      <c r="T587" s="56"/>
      <c r="U587" s="56"/>
      <c r="V587" s="56"/>
      <c r="W587" s="56"/>
      <c r="X587" s="56"/>
      <c r="Y587" s="56"/>
      <c r="Z587" s="56"/>
    </row>
    <row r="588" spans="1:26" ht="15.75" customHeight="1">
      <c r="A588" s="56"/>
      <c r="B588" s="56"/>
      <c r="C588" s="56"/>
      <c r="D588" s="56"/>
      <c r="E588" s="56"/>
      <c r="F588" s="56"/>
      <c r="G588" s="56"/>
      <c r="H588" s="56"/>
      <c r="I588" s="56"/>
      <c r="J588" s="56"/>
      <c r="K588" s="56"/>
      <c r="L588" s="56"/>
      <c r="M588" s="56"/>
      <c r="N588" s="56"/>
      <c r="O588" s="56"/>
      <c r="P588" s="56"/>
      <c r="Q588" s="56"/>
      <c r="R588" s="56"/>
      <c r="S588" s="56"/>
      <c r="T588" s="56"/>
      <c r="U588" s="56"/>
      <c r="V588" s="56"/>
      <c r="W588" s="56"/>
      <c r="X588" s="56"/>
      <c r="Y588" s="56"/>
      <c r="Z588" s="56"/>
    </row>
    <row r="589" spans="1:26" ht="15.75" customHeight="1">
      <c r="A589" s="56"/>
      <c r="B589" s="56"/>
      <c r="C589" s="56"/>
      <c r="D589" s="56"/>
      <c r="E589" s="56"/>
      <c r="F589" s="56"/>
      <c r="G589" s="56"/>
      <c r="H589" s="56"/>
      <c r="I589" s="56"/>
      <c r="J589" s="56"/>
      <c r="K589" s="56"/>
      <c r="L589" s="56"/>
      <c r="M589" s="56"/>
      <c r="N589" s="56"/>
      <c r="O589" s="56"/>
      <c r="P589" s="56"/>
      <c r="Q589" s="56"/>
      <c r="R589" s="56"/>
      <c r="S589" s="56"/>
      <c r="T589" s="56"/>
      <c r="U589" s="56"/>
      <c r="V589" s="56"/>
      <c r="W589" s="56"/>
      <c r="X589" s="56"/>
      <c r="Y589" s="56"/>
      <c r="Z589" s="56"/>
    </row>
    <row r="590" spans="1:26" ht="15.75" customHeight="1">
      <c r="A590" s="56"/>
      <c r="B590" s="56"/>
      <c r="C590" s="56"/>
      <c r="D590" s="56"/>
      <c r="E590" s="56"/>
      <c r="F590" s="56"/>
      <c r="G590" s="56"/>
      <c r="H590" s="56"/>
      <c r="I590" s="56"/>
      <c r="J590" s="56"/>
      <c r="K590" s="56"/>
      <c r="L590" s="56"/>
      <c r="M590" s="56"/>
      <c r="N590" s="56"/>
      <c r="O590" s="56"/>
      <c r="P590" s="56"/>
      <c r="Q590" s="56"/>
      <c r="R590" s="56"/>
      <c r="S590" s="56"/>
      <c r="T590" s="56"/>
      <c r="U590" s="56"/>
      <c r="V590" s="56"/>
      <c r="W590" s="56"/>
      <c r="X590" s="56"/>
      <c r="Y590" s="56"/>
      <c r="Z590" s="56"/>
    </row>
    <row r="591" spans="1:26" ht="15.75" customHeight="1">
      <c r="A591" s="56"/>
      <c r="B591" s="56"/>
      <c r="C591" s="56"/>
      <c r="D591" s="56"/>
      <c r="E591" s="56"/>
      <c r="F591" s="56"/>
      <c r="G591" s="56"/>
      <c r="H591" s="56"/>
      <c r="I591" s="56"/>
      <c r="J591" s="56"/>
      <c r="K591" s="56"/>
      <c r="L591" s="56"/>
      <c r="M591" s="56"/>
      <c r="N591" s="56"/>
      <c r="O591" s="56"/>
      <c r="P591" s="56"/>
      <c r="Q591" s="56"/>
      <c r="R591" s="56"/>
      <c r="S591" s="56"/>
      <c r="T591" s="56"/>
      <c r="U591" s="56"/>
      <c r="V591" s="56"/>
      <c r="W591" s="56"/>
      <c r="X591" s="56"/>
      <c r="Y591" s="56"/>
      <c r="Z591" s="56"/>
    </row>
    <row r="592" spans="1:26" ht="15.75" customHeight="1">
      <c r="A592" s="56"/>
      <c r="B592" s="56"/>
      <c r="C592" s="56"/>
      <c r="D592" s="56"/>
      <c r="E592" s="56"/>
      <c r="F592" s="56"/>
      <c r="G592" s="56"/>
      <c r="H592" s="56"/>
      <c r="I592" s="56"/>
      <c r="J592" s="56"/>
      <c r="K592" s="56"/>
      <c r="L592" s="56"/>
      <c r="M592" s="56"/>
      <c r="N592" s="56"/>
      <c r="O592" s="56"/>
      <c r="P592" s="56"/>
      <c r="Q592" s="56"/>
      <c r="R592" s="56"/>
      <c r="S592" s="56"/>
      <c r="T592" s="56"/>
      <c r="U592" s="56"/>
      <c r="V592" s="56"/>
      <c r="W592" s="56"/>
      <c r="X592" s="56"/>
      <c r="Y592" s="56"/>
      <c r="Z592" s="56"/>
    </row>
    <row r="593" spans="1:26" ht="15.75" customHeight="1">
      <c r="A593" s="56"/>
      <c r="B593" s="56"/>
      <c r="C593" s="56"/>
      <c r="D593" s="56"/>
      <c r="E593" s="56"/>
      <c r="F593" s="56"/>
      <c r="G593" s="56"/>
      <c r="H593" s="56"/>
      <c r="I593" s="56"/>
      <c r="J593" s="56"/>
      <c r="K593" s="56"/>
      <c r="L593" s="56"/>
      <c r="M593" s="56"/>
      <c r="N593" s="56"/>
      <c r="O593" s="56"/>
      <c r="P593" s="56"/>
      <c r="Q593" s="56"/>
      <c r="R593" s="56"/>
      <c r="S593" s="56"/>
      <c r="T593" s="56"/>
      <c r="U593" s="56"/>
      <c r="V593" s="56"/>
      <c r="W593" s="56"/>
      <c r="X593" s="56"/>
      <c r="Y593" s="56"/>
      <c r="Z593" s="56"/>
    </row>
    <row r="594" spans="1:26" ht="15.75" customHeight="1">
      <c r="A594" s="56"/>
      <c r="B594" s="56"/>
      <c r="C594" s="56"/>
      <c r="D594" s="56"/>
      <c r="E594" s="56"/>
      <c r="F594" s="56"/>
      <c r="G594" s="56"/>
      <c r="H594" s="56"/>
      <c r="I594" s="56"/>
      <c r="J594" s="56"/>
      <c r="K594" s="56"/>
      <c r="L594" s="56"/>
      <c r="M594" s="56"/>
      <c r="N594" s="56"/>
      <c r="O594" s="56"/>
      <c r="P594" s="56"/>
      <c r="Q594" s="56"/>
      <c r="R594" s="56"/>
      <c r="S594" s="56"/>
      <c r="T594" s="56"/>
      <c r="U594" s="56"/>
      <c r="V594" s="56"/>
      <c r="W594" s="56"/>
      <c r="X594" s="56"/>
      <c r="Y594" s="56"/>
      <c r="Z594" s="56"/>
    </row>
    <row r="595" spans="1:26" ht="15.75" customHeight="1">
      <c r="A595" s="56"/>
      <c r="B595" s="56"/>
      <c r="C595" s="56"/>
      <c r="D595" s="56"/>
      <c r="E595" s="56"/>
      <c r="F595" s="56"/>
      <c r="G595" s="56"/>
      <c r="H595" s="56"/>
      <c r="I595" s="56"/>
      <c r="J595" s="56"/>
      <c r="K595" s="56"/>
      <c r="L595" s="56"/>
      <c r="M595" s="56"/>
      <c r="N595" s="56"/>
      <c r="O595" s="56"/>
      <c r="P595" s="56"/>
      <c r="Q595" s="56"/>
      <c r="R595" s="56"/>
      <c r="S595" s="56"/>
      <c r="T595" s="56"/>
      <c r="U595" s="56"/>
      <c r="V595" s="56"/>
      <c r="W595" s="56"/>
      <c r="X595" s="56"/>
      <c r="Y595" s="56"/>
      <c r="Z595" s="56"/>
    </row>
    <row r="596" spans="1:26" ht="15.75" customHeight="1">
      <c r="A596" s="56"/>
      <c r="B596" s="56"/>
      <c r="C596" s="56"/>
      <c r="D596" s="56"/>
      <c r="E596" s="56"/>
      <c r="F596" s="56"/>
      <c r="G596" s="56"/>
      <c r="H596" s="56"/>
      <c r="I596" s="56"/>
      <c r="J596" s="56"/>
      <c r="K596" s="56"/>
      <c r="L596" s="56"/>
      <c r="M596" s="56"/>
      <c r="N596" s="56"/>
      <c r="O596" s="56"/>
      <c r="P596" s="56"/>
      <c r="Q596" s="56"/>
      <c r="R596" s="56"/>
      <c r="S596" s="56"/>
      <c r="T596" s="56"/>
      <c r="U596" s="56"/>
      <c r="V596" s="56"/>
      <c r="W596" s="56"/>
      <c r="X596" s="56"/>
      <c r="Y596" s="56"/>
      <c r="Z596" s="56"/>
    </row>
    <row r="597" spans="1:26" ht="15.75" customHeight="1">
      <c r="A597" s="56"/>
      <c r="B597" s="56"/>
      <c r="C597" s="56"/>
      <c r="D597" s="56"/>
      <c r="E597" s="56"/>
      <c r="F597" s="56"/>
      <c r="G597" s="56"/>
      <c r="H597" s="56"/>
      <c r="I597" s="56"/>
      <c r="J597" s="56"/>
      <c r="K597" s="56"/>
      <c r="L597" s="56"/>
      <c r="M597" s="56"/>
      <c r="N597" s="56"/>
      <c r="O597" s="56"/>
      <c r="P597" s="56"/>
      <c r="Q597" s="56"/>
      <c r="R597" s="56"/>
      <c r="S597" s="56"/>
      <c r="T597" s="56"/>
      <c r="U597" s="56"/>
      <c r="V597" s="56"/>
      <c r="W597" s="56"/>
      <c r="X597" s="56"/>
      <c r="Y597" s="56"/>
      <c r="Z597" s="56"/>
    </row>
    <row r="598" spans="1:26" ht="15.75" customHeight="1">
      <c r="A598" s="56"/>
      <c r="B598" s="56"/>
      <c r="C598" s="56"/>
      <c r="D598" s="56"/>
      <c r="E598" s="56"/>
      <c r="F598" s="56"/>
      <c r="G598" s="56"/>
      <c r="H598" s="56"/>
      <c r="I598" s="56"/>
      <c r="J598" s="56"/>
      <c r="K598" s="56"/>
      <c r="L598" s="56"/>
      <c r="M598" s="56"/>
      <c r="N598" s="56"/>
      <c r="O598" s="56"/>
      <c r="P598" s="56"/>
      <c r="Q598" s="56"/>
      <c r="R598" s="56"/>
      <c r="S598" s="56"/>
      <c r="T598" s="56"/>
      <c r="U598" s="56"/>
      <c r="V598" s="56"/>
      <c r="W598" s="56"/>
      <c r="X598" s="56"/>
      <c r="Y598" s="56"/>
      <c r="Z598" s="56"/>
    </row>
    <row r="599" spans="1:26" ht="15.75" customHeight="1">
      <c r="A599" s="56"/>
      <c r="B599" s="56"/>
      <c r="C599" s="56"/>
      <c r="D599" s="56"/>
      <c r="E599" s="56"/>
      <c r="F599" s="56"/>
      <c r="G599" s="56"/>
      <c r="H599" s="56"/>
      <c r="I599" s="56"/>
      <c r="J599" s="56"/>
      <c r="K599" s="56"/>
      <c r="L599" s="56"/>
      <c r="M599" s="56"/>
      <c r="N599" s="56"/>
      <c r="O599" s="56"/>
      <c r="P599" s="56"/>
      <c r="Q599" s="56"/>
      <c r="R599" s="56"/>
      <c r="S599" s="56"/>
      <c r="T599" s="56"/>
      <c r="U599" s="56"/>
      <c r="V599" s="56"/>
      <c r="W599" s="56"/>
      <c r="X599" s="56"/>
      <c r="Y599" s="56"/>
      <c r="Z599" s="56"/>
    </row>
    <row r="600" spans="1:26" ht="15.75" customHeight="1">
      <c r="A600" s="56"/>
      <c r="B600" s="56"/>
      <c r="C600" s="56"/>
      <c r="D600" s="56"/>
      <c r="E600" s="56"/>
      <c r="F600" s="56"/>
      <c r="G600" s="56"/>
      <c r="H600" s="56"/>
      <c r="I600" s="56"/>
      <c r="J600" s="56"/>
      <c r="K600" s="56"/>
      <c r="L600" s="56"/>
      <c r="M600" s="56"/>
      <c r="N600" s="56"/>
      <c r="O600" s="56"/>
      <c r="P600" s="56"/>
      <c r="Q600" s="56"/>
      <c r="R600" s="56"/>
      <c r="S600" s="56"/>
      <c r="T600" s="56"/>
      <c r="U600" s="56"/>
      <c r="V600" s="56"/>
      <c r="W600" s="56"/>
      <c r="X600" s="56"/>
      <c r="Y600" s="56"/>
      <c r="Z600" s="56"/>
    </row>
    <row r="601" spans="1:26" ht="15.75" customHeight="1">
      <c r="A601" s="56"/>
      <c r="B601" s="56"/>
      <c r="C601" s="56"/>
      <c r="D601" s="56"/>
      <c r="E601" s="56"/>
      <c r="F601" s="56"/>
      <c r="G601" s="56"/>
      <c r="H601" s="56"/>
      <c r="I601" s="56"/>
      <c r="J601" s="56"/>
      <c r="K601" s="56"/>
      <c r="L601" s="56"/>
      <c r="M601" s="56"/>
      <c r="N601" s="56"/>
      <c r="O601" s="56"/>
      <c r="P601" s="56"/>
      <c r="Q601" s="56"/>
      <c r="R601" s="56"/>
      <c r="S601" s="56"/>
      <c r="T601" s="56"/>
      <c r="U601" s="56"/>
      <c r="V601" s="56"/>
      <c r="W601" s="56"/>
      <c r="X601" s="56"/>
      <c r="Y601" s="56"/>
      <c r="Z601" s="56"/>
    </row>
    <row r="602" spans="1:26" ht="15.75" customHeight="1">
      <c r="A602" s="56"/>
      <c r="B602" s="56"/>
      <c r="C602" s="56"/>
      <c r="D602" s="56"/>
      <c r="E602" s="56"/>
      <c r="F602" s="56"/>
      <c r="G602" s="56"/>
      <c r="H602" s="56"/>
      <c r="I602" s="56"/>
      <c r="J602" s="56"/>
      <c r="K602" s="56"/>
      <c r="L602" s="56"/>
      <c r="M602" s="56"/>
      <c r="N602" s="56"/>
      <c r="O602" s="56"/>
      <c r="P602" s="56"/>
      <c r="Q602" s="56"/>
      <c r="R602" s="56"/>
      <c r="S602" s="56"/>
      <c r="T602" s="56"/>
      <c r="U602" s="56"/>
      <c r="V602" s="56"/>
      <c r="W602" s="56"/>
      <c r="X602" s="56"/>
      <c r="Y602" s="56"/>
      <c r="Z602" s="56"/>
    </row>
    <row r="603" spans="1:26" ht="15.75" customHeight="1">
      <c r="A603" s="56"/>
      <c r="B603" s="56"/>
      <c r="C603" s="56"/>
      <c r="D603" s="56"/>
      <c r="E603" s="56"/>
      <c r="F603" s="56"/>
      <c r="G603" s="56"/>
      <c r="H603" s="56"/>
      <c r="I603" s="56"/>
      <c r="J603" s="56"/>
      <c r="K603" s="56"/>
      <c r="L603" s="56"/>
      <c r="M603" s="56"/>
      <c r="N603" s="56"/>
      <c r="O603" s="56"/>
      <c r="P603" s="56"/>
      <c r="Q603" s="56"/>
      <c r="R603" s="56"/>
      <c r="S603" s="56"/>
      <c r="T603" s="56"/>
      <c r="U603" s="56"/>
      <c r="V603" s="56"/>
      <c r="W603" s="56"/>
      <c r="X603" s="56"/>
      <c r="Y603" s="56"/>
      <c r="Z603" s="56"/>
    </row>
    <row r="604" spans="1:26" ht="15.75" customHeight="1">
      <c r="A604" s="56"/>
      <c r="B604" s="56"/>
      <c r="C604" s="56"/>
      <c r="D604" s="56"/>
      <c r="E604" s="56"/>
      <c r="F604" s="56"/>
      <c r="G604" s="56"/>
      <c r="H604" s="56"/>
      <c r="I604" s="56"/>
      <c r="J604" s="56"/>
      <c r="K604" s="56"/>
      <c r="L604" s="56"/>
      <c r="M604" s="56"/>
      <c r="N604" s="56"/>
      <c r="O604" s="56"/>
      <c r="P604" s="56"/>
      <c r="Q604" s="56"/>
      <c r="R604" s="56"/>
      <c r="S604" s="56"/>
      <c r="T604" s="56"/>
      <c r="U604" s="56"/>
      <c r="V604" s="56"/>
      <c r="W604" s="56"/>
      <c r="X604" s="56"/>
      <c r="Y604" s="56"/>
      <c r="Z604" s="56"/>
    </row>
    <row r="605" spans="1:26" ht="15.75" customHeight="1">
      <c r="A605" s="56"/>
      <c r="B605" s="56"/>
      <c r="C605" s="56"/>
      <c r="D605" s="56"/>
      <c r="E605" s="56"/>
      <c r="F605" s="56"/>
      <c r="G605" s="56"/>
      <c r="H605" s="56"/>
      <c r="I605" s="56"/>
      <c r="J605" s="56"/>
      <c r="K605" s="56"/>
      <c r="L605" s="56"/>
      <c r="M605" s="56"/>
      <c r="N605" s="56"/>
      <c r="O605" s="56"/>
      <c r="P605" s="56"/>
      <c r="Q605" s="56"/>
      <c r="R605" s="56"/>
      <c r="S605" s="56"/>
      <c r="T605" s="56"/>
      <c r="U605" s="56"/>
      <c r="V605" s="56"/>
      <c r="W605" s="56"/>
      <c r="X605" s="56"/>
      <c r="Y605" s="56"/>
      <c r="Z605" s="56"/>
    </row>
    <row r="606" spans="1:26" ht="15.75" customHeight="1">
      <c r="A606" s="56"/>
      <c r="B606" s="56"/>
      <c r="C606" s="56"/>
      <c r="D606" s="56"/>
      <c r="E606" s="56"/>
      <c r="F606" s="56"/>
      <c r="G606" s="56"/>
      <c r="H606" s="56"/>
      <c r="I606" s="56"/>
      <c r="J606" s="56"/>
      <c r="K606" s="56"/>
      <c r="L606" s="56"/>
      <c r="M606" s="56"/>
      <c r="N606" s="56"/>
      <c r="O606" s="56"/>
      <c r="P606" s="56"/>
      <c r="Q606" s="56"/>
      <c r="R606" s="56"/>
      <c r="S606" s="56"/>
      <c r="T606" s="56"/>
      <c r="U606" s="56"/>
      <c r="V606" s="56"/>
      <c r="W606" s="56"/>
      <c r="X606" s="56"/>
      <c r="Y606" s="56"/>
      <c r="Z606" s="56"/>
    </row>
    <row r="607" spans="1:26" ht="15.75" customHeight="1">
      <c r="A607" s="56"/>
      <c r="B607" s="56"/>
      <c r="C607" s="56"/>
      <c r="D607" s="56"/>
      <c r="E607" s="56"/>
      <c r="F607" s="56"/>
      <c r="G607" s="56"/>
      <c r="H607" s="56"/>
      <c r="I607" s="56"/>
      <c r="J607" s="56"/>
      <c r="K607" s="56"/>
      <c r="L607" s="56"/>
      <c r="M607" s="56"/>
      <c r="N607" s="56"/>
      <c r="O607" s="56"/>
      <c r="P607" s="56"/>
      <c r="Q607" s="56"/>
      <c r="R607" s="56"/>
      <c r="S607" s="56"/>
      <c r="T607" s="56"/>
      <c r="U607" s="56"/>
      <c r="V607" s="56"/>
      <c r="W607" s="56"/>
      <c r="X607" s="56"/>
      <c r="Y607" s="56"/>
      <c r="Z607" s="56"/>
    </row>
    <row r="608" spans="1:26" ht="15.75" customHeight="1">
      <c r="A608" s="56"/>
      <c r="B608" s="56"/>
      <c r="C608" s="56"/>
      <c r="D608" s="56"/>
      <c r="E608" s="56"/>
      <c r="F608" s="56"/>
      <c r="G608" s="56"/>
      <c r="H608" s="56"/>
      <c r="I608" s="56"/>
      <c r="J608" s="56"/>
      <c r="K608" s="56"/>
      <c r="L608" s="56"/>
      <c r="M608" s="56"/>
      <c r="N608" s="56"/>
      <c r="O608" s="56"/>
      <c r="P608" s="56"/>
      <c r="Q608" s="56"/>
      <c r="R608" s="56"/>
      <c r="S608" s="56"/>
      <c r="T608" s="56"/>
      <c r="U608" s="56"/>
      <c r="V608" s="56"/>
      <c r="W608" s="56"/>
      <c r="X608" s="56"/>
      <c r="Y608" s="56"/>
      <c r="Z608" s="56"/>
    </row>
    <row r="609" spans="1:26" ht="15.75" customHeight="1">
      <c r="A609" s="56"/>
      <c r="B609" s="56"/>
      <c r="C609" s="56"/>
      <c r="D609" s="56"/>
      <c r="E609" s="56"/>
      <c r="F609" s="56"/>
      <c r="G609" s="56"/>
      <c r="H609" s="56"/>
      <c r="I609" s="56"/>
      <c r="J609" s="56"/>
      <c r="K609" s="56"/>
      <c r="L609" s="56"/>
      <c r="M609" s="56"/>
      <c r="N609" s="56"/>
      <c r="O609" s="56"/>
      <c r="P609" s="56"/>
      <c r="Q609" s="56"/>
      <c r="R609" s="56"/>
      <c r="S609" s="56"/>
      <c r="T609" s="56"/>
      <c r="U609" s="56"/>
      <c r="V609" s="56"/>
      <c r="W609" s="56"/>
      <c r="X609" s="56"/>
      <c r="Y609" s="56"/>
      <c r="Z609" s="56"/>
    </row>
    <row r="610" spans="1:26" ht="15.75" customHeight="1">
      <c r="A610" s="56"/>
      <c r="B610" s="56"/>
      <c r="C610" s="56"/>
      <c r="D610" s="56"/>
      <c r="E610" s="56"/>
      <c r="F610" s="56"/>
      <c r="G610" s="56"/>
      <c r="H610" s="56"/>
      <c r="I610" s="56"/>
      <c r="J610" s="56"/>
      <c r="K610" s="56"/>
      <c r="L610" s="56"/>
      <c r="M610" s="56"/>
      <c r="N610" s="56"/>
      <c r="O610" s="56"/>
      <c r="P610" s="56"/>
      <c r="Q610" s="56"/>
      <c r="R610" s="56"/>
      <c r="S610" s="56"/>
      <c r="T610" s="56"/>
      <c r="U610" s="56"/>
      <c r="V610" s="56"/>
      <c r="W610" s="56"/>
      <c r="X610" s="56"/>
      <c r="Y610" s="56"/>
      <c r="Z610" s="56"/>
    </row>
    <row r="611" spans="1:26" ht="15.75" customHeight="1">
      <c r="A611" s="56"/>
      <c r="B611" s="56"/>
      <c r="C611" s="56"/>
      <c r="D611" s="56"/>
      <c r="E611" s="56"/>
      <c r="F611" s="56"/>
      <c r="G611" s="56"/>
      <c r="H611" s="56"/>
      <c r="I611" s="56"/>
      <c r="J611" s="56"/>
      <c r="K611" s="56"/>
      <c r="L611" s="56"/>
      <c r="M611" s="56"/>
      <c r="N611" s="56"/>
      <c r="O611" s="56"/>
      <c r="P611" s="56"/>
      <c r="Q611" s="56"/>
      <c r="R611" s="56"/>
      <c r="S611" s="56"/>
      <c r="T611" s="56"/>
      <c r="U611" s="56"/>
      <c r="V611" s="56"/>
      <c r="W611" s="56"/>
      <c r="X611" s="56"/>
      <c r="Y611" s="56"/>
      <c r="Z611" s="56"/>
    </row>
    <row r="612" spans="1:26" ht="15.75" customHeight="1">
      <c r="A612" s="56"/>
      <c r="B612" s="56"/>
      <c r="C612" s="56"/>
      <c r="D612" s="56"/>
      <c r="E612" s="56"/>
      <c r="F612" s="56"/>
      <c r="G612" s="56"/>
      <c r="H612" s="56"/>
      <c r="I612" s="56"/>
      <c r="J612" s="56"/>
      <c r="K612" s="56"/>
      <c r="L612" s="56"/>
      <c r="M612" s="56"/>
      <c r="N612" s="56"/>
      <c r="O612" s="56"/>
      <c r="P612" s="56"/>
      <c r="Q612" s="56"/>
      <c r="R612" s="56"/>
      <c r="S612" s="56"/>
      <c r="T612" s="56"/>
      <c r="U612" s="56"/>
      <c r="V612" s="56"/>
      <c r="W612" s="56"/>
      <c r="X612" s="56"/>
      <c r="Y612" s="56"/>
      <c r="Z612" s="56"/>
    </row>
    <row r="613" spans="1:26" ht="15.75" customHeight="1">
      <c r="A613" s="56"/>
      <c r="B613" s="56"/>
      <c r="C613" s="56"/>
      <c r="D613" s="56"/>
      <c r="E613" s="56"/>
      <c r="F613" s="56"/>
      <c r="G613" s="56"/>
      <c r="H613" s="56"/>
      <c r="I613" s="56"/>
      <c r="J613" s="56"/>
      <c r="K613" s="56"/>
      <c r="L613" s="56"/>
      <c r="M613" s="56"/>
      <c r="N613" s="56"/>
      <c r="O613" s="56"/>
      <c r="P613" s="56"/>
      <c r="Q613" s="56"/>
      <c r="R613" s="56"/>
      <c r="S613" s="56"/>
      <c r="T613" s="56"/>
      <c r="U613" s="56"/>
      <c r="V613" s="56"/>
      <c r="W613" s="56"/>
      <c r="X613" s="56"/>
      <c r="Y613" s="56"/>
      <c r="Z613" s="56"/>
    </row>
    <row r="614" spans="1:26" ht="15.75" customHeight="1">
      <c r="A614" s="56"/>
      <c r="B614" s="56"/>
      <c r="C614" s="56"/>
      <c r="D614" s="56"/>
      <c r="E614" s="56"/>
      <c r="F614" s="56"/>
      <c r="G614" s="56"/>
      <c r="H614" s="56"/>
      <c r="I614" s="56"/>
      <c r="J614" s="56"/>
      <c r="K614" s="56"/>
      <c r="L614" s="56"/>
      <c r="M614" s="56"/>
      <c r="N614" s="56"/>
      <c r="O614" s="56"/>
      <c r="P614" s="56"/>
      <c r="Q614" s="56"/>
      <c r="R614" s="56"/>
      <c r="S614" s="56"/>
      <c r="T614" s="56"/>
      <c r="U614" s="56"/>
      <c r="V614" s="56"/>
      <c r="W614" s="56"/>
      <c r="X614" s="56"/>
      <c r="Y614" s="56"/>
      <c r="Z614" s="56"/>
    </row>
    <row r="615" spans="1:26" ht="15.75" customHeight="1">
      <c r="A615" s="56"/>
      <c r="B615" s="56"/>
      <c r="C615" s="56"/>
      <c r="D615" s="56"/>
      <c r="E615" s="56"/>
      <c r="F615" s="56"/>
      <c r="G615" s="56"/>
      <c r="H615" s="56"/>
      <c r="I615" s="56"/>
      <c r="J615" s="56"/>
      <c r="K615" s="56"/>
      <c r="L615" s="56"/>
      <c r="M615" s="56"/>
      <c r="N615" s="56"/>
      <c r="O615" s="56"/>
      <c r="P615" s="56"/>
      <c r="Q615" s="56"/>
      <c r="R615" s="56"/>
      <c r="S615" s="56"/>
      <c r="T615" s="56"/>
      <c r="U615" s="56"/>
      <c r="V615" s="56"/>
      <c r="W615" s="56"/>
      <c r="X615" s="56"/>
      <c r="Y615" s="56"/>
      <c r="Z615" s="56"/>
    </row>
    <row r="616" spans="1:26" ht="15.75" customHeight="1">
      <c r="A616" s="56"/>
      <c r="B616" s="56"/>
      <c r="C616" s="56"/>
      <c r="D616" s="56"/>
      <c r="E616" s="56"/>
      <c r="F616" s="56"/>
      <c r="G616" s="56"/>
      <c r="H616" s="56"/>
      <c r="I616" s="56"/>
      <c r="J616" s="56"/>
      <c r="K616" s="56"/>
      <c r="L616" s="56"/>
      <c r="M616" s="56"/>
      <c r="N616" s="56"/>
      <c r="O616" s="56"/>
      <c r="P616" s="56"/>
      <c r="Q616" s="56"/>
      <c r="R616" s="56"/>
      <c r="S616" s="56"/>
      <c r="T616" s="56"/>
      <c r="U616" s="56"/>
      <c r="V616" s="56"/>
      <c r="W616" s="56"/>
      <c r="X616" s="56"/>
      <c r="Y616" s="56"/>
      <c r="Z616" s="56"/>
    </row>
    <row r="617" spans="1:26" ht="15.75" customHeight="1">
      <c r="A617" s="56"/>
      <c r="B617" s="56"/>
      <c r="C617" s="56"/>
      <c r="D617" s="56"/>
      <c r="E617" s="56"/>
      <c r="F617" s="56"/>
      <c r="G617" s="56"/>
      <c r="H617" s="56"/>
      <c r="I617" s="56"/>
      <c r="J617" s="56"/>
      <c r="K617" s="56"/>
      <c r="L617" s="56"/>
      <c r="M617" s="56"/>
      <c r="N617" s="56"/>
      <c r="O617" s="56"/>
      <c r="P617" s="56"/>
      <c r="Q617" s="56"/>
      <c r="R617" s="56"/>
      <c r="S617" s="56"/>
      <c r="T617" s="56"/>
      <c r="U617" s="56"/>
      <c r="V617" s="56"/>
      <c r="W617" s="56"/>
      <c r="X617" s="56"/>
      <c r="Y617" s="56"/>
      <c r="Z617" s="56"/>
    </row>
    <row r="618" spans="1:26" ht="15.75" customHeight="1">
      <c r="A618" s="56"/>
      <c r="B618" s="56"/>
      <c r="C618" s="56"/>
      <c r="D618" s="56"/>
      <c r="E618" s="56"/>
      <c r="F618" s="56"/>
      <c r="G618" s="56"/>
      <c r="H618" s="56"/>
      <c r="I618" s="56"/>
      <c r="J618" s="56"/>
      <c r="K618" s="56"/>
      <c r="L618" s="56"/>
      <c r="M618" s="56"/>
      <c r="N618" s="56"/>
      <c r="O618" s="56"/>
      <c r="P618" s="56"/>
      <c r="Q618" s="56"/>
      <c r="R618" s="56"/>
      <c r="S618" s="56"/>
      <c r="T618" s="56"/>
      <c r="U618" s="56"/>
      <c r="V618" s="56"/>
      <c r="W618" s="56"/>
      <c r="X618" s="56"/>
      <c r="Y618" s="56"/>
      <c r="Z618" s="56"/>
    </row>
    <row r="619" spans="1:26" ht="15.75" customHeight="1">
      <c r="A619" s="56"/>
      <c r="B619" s="56"/>
      <c r="C619" s="56"/>
      <c r="D619" s="56"/>
      <c r="E619" s="56"/>
      <c r="F619" s="56"/>
      <c r="G619" s="56"/>
      <c r="H619" s="56"/>
      <c r="I619" s="56"/>
      <c r="J619" s="56"/>
      <c r="K619" s="56"/>
      <c r="L619" s="56"/>
      <c r="M619" s="56"/>
      <c r="N619" s="56"/>
      <c r="O619" s="56"/>
      <c r="P619" s="56"/>
      <c r="Q619" s="56"/>
      <c r="R619" s="56"/>
      <c r="S619" s="56"/>
      <c r="T619" s="56"/>
      <c r="U619" s="56"/>
      <c r="V619" s="56"/>
      <c r="W619" s="56"/>
      <c r="X619" s="56"/>
      <c r="Y619" s="56"/>
      <c r="Z619" s="56"/>
    </row>
    <row r="620" spans="1:26" ht="15.75" customHeight="1">
      <c r="A620" s="56"/>
      <c r="B620" s="56"/>
      <c r="C620" s="56"/>
      <c r="D620" s="56"/>
      <c r="E620" s="56"/>
      <c r="F620" s="56"/>
      <c r="G620" s="56"/>
      <c r="H620" s="56"/>
      <c r="I620" s="56"/>
      <c r="J620" s="56"/>
      <c r="K620" s="56"/>
      <c r="L620" s="56"/>
      <c r="M620" s="56"/>
      <c r="N620" s="56"/>
      <c r="O620" s="56"/>
      <c r="P620" s="56"/>
      <c r="Q620" s="56"/>
      <c r="R620" s="56"/>
      <c r="S620" s="56"/>
      <c r="T620" s="56"/>
      <c r="U620" s="56"/>
      <c r="V620" s="56"/>
      <c r="W620" s="56"/>
      <c r="X620" s="56"/>
      <c r="Y620" s="56"/>
      <c r="Z620" s="56"/>
    </row>
    <row r="621" spans="1:26" ht="15.75" customHeight="1">
      <c r="A621" s="56"/>
      <c r="B621" s="56"/>
      <c r="C621" s="56"/>
      <c r="D621" s="56"/>
      <c r="E621" s="56"/>
      <c r="F621" s="56"/>
      <c r="G621" s="56"/>
      <c r="H621" s="56"/>
      <c r="I621" s="56"/>
      <c r="J621" s="56"/>
      <c r="K621" s="56"/>
      <c r="L621" s="56"/>
      <c r="M621" s="56"/>
      <c r="N621" s="56"/>
      <c r="O621" s="56"/>
      <c r="P621" s="56"/>
      <c r="Q621" s="56"/>
      <c r="R621" s="56"/>
      <c r="S621" s="56"/>
      <c r="T621" s="56"/>
      <c r="U621" s="56"/>
      <c r="V621" s="56"/>
      <c r="W621" s="56"/>
      <c r="X621" s="56"/>
      <c r="Y621" s="56"/>
      <c r="Z621" s="56"/>
    </row>
    <row r="622" spans="1:26" ht="15.75" customHeight="1">
      <c r="A622" s="56"/>
      <c r="B622" s="56"/>
      <c r="C622" s="56"/>
      <c r="D622" s="56"/>
      <c r="E622" s="56"/>
      <c r="F622" s="56"/>
      <c r="G622" s="56"/>
      <c r="H622" s="56"/>
      <c r="I622" s="56"/>
      <c r="J622" s="56"/>
      <c r="K622" s="56"/>
      <c r="L622" s="56"/>
      <c r="M622" s="56"/>
      <c r="N622" s="56"/>
      <c r="O622" s="56"/>
      <c r="P622" s="56"/>
      <c r="Q622" s="56"/>
      <c r="R622" s="56"/>
      <c r="S622" s="56"/>
      <c r="T622" s="56"/>
      <c r="U622" s="56"/>
      <c r="V622" s="56"/>
      <c r="W622" s="56"/>
      <c r="X622" s="56"/>
      <c r="Y622" s="56"/>
      <c r="Z622" s="56"/>
    </row>
    <row r="623" spans="1:26" ht="15.75" customHeight="1">
      <c r="A623" s="56"/>
      <c r="B623" s="56"/>
      <c r="C623" s="56"/>
      <c r="D623" s="56"/>
      <c r="E623" s="56"/>
      <c r="F623" s="56"/>
      <c r="G623" s="56"/>
      <c r="H623" s="56"/>
      <c r="I623" s="56"/>
      <c r="J623" s="56"/>
      <c r="K623" s="56"/>
      <c r="L623" s="56"/>
      <c r="M623" s="56"/>
      <c r="N623" s="56"/>
      <c r="O623" s="56"/>
      <c r="P623" s="56"/>
      <c r="Q623" s="56"/>
      <c r="R623" s="56"/>
      <c r="S623" s="56"/>
      <c r="T623" s="56"/>
      <c r="U623" s="56"/>
      <c r="V623" s="56"/>
      <c r="W623" s="56"/>
      <c r="X623" s="56"/>
      <c r="Y623" s="56"/>
      <c r="Z623" s="56"/>
    </row>
    <row r="624" spans="1:26" ht="15.75" customHeight="1">
      <c r="A624" s="56"/>
      <c r="B624" s="56"/>
      <c r="C624" s="56"/>
      <c r="D624" s="56"/>
      <c r="E624" s="56"/>
      <c r="F624" s="56"/>
      <c r="G624" s="56"/>
      <c r="H624" s="56"/>
      <c r="I624" s="56"/>
      <c r="J624" s="56"/>
      <c r="K624" s="56"/>
      <c r="L624" s="56"/>
      <c r="M624" s="56"/>
      <c r="N624" s="56"/>
      <c r="O624" s="56"/>
      <c r="P624" s="56"/>
      <c r="Q624" s="56"/>
      <c r="R624" s="56"/>
      <c r="S624" s="56"/>
      <c r="T624" s="56"/>
      <c r="U624" s="56"/>
      <c r="V624" s="56"/>
      <c r="W624" s="56"/>
      <c r="X624" s="56"/>
      <c r="Y624" s="56"/>
      <c r="Z624" s="56"/>
    </row>
    <row r="625" spans="1:26" ht="15.75" customHeight="1">
      <c r="A625" s="56"/>
      <c r="B625" s="56"/>
      <c r="C625" s="56"/>
      <c r="D625" s="56"/>
      <c r="E625" s="56"/>
      <c r="F625" s="56"/>
      <c r="G625" s="56"/>
      <c r="H625" s="56"/>
      <c r="I625" s="56"/>
      <c r="J625" s="56"/>
      <c r="K625" s="56"/>
      <c r="L625" s="56"/>
      <c r="M625" s="56"/>
      <c r="N625" s="56"/>
      <c r="O625" s="56"/>
      <c r="P625" s="56"/>
      <c r="Q625" s="56"/>
      <c r="R625" s="56"/>
      <c r="S625" s="56"/>
      <c r="T625" s="56"/>
      <c r="U625" s="56"/>
      <c r="V625" s="56"/>
      <c r="W625" s="56"/>
      <c r="X625" s="56"/>
      <c r="Y625" s="56"/>
      <c r="Z625" s="56"/>
    </row>
    <row r="626" spans="1:26" ht="15.75" customHeight="1">
      <c r="A626" s="56"/>
      <c r="B626" s="56"/>
      <c r="C626" s="56"/>
      <c r="D626" s="56"/>
      <c r="E626" s="56"/>
      <c r="F626" s="56"/>
      <c r="G626" s="56"/>
      <c r="H626" s="56"/>
      <c r="I626" s="56"/>
      <c r="J626" s="56"/>
      <c r="K626" s="56"/>
      <c r="L626" s="56"/>
      <c r="M626" s="56"/>
      <c r="N626" s="56"/>
      <c r="O626" s="56"/>
      <c r="P626" s="56"/>
      <c r="Q626" s="56"/>
      <c r="R626" s="56"/>
      <c r="S626" s="56"/>
      <c r="T626" s="56"/>
      <c r="U626" s="56"/>
      <c r="V626" s="56"/>
      <c r="W626" s="56"/>
      <c r="X626" s="56"/>
      <c r="Y626" s="56"/>
      <c r="Z626" s="56"/>
    </row>
    <row r="627" spans="1:26" ht="15.75" customHeight="1">
      <c r="A627" s="56"/>
      <c r="B627" s="56"/>
      <c r="C627" s="56"/>
      <c r="D627" s="56"/>
      <c r="E627" s="56"/>
      <c r="F627" s="56"/>
      <c r="G627" s="56"/>
      <c r="H627" s="56"/>
      <c r="I627" s="56"/>
      <c r="J627" s="56"/>
      <c r="K627" s="56"/>
      <c r="L627" s="56"/>
      <c r="M627" s="56"/>
      <c r="N627" s="56"/>
      <c r="O627" s="56"/>
      <c r="P627" s="56"/>
      <c r="Q627" s="56"/>
      <c r="R627" s="56"/>
      <c r="S627" s="56"/>
      <c r="T627" s="56"/>
      <c r="U627" s="56"/>
      <c r="V627" s="56"/>
      <c r="W627" s="56"/>
      <c r="X627" s="56"/>
      <c r="Y627" s="56"/>
      <c r="Z627" s="56"/>
    </row>
    <row r="628" spans="1:26" ht="15.75" customHeight="1">
      <c r="A628" s="56"/>
      <c r="B628" s="56"/>
      <c r="C628" s="56"/>
      <c r="D628" s="56"/>
      <c r="E628" s="56"/>
      <c r="F628" s="56"/>
      <c r="G628" s="56"/>
      <c r="H628" s="56"/>
      <c r="I628" s="56"/>
      <c r="J628" s="56"/>
      <c r="K628" s="56"/>
      <c r="L628" s="56"/>
      <c r="M628" s="56"/>
      <c r="N628" s="56"/>
      <c r="O628" s="56"/>
      <c r="P628" s="56"/>
      <c r="Q628" s="56"/>
      <c r="R628" s="56"/>
      <c r="S628" s="56"/>
      <c r="T628" s="56"/>
      <c r="U628" s="56"/>
      <c r="V628" s="56"/>
      <c r="W628" s="56"/>
      <c r="X628" s="56"/>
      <c r="Y628" s="56"/>
      <c r="Z628" s="56"/>
    </row>
    <row r="629" spans="1:26" ht="15.75" customHeight="1">
      <c r="A629" s="56"/>
      <c r="B629" s="56"/>
      <c r="C629" s="56"/>
      <c r="D629" s="56"/>
      <c r="E629" s="56"/>
      <c r="F629" s="56"/>
      <c r="G629" s="56"/>
      <c r="H629" s="56"/>
      <c r="I629" s="56"/>
      <c r="J629" s="56"/>
      <c r="K629" s="56"/>
      <c r="L629" s="56"/>
      <c r="M629" s="56"/>
      <c r="N629" s="56"/>
      <c r="O629" s="56"/>
      <c r="P629" s="56"/>
      <c r="Q629" s="56"/>
      <c r="R629" s="56"/>
      <c r="S629" s="56"/>
      <c r="T629" s="56"/>
      <c r="U629" s="56"/>
      <c r="V629" s="56"/>
      <c r="W629" s="56"/>
      <c r="X629" s="56"/>
      <c r="Y629" s="56"/>
      <c r="Z629" s="56"/>
    </row>
    <row r="630" spans="1:26" ht="15.75" customHeight="1">
      <c r="A630" s="56"/>
      <c r="B630" s="56"/>
      <c r="C630" s="56"/>
      <c r="D630" s="56"/>
      <c r="E630" s="56"/>
      <c r="F630" s="56"/>
      <c r="G630" s="56"/>
      <c r="H630" s="56"/>
      <c r="I630" s="56"/>
      <c r="J630" s="56"/>
      <c r="K630" s="56"/>
      <c r="L630" s="56"/>
      <c r="M630" s="56"/>
      <c r="N630" s="56"/>
      <c r="O630" s="56"/>
      <c r="P630" s="56"/>
      <c r="Q630" s="56"/>
      <c r="R630" s="56"/>
      <c r="S630" s="56"/>
      <c r="T630" s="56"/>
      <c r="U630" s="56"/>
      <c r="V630" s="56"/>
      <c r="W630" s="56"/>
      <c r="X630" s="56"/>
      <c r="Y630" s="56"/>
      <c r="Z630" s="56"/>
    </row>
    <row r="631" spans="1:26" ht="15.75" customHeight="1">
      <c r="A631" s="56"/>
      <c r="B631" s="56"/>
      <c r="C631" s="56"/>
      <c r="D631" s="56"/>
      <c r="E631" s="56"/>
      <c r="F631" s="56"/>
      <c r="G631" s="56"/>
      <c r="H631" s="56"/>
      <c r="I631" s="56"/>
      <c r="J631" s="56"/>
      <c r="K631" s="56"/>
      <c r="L631" s="56"/>
      <c r="M631" s="56"/>
      <c r="N631" s="56"/>
      <c r="O631" s="56"/>
      <c r="P631" s="56"/>
      <c r="Q631" s="56"/>
      <c r="R631" s="56"/>
      <c r="S631" s="56"/>
      <c r="T631" s="56"/>
      <c r="U631" s="56"/>
      <c r="V631" s="56"/>
      <c r="W631" s="56"/>
      <c r="X631" s="56"/>
      <c r="Y631" s="56"/>
      <c r="Z631" s="56"/>
    </row>
    <row r="632" spans="1:26" ht="15.75" customHeight="1">
      <c r="A632" s="56"/>
      <c r="B632" s="56"/>
      <c r="C632" s="56"/>
      <c r="D632" s="56"/>
      <c r="E632" s="56"/>
      <c r="F632" s="56"/>
      <c r="G632" s="56"/>
      <c r="H632" s="56"/>
      <c r="I632" s="56"/>
      <c r="J632" s="56"/>
      <c r="K632" s="56"/>
      <c r="L632" s="56"/>
      <c r="M632" s="56"/>
      <c r="N632" s="56"/>
      <c r="O632" s="56"/>
      <c r="P632" s="56"/>
      <c r="Q632" s="56"/>
      <c r="R632" s="56"/>
      <c r="S632" s="56"/>
      <c r="T632" s="56"/>
      <c r="U632" s="56"/>
      <c r="V632" s="56"/>
      <c r="W632" s="56"/>
      <c r="X632" s="56"/>
      <c r="Y632" s="56"/>
      <c r="Z632" s="56"/>
    </row>
    <row r="633" spans="1:26" ht="15.75" customHeight="1">
      <c r="A633" s="56"/>
      <c r="B633" s="56"/>
      <c r="C633" s="56"/>
      <c r="D633" s="56"/>
      <c r="E633" s="56"/>
      <c r="F633" s="56"/>
      <c r="G633" s="56"/>
      <c r="H633" s="56"/>
      <c r="I633" s="56"/>
      <c r="J633" s="56"/>
      <c r="K633" s="56"/>
      <c r="L633" s="56"/>
      <c r="M633" s="56"/>
      <c r="N633" s="56"/>
      <c r="O633" s="56"/>
      <c r="P633" s="56"/>
      <c r="Q633" s="56"/>
      <c r="R633" s="56"/>
      <c r="S633" s="56"/>
      <c r="T633" s="56"/>
      <c r="U633" s="56"/>
      <c r="V633" s="56"/>
      <c r="W633" s="56"/>
      <c r="X633" s="56"/>
      <c r="Y633" s="56"/>
      <c r="Z633" s="56"/>
    </row>
    <row r="634" spans="1:26" ht="15.75" customHeight="1">
      <c r="A634" s="56"/>
      <c r="B634" s="56"/>
      <c r="C634" s="56"/>
      <c r="D634" s="56"/>
      <c r="E634" s="56"/>
      <c r="F634" s="56"/>
      <c r="G634" s="56"/>
      <c r="H634" s="56"/>
      <c r="I634" s="56"/>
      <c r="J634" s="56"/>
      <c r="K634" s="56"/>
      <c r="L634" s="56"/>
      <c r="M634" s="56"/>
      <c r="N634" s="56"/>
      <c r="O634" s="56"/>
      <c r="P634" s="56"/>
      <c r="Q634" s="56"/>
      <c r="R634" s="56"/>
      <c r="S634" s="56"/>
      <c r="T634" s="56"/>
      <c r="U634" s="56"/>
      <c r="V634" s="56"/>
      <c r="W634" s="56"/>
      <c r="X634" s="56"/>
      <c r="Y634" s="56"/>
      <c r="Z634" s="56"/>
    </row>
    <row r="635" spans="1:26" ht="15.75" customHeight="1">
      <c r="A635" s="56"/>
      <c r="B635" s="56"/>
      <c r="C635" s="56"/>
      <c r="D635" s="56"/>
      <c r="E635" s="56"/>
      <c r="F635" s="56"/>
      <c r="G635" s="56"/>
      <c r="H635" s="56"/>
      <c r="I635" s="56"/>
      <c r="J635" s="56"/>
      <c r="K635" s="56"/>
      <c r="L635" s="56"/>
      <c r="M635" s="56"/>
      <c r="N635" s="56"/>
      <c r="O635" s="56"/>
      <c r="P635" s="56"/>
      <c r="Q635" s="56"/>
      <c r="R635" s="56"/>
      <c r="S635" s="56"/>
      <c r="T635" s="56"/>
      <c r="U635" s="56"/>
      <c r="V635" s="56"/>
      <c r="W635" s="56"/>
      <c r="X635" s="56"/>
      <c r="Y635" s="56"/>
      <c r="Z635" s="56"/>
    </row>
    <row r="636" spans="1:26" ht="15.75" customHeight="1">
      <c r="A636" s="56"/>
      <c r="B636" s="56"/>
      <c r="C636" s="56"/>
      <c r="D636" s="56"/>
      <c r="E636" s="56"/>
      <c r="F636" s="56"/>
      <c r="G636" s="56"/>
      <c r="H636" s="56"/>
      <c r="I636" s="56"/>
      <c r="J636" s="56"/>
      <c r="K636" s="56"/>
      <c r="L636" s="56"/>
      <c r="M636" s="56"/>
      <c r="N636" s="56"/>
      <c r="O636" s="56"/>
      <c r="P636" s="56"/>
      <c r="Q636" s="56"/>
      <c r="R636" s="56"/>
      <c r="S636" s="56"/>
      <c r="T636" s="56"/>
      <c r="U636" s="56"/>
      <c r="V636" s="56"/>
      <c r="W636" s="56"/>
      <c r="X636" s="56"/>
      <c r="Y636" s="56"/>
      <c r="Z636" s="56"/>
    </row>
    <row r="637" spans="1:26" ht="15.75" customHeight="1">
      <c r="A637" s="56"/>
      <c r="B637" s="56"/>
      <c r="C637" s="56"/>
      <c r="D637" s="56"/>
      <c r="E637" s="56"/>
      <c r="F637" s="56"/>
      <c r="G637" s="56"/>
      <c r="H637" s="56"/>
      <c r="I637" s="56"/>
      <c r="J637" s="56"/>
      <c r="K637" s="56"/>
      <c r="L637" s="56"/>
      <c r="M637" s="56"/>
      <c r="N637" s="56"/>
      <c r="O637" s="56"/>
      <c r="P637" s="56"/>
      <c r="Q637" s="56"/>
      <c r="R637" s="56"/>
      <c r="S637" s="56"/>
      <c r="T637" s="56"/>
      <c r="U637" s="56"/>
      <c r="V637" s="56"/>
      <c r="W637" s="56"/>
      <c r="X637" s="56"/>
      <c r="Y637" s="56"/>
      <c r="Z637" s="56"/>
    </row>
    <row r="638" spans="1:26" ht="15.75" customHeight="1">
      <c r="A638" s="56"/>
      <c r="B638" s="56"/>
      <c r="C638" s="56"/>
      <c r="D638" s="56"/>
      <c r="E638" s="56"/>
      <c r="F638" s="56"/>
      <c r="G638" s="56"/>
      <c r="H638" s="56"/>
      <c r="I638" s="56"/>
      <c r="J638" s="56"/>
      <c r="K638" s="56"/>
      <c r="L638" s="56"/>
      <c r="M638" s="56"/>
      <c r="N638" s="56"/>
      <c r="O638" s="56"/>
      <c r="P638" s="56"/>
      <c r="Q638" s="56"/>
      <c r="R638" s="56"/>
      <c r="S638" s="56"/>
      <c r="T638" s="56"/>
      <c r="U638" s="56"/>
      <c r="V638" s="56"/>
      <c r="W638" s="56"/>
      <c r="X638" s="56"/>
      <c r="Y638" s="56"/>
      <c r="Z638" s="56"/>
    </row>
    <row r="639" spans="1:26" ht="15.75" customHeight="1">
      <c r="A639" s="56"/>
      <c r="B639" s="56"/>
      <c r="C639" s="56"/>
      <c r="D639" s="56"/>
      <c r="E639" s="56"/>
      <c r="F639" s="56"/>
      <c r="G639" s="56"/>
      <c r="H639" s="56"/>
      <c r="I639" s="56"/>
      <c r="J639" s="56"/>
      <c r="K639" s="56"/>
      <c r="L639" s="56"/>
      <c r="M639" s="56"/>
      <c r="N639" s="56"/>
      <c r="O639" s="56"/>
      <c r="P639" s="56"/>
      <c r="Q639" s="56"/>
      <c r="R639" s="56"/>
      <c r="S639" s="56"/>
      <c r="T639" s="56"/>
      <c r="U639" s="56"/>
      <c r="V639" s="56"/>
      <c r="W639" s="56"/>
      <c r="X639" s="56"/>
      <c r="Y639" s="56"/>
      <c r="Z639" s="56"/>
    </row>
    <row r="640" spans="1:26" ht="15.75" customHeight="1">
      <c r="A640" s="56"/>
      <c r="B640" s="56"/>
      <c r="C640" s="56"/>
      <c r="D640" s="56"/>
      <c r="E640" s="56"/>
      <c r="F640" s="56"/>
      <c r="G640" s="56"/>
      <c r="H640" s="56"/>
      <c r="I640" s="56"/>
      <c r="J640" s="56"/>
      <c r="K640" s="56"/>
      <c r="L640" s="56"/>
      <c r="M640" s="56"/>
      <c r="N640" s="56"/>
      <c r="O640" s="56"/>
      <c r="P640" s="56"/>
      <c r="Q640" s="56"/>
      <c r="R640" s="56"/>
      <c r="S640" s="56"/>
      <c r="T640" s="56"/>
      <c r="U640" s="56"/>
      <c r="V640" s="56"/>
      <c r="W640" s="56"/>
      <c r="X640" s="56"/>
      <c r="Y640" s="56"/>
      <c r="Z640" s="56"/>
    </row>
    <row r="641" spans="1:26" ht="15.75" customHeight="1">
      <c r="A641" s="56"/>
      <c r="B641" s="56"/>
      <c r="C641" s="56"/>
      <c r="D641" s="56"/>
      <c r="E641" s="56"/>
      <c r="F641" s="56"/>
      <c r="G641" s="56"/>
      <c r="H641" s="56"/>
      <c r="I641" s="56"/>
      <c r="J641" s="56"/>
      <c r="K641" s="56"/>
      <c r="L641" s="56"/>
      <c r="M641" s="56"/>
      <c r="N641" s="56"/>
      <c r="O641" s="56"/>
      <c r="P641" s="56"/>
      <c r="Q641" s="56"/>
      <c r="R641" s="56"/>
      <c r="S641" s="56"/>
      <c r="T641" s="56"/>
      <c r="U641" s="56"/>
      <c r="V641" s="56"/>
      <c r="W641" s="56"/>
      <c r="X641" s="56"/>
      <c r="Y641" s="56"/>
      <c r="Z641" s="56"/>
    </row>
    <row r="642" spans="1:26" ht="15.75" customHeight="1">
      <c r="A642" s="56"/>
      <c r="B642" s="56"/>
      <c r="C642" s="56"/>
      <c r="D642" s="56"/>
      <c r="E642" s="56"/>
      <c r="F642" s="56"/>
      <c r="G642" s="56"/>
      <c r="H642" s="56"/>
      <c r="I642" s="56"/>
      <c r="J642" s="56"/>
      <c r="K642" s="56"/>
      <c r="L642" s="56"/>
      <c r="M642" s="56"/>
      <c r="N642" s="56"/>
      <c r="O642" s="56"/>
      <c r="P642" s="56"/>
      <c r="Q642" s="56"/>
      <c r="R642" s="56"/>
      <c r="S642" s="56"/>
      <c r="T642" s="56"/>
      <c r="U642" s="56"/>
      <c r="V642" s="56"/>
      <c r="W642" s="56"/>
      <c r="X642" s="56"/>
      <c r="Y642" s="56"/>
      <c r="Z642" s="56"/>
    </row>
    <row r="643" spans="1:26" ht="15.75" customHeight="1">
      <c r="A643" s="56"/>
      <c r="B643" s="56"/>
      <c r="C643" s="56"/>
      <c r="D643" s="56"/>
      <c r="E643" s="56"/>
      <c r="F643" s="56"/>
      <c r="G643" s="56"/>
      <c r="H643" s="56"/>
      <c r="I643" s="56"/>
      <c r="J643" s="56"/>
      <c r="K643" s="56"/>
      <c r="L643" s="56"/>
      <c r="M643" s="56"/>
      <c r="N643" s="56"/>
      <c r="O643" s="56"/>
      <c r="P643" s="56"/>
      <c r="Q643" s="56"/>
      <c r="R643" s="56"/>
      <c r="S643" s="56"/>
      <c r="T643" s="56"/>
      <c r="U643" s="56"/>
      <c r="V643" s="56"/>
      <c r="W643" s="56"/>
      <c r="X643" s="56"/>
      <c r="Y643" s="56"/>
      <c r="Z643" s="56"/>
    </row>
    <row r="644" spans="1:26" ht="15.75" customHeight="1">
      <c r="A644" s="56"/>
      <c r="B644" s="56"/>
      <c r="C644" s="56"/>
      <c r="D644" s="56"/>
      <c r="E644" s="56"/>
      <c r="F644" s="56"/>
      <c r="G644" s="56"/>
      <c r="H644" s="56"/>
      <c r="I644" s="56"/>
      <c r="J644" s="56"/>
      <c r="K644" s="56"/>
      <c r="L644" s="56"/>
      <c r="M644" s="56"/>
      <c r="N644" s="56"/>
      <c r="O644" s="56"/>
      <c r="P644" s="56"/>
      <c r="Q644" s="56"/>
      <c r="R644" s="56"/>
      <c r="S644" s="56"/>
      <c r="T644" s="56"/>
      <c r="U644" s="56"/>
      <c r="V644" s="56"/>
      <c r="W644" s="56"/>
      <c r="X644" s="56"/>
      <c r="Y644" s="56"/>
      <c r="Z644" s="56"/>
    </row>
    <row r="645" spans="1:26" ht="15.75" customHeight="1">
      <c r="A645" s="56"/>
      <c r="B645" s="56"/>
      <c r="C645" s="56"/>
      <c r="D645" s="56"/>
      <c r="E645" s="56"/>
      <c r="F645" s="56"/>
      <c r="G645" s="56"/>
      <c r="H645" s="56"/>
      <c r="I645" s="56"/>
      <c r="J645" s="56"/>
      <c r="K645" s="56"/>
      <c r="L645" s="56"/>
      <c r="M645" s="56"/>
      <c r="N645" s="56"/>
      <c r="O645" s="56"/>
      <c r="P645" s="56"/>
      <c r="Q645" s="56"/>
      <c r="R645" s="56"/>
      <c r="S645" s="56"/>
      <c r="T645" s="56"/>
      <c r="U645" s="56"/>
      <c r="V645" s="56"/>
      <c r="W645" s="56"/>
      <c r="X645" s="56"/>
      <c r="Y645" s="56"/>
      <c r="Z645" s="56"/>
    </row>
    <row r="646" spans="1:26" ht="15.75" customHeight="1">
      <c r="A646" s="56"/>
      <c r="B646" s="56"/>
      <c r="C646" s="56"/>
      <c r="D646" s="56"/>
      <c r="E646" s="56"/>
      <c r="F646" s="56"/>
      <c r="G646" s="56"/>
      <c r="H646" s="56"/>
      <c r="I646" s="56"/>
      <c r="J646" s="56"/>
      <c r="K646" s="56"/>
      <c r="L646" s="56"/>
      <c r="M646" s="56"/>
      <c r="N646" s="56"/>
      <c r="O646" s="56"/>
      <c r="P646" s="56"/>
      <c r="Q646" s="56"/>
      <c r="R646" s="56"/>
      <c r="S646" s="56"/>
      <c r="T646" s="56"/>
      <c r="U646" s="56"/>
      <c r="V646" s="56"/>
      <c r="W646" s="56"/>
      <c r="X646" s="56"/>
      <c r="Y646" s="56"/>
      <c r="Z646" s="56"/>
    </row>
    <row r="647" spans="1:26" ht="15.75" customHeight="1">
      <c r="A647" s="56"/>
      <c r="B647" s="56"/>
      <c r="C647" s="56"/>
      <c r="D647" s="56"/>
      <c r="E647" s="56"/>
      <c r="F647" s="56"/>
      <c r="G647" s="56"/>
      <c r="H647" s="56"/>
      <c r="I647" s="56"/>
      <c r="J647" s="56"/>
      <c r="K647" s="56"/>
      <c r="L647" s="56"/>
      <c r="M647" s="56"/>
      <c r="N647" s="56"/>
      <c r="O647" s="56"/>
      <c r="P647" s="56"/>
      <c r="Q647" s="56"/>
      <c r="R647" s="56"/>
      <c r="S647" s="56"/>
      <c r="T647" s="56"/>
      <c r="U647" s="56"/>
      <c r="V647" s="56"/>
      <c r="W647" s="56"/>
      <c r="X647" s="56"/>
      <c r="Y647" s="56"/>
      <c r="Z647" s="56"/>
    </row>
    <row r="648" spans="1:26" ht="15.75" customHeight="1">
      <c r="A648" s="56"/>
      <c r="B648" s="56"/>
      <c r="C648" s="56"/>
      <c r="D648" s="56"/>
      <c r="E648" s="56"/>
      <c r="F648" s="56"/>
      <c r="G648" s="56"/>
      <c r="H648" s="56"/>
      <c r="I648" s="56"/>
      <c r="J648" s="56"/>
      <c r="K648" s="56"/>
      <c r="L648" s="56"/>
      <c r="M648" s="56"/>
      <c r="N648" s="56"/>
      <c r="O648" s="56"/>
      <c r="P648" s="56"/>
      <c r="Q648" s="56"/>
      <c r="R648" s="56"/>
      <c r="S648" s="56"/>
      <c r="T648" s="56"/>
      <c r="U648" s="56"/>
      <c r="V648" s="56"/>
      <c r="W648" s="56"/>
      <c r="X648" s="56"/>
      <c r="Y648" s="56"/>
      <c r="Z648" s="56"/>
    </row>
    <row r="649" spans="1:26" ht="15.75" customHeight="1">
      <c r="A649" s="56"/>
      <c r="B649" s="56"/>
      <c r="C649" s="56"/>
      <c r="D649" s="56"/>
      <c r="E649" s="56"/>
      <c r="F649" s="56"/>
      <c r="G649" s="56"/>
      <c r="H649" s="56"/>
      <c r="I649" s="56"/>
      <c r="J649" s="56"/>
      <c r="K649" s="56"/>
      <c r="L649" s="56"/>
      <c r="M649" s="56"/>
      <c r="N649" s="56"/>
      <c r="O649" s="56"/>
      <c r="P649" s="56"/>
      <c r="Q649" s="56"/>
      <c r="R649" s="56"/>
      <c r="S649" s="56"/>
      <c r="T649" s="56"/>
      <c r="U649" s="56"/>
      <c r="V649" s="56"/>
      <c r="W649" s="56"/>
      <c r="X649" s="56"/>
      <c r="Y649" s="56"/>
      <c r="Z649" s="56"/>
    </row>
    <row r="650" spans="1:26" ht="15.75" customHeight="1">
      <c r="A650" s="56"/>
      <c r="B650" s="56"/>
      <c r="C650" s="56"/>
      <c r="D650" s="56"/>
      <c r="E650" s="56"/>
      <c r="F650" s="56"/>
      <c r="G650" s="56"/>
      <c r="H650" s="56"/>
      <c r="I650" s="56"/>
      <c r="J650" s="56"/>
      <c r="K650" s="56"/>
      <c r="L650" s="56"/>
      <c r="M650" s="56"/>
      <c r="N650" s="56"/>
      <c r="O650" s="56"/>
      <c r="P650" s="56"/>
      <c r="Q650" s="56"/>
      <c r="R650" s="56"/>
      <c r="S650" s="56"/>
      <c r="T650" s="56"/>
      <c r="U650" s="56"/>
      <c r="V650" s="56"/>
      <c r="W650" s="56"/>
      <c r="X650" s="56"/>
      <c r="Y650" s="56"/>
      <c r="Z650" s="56"/>
    </row>
    <row r="651" spans="1:26" ht="15.75" customHeight="1">
      <c r="A651" s="56"/>
      <c r="B651" s="56"/>
      <c r="C651" s="56"/>
      <c r="D651" s="56"/>
      <c r="E651" s="56"/>
      <c r="F651" s="56"/>
      <c r="G651" s="56"/>
      <c r="H651" s="56"/>
      <c r="I651" s="56"/>
      <c r="J651" s="56"/>
      <c r="K651" s="56"/>
      <c r="L651" s="56"/>
      <c r="M651" s="56"/>
      <c r="N651" s="56"/>
      <c r="O651" s="56"/>
      <c r="P651" s="56"/>
      <c r="Q651" s="56"/>
      <c r="R651" s="56"/>
      <c r="S651" s="56"/>
      <c r="T651" s="56"/>
      <c r="U651" s="56"/>
      <c r="V651" s="56"/>
      <c r="W651" s="56"/>
      <c r="X651" s="56"/>
      <c r="Y651" s="56"/>
      <c r="Z651" s="56"/>
    </row>
    <row r="652" spans="1:26" ht="15.75" customHeight="1">
      <c r="A652" s="56"/>
      <c r="B652" s="56"/>
      <c r="C652" s="56"/>
      <c r="D652" s="56"/>
      <c r="E652" s="56"/>
      <c r="F652" s="56"/>
      <c r="G652" s="56"/>
      <c r="H652" s="56"/>
      <c r="I652" s="56"/>
      <c r="J652" s="56"/>
      <c r="K652" s="56"/>
      <c r="L652" s="56"/>
      <c r="M652" s="56"/>
      <c r="N652" s="56"/>
      <c r="O652" s="56"/>
      <c r="P652" s="56"/>
      <c r="Q652" s="56"/>
      <c r="R652" s="56"/>
      <c r="S652" s="56"/>
      <c r="T652" s="56"/>
      <c r="U652" s="56"/>
      <c r="V652" s="56"/>
      <c r="W652" s="56"/>
      <c r="X652" s="56"/>
      <c r="Y652" s="56"/>
      <c r="Z652" s="56"/>
    </row>
    <row r="653" spans="1:26" ht="15.75" customHeight="1">
      <c r="A653" s="56"/>
      <c r="B653" s="56"/>
      <c r="C653" s="56"/>
      <c r="D653" s="56"/>
      <c r="E653" s="56"/>
      <c r="F653" s="56"/>
      <c r="G653" s="56"/>
      <c r="H653" s="56"/>
      <c r="I653" s="56"/>
      <c r="J653" s="56"/>
      <c r="K653" s="56"/>
      <c r="L653" s="56"/>
      <c r="M653" s="56"/>
      <c r="N653" s="56"/>
      <c r="O653" s="56"/>
      <c r="P653" s="56"/>
      <c r="Q653" s="56"/>
      <c r="R653" s="56"/>
      <c r="S653" s="56"/>
      <c r="T653" s="56"/>
      <c r="U653" s="56"/>
      <c r="V653" s="56"/>
      <c r="W653" s="56"/>
      <c r="X653" s="56"/>
      <c r="Y653" s="56"/>
      <c r="Z653" s="56"/>
    </row>
    <row r="654" spans="1:26" ht="15.75" customHeight="1">
      <c r="A654" s="56"/>
      <c r="B654" s="56"/>
      <c r="C654" s="56"/>
      <c r="D654" s="56"/>
      <c r="E654" s="56"/>
      <c r="F654" s="56"/>
      <c r="G654" s="56"/>
      <c r="H654" s="56"/>
      <c r="I654" s="56"/>
      <c r="J654" s="56"/>
      <c r="K654" s="56"/>
      <c r="L654" s="56"/>
      <c r="M654" s="56"/>
      <c r="N654" s="56"/>
      <c r="O654" s="56"/>
      <c r="P654" s="56"/>
      <c r="Q654" s="56"/>
      <c r="R654" s="56"/>
      <c r="S654" s="56"/>
      <c r="T654" s="56"/>
      <c r="U654" s="56"/>
      <c r="V654" s="56"/>
      <c r="W654" s="56"/>
      <c r="X654" s="56"/>
      <c r="Y654" s="56"/>
      <c r="Z654" s="56"/>
    </row>
    <row r="655" spans="1:26" ht="15.75" customHeight="1">
      <c r="A655" s="56"/>
      <c r="B655" s="56"/>
      <c r="C655" s="56"/>
      <c r="D655" s="56"/>
      <c r="E655" s="56"/>
      <c r="F655" s="56"/>
      <c r="G655" s="56"/>
      <c r="H655" s="56"/>
      <c r="I655" s="56"/>
      <c r="J655" s="56"/>
      <c r="K655" s="56"/>
      <c r="L655" s="56"/>
      <c r="M655" s="56"/>
      <c r="N655" s="56"/>
      <c r="O655" s="56"/>
      <c r="P655" s="56"/>
      <c r="Q655" s="56"/>
      <c r="R655" s="56"/>
      <c r="S655" s="56"/>
      <c r="T655" s="56"/>
      <c r="U655" s="56"/>
      <c r="V655" s="56"/>
      <c r="W655" s="56"/>
      <c r="X655" s="56"/>
      <c r="Y655" s="56"/>
      <c r="Z655" s="56"/>
    </row>
    <row r="656" spans="1:26" ht="15.75" customHeight="1">
      <c r="A656" s="56"/>
      <c r="B656" s="56"/>
      <c r="C656" s="56"/>
      <c r="D656" s="56"/>
      <c r="E656" s="56"/>
      <c r="F656" s="56"/>
      <c r="G656" s="56"/>
      <c r="H656" s="56"/>
      <c r="I656" s="56"/>
      <c r="J656" s="56"/>
      <c r="K656" s="56"/>
      <c r="L656" s="56"/>
      <c r="M656" s="56"/>
      <c r="N656" s="56"/>
      <c r="O656" s="56"/>
      <c r="P656" s="56"/>
      <c r="Q656" s="56"/>
      <c r="R656" s="56"/>
      <c r="S656" s="56"/>
      <c r="T656" s="56"/>
      <c r="U656" s="56"/>
      <c r="V656" s="56"/>
      <c r="W656" s="56"/>
      <c r="X656" s="56"/>
      <c r="Y656" s="56"/>
      <c r="Z656" s="56"/>
    </row>
    <row r="657" spans="1:26" ht="15.75" customHeight="1">
      <c r="A657" s="56"/>
      <c r="B657" s="56"/>
      <c r="C657" s="56"/>
      <c r="D657" s="56"/>
      <c r="E657" s="56"/>
      <c r="F657" s="56"/>
      <c r="G657" s="56"/>
      <c r="H657" s="56"/>
      <c r="I657" s="56"/>
      <c r="J657" s="56"/>
      <c r="K657" s="56"/>
      <c r="L657" s="56"/>
      <c r="M657" s="56"/>
      <c r="N657" s="56"/>
      <c r="O657" s="56"/>
      <c r="P657" s="56"/>
      <c r="Q657" s="56"/>
      <c r="R657" s="56"/>
      <c r="S657" s="56"/>
      <c r="T657" s="56"/>
      <c r="U657" s="56"/>
      <c r="V657" s="56"/>
      <c r="W657" s="56"/>
      <c r="X657" s="56"/>
      <c r="Y657" s="56"/>
      <c r="Z657" s="56"/>
    </row>
    <row r="658" spans="1:26" ht="15.75" customHeight="1">
      <c r="A658" s="56"/>
      <c r="B658" s="56"/>
      <c r="C658" s="56"/>
      <c r="D658" s="56"/>
      <c r="E658" s="56"/>
      <c r="F658" s="56"/>
      <c r="G658" s="56"/>
      <c r="H658" s="56"/>
      <c r="I658" s="56"/>
      <c r="J658" s="56"/>
      <c r="K658" s="56"/>
      <c r="L658" s="56"/>
      <c r="M658" s="56"/>
      <c r="N658" s="56"/>
      <c r="O658" s="56"/>
      <c r="P658" s="56"/>
      <c r="Q658" s="56"/>
      <c r="R658" s="56"/>
      <c r="S658" s="56"/>
      <c r="T658" s="56"/>
      <c r="U658" s="56"/>
      <c r="V658" s="56"/>
      <c r="W658" s="56"/>
      <c r="X658" s="56"/>
      <c r="Y658" s="56"/>
      <c r="Z658" s="56"/>
    </row>
    <row r="659" spans="1:26" ht="15.75" customHeight="1">
      <c r="A659" s="56"/>
      <c r="B659" s="56"/>
      <c r="C659" s="56"/>
      <c r="D659" s="56"/>
      <c r="E659" s="56"/>
      <c r="F659" s="56"/>
      <c r="G659" s="56"/>
      <c r="H659" s="56"/>
      <c r="I659" s="56"/>
      <c r="J659" s="56"/>
      <c r="K659" s="56"/>
      <c r="L659" s="56"/>
      <c r="M659" s="56"/>
      <c r="N659" s="56"/>
      <c r="O659" s="56"/>
      <c r="P659" s="56"/>
      <c r="Q659" s="56"/>
      <c r="R659" s="56"/>
      <c r="S659" s="56"/>
      <c r="T659" s="56"/>
      <c r="U659" s="56"/>
      <c r="V659" s="56"/>
      <c r="W659" s="56"/>
      <c r="X659" s="56"/>
      <c r="Y659" s="56"/>
      <c r="Z659" s="56"/>
    </row>
    <row r="660" spans="1:26" ht="15.75" customHeight="1">
      <c r="A660" s="56"/>
      <c r="B660" s="56"/>
      <c r="C660" s="56"/>
      <c r="D660" s="56"/>
      <c r="E660" s="56"/>
      <c r="F660" s="56"/>
      <c r="G660" s="56"/>
      <c r="H660" s="56"/>
      <c r="I660" s="56"/>
      <c r="J660" s="56"/>
      <c r="K660" s="56"/>
      <c r="L660" s="56"/>
      <c r="M660" s="56"/>
      <c r="N660" s="56"/>
      <c r="O660" s="56"/>
      <c r="P660" s="56"/>
      <c r="Q660" s="56"/>
      <c r="R660" s="56"/>
      <c r="S660" s="56"/>
      <c r="T660" s="56"/>
      <c r="U660" s="56"/>
      <c r="V660" s="56"/>
      <c r="W660" s="56"/>
      <c r="X660" s="56"/>
      <c r="Y660" s="56"/>
      <c r="Z660" s="56"/>
    </row>
    <row r="661" spans="1:26" ht="15.75" customHeight="1">
      <c r="A661" s="56"/>
      <c r="B661" s="56"/>
      <c r="C661" s="56"/>
      <c r="D661" s="56"/>
      <c r="E661" s="56"/>
      <c r="F661" s="56"/>
      <c r="G661" s="56"/>
      <c r="H661" s="56"/>
      <c r="I661" s="56"/>
      <c r="J661" s="56"/>
      <c r="K661" s="56"/>
      <c r="L661" s="56"/>
      <c r="M661" s="56"/>
      <c r="N661" s="56"/>
      <c r="O661" s="56"/>
      <c r="P661" s="56"/>
      <c r="Q661" s="56"/>
      <c r="R661" s="56"/>
      <c r="S661" s="56"/>
      <c r="T661" s="56"/>
      <c r="U661" s="56"/>
      <c r="V661" s="56"/>
      <c r="W661" s="56"/>
      <c r="X661" s="56"/>
      <c r="Y661" s="56"/>
      <c r="Z661" s="56"/>
    </row>
    <row r="662" spans="1:26" ht="15.75" customHeight="1">
      <c r="A662" s="56"/>
      <c r="B662" s="56"/>
      <c r="C662" s="56"/>
      <c r="D662" s="56"/>
      <c r="E662" s="56"/>
      <c r="F662" s="56"/>
      <c r="G662" s="56"/>
      <c r="H662" s="56"/>
      <c r="I662" s="56"/>
      <c r="J662" s="56"/>
      <c r="K662" s="56"/>
      <c r="L662" s="56"/>
      <c r="M662" s="56"/>
      <c r="N662" s="56"/>
      <c r="O662" s="56"/>
      <c r="P662" s="56"/>
      <c r="Q662" s="56"/>
      <c r="R662" s="56"/>
      <c r="S662" s="56"/>
      <c r="T662" s="56"/>
      <c r="U662" s="56"/>
      <c r="V662" s="56"/>
      <c r="W662" s="56"/>
      <c r="X662" s="56"/>
      <c r="Y662" s="56"/>
      <c r="Z662" s="56"/>
    </row>
    <row r="663" spans="1:26" ht="15.75" customHeight="1">
      <c r="A663" s="56"/>
      <c r="B663" s="56"/>
      <c r="C663" s="56"/>
      <c r="D663" s="56"/>
      <c r="E663" s="56"/>
      <c r="F663" s="56"/>
      <c r="G663" s="56"/>
      <c r="H663" s="56"/>
      <c r="I663" s="56"/>
      <c r="J663" s="56"/>
      <c r="K663" s="56"/>
      <c r="L663" s="56"/>
      <c r="M663" s="56"/>
      <c r="N663" s="56"/>
      <c r="O663" s="56"/>
      <c r="P663" s="56"/>
      <c r="Q663" s="56"/>
      <c r="R663" s="56"/>
      <c r="S663" s="56"/>
      <c r="T663" s="56"/>
      <c r="U663" s="56"/>
      <c r="V663" s="56"/>
      <c r="W663" s="56"/>
      <c r="X663" s="56"/>
      <c r="Y663" s="56"/>
      <c r="Z663" s="56"/>
    </row>
    <row r="664" spans="1:26" ht="15.75" customHeight="1">
      <c r="A664" s="56"/>
      <c r="B664" s="56"/>
      <c r="C664" s="56"/>
      <c r="D664" s="56"/>
      <c r="E664" s="56"/>
      <c r="F664" s="56"/>
      <c r="G664" s="56"/>
      <c r="H664" s="56"/>
      <c r="I664" s="56"/>
      <c r="J664" s="56"/>
      <c r="K664" s="56"/>
      <c r="L664" s="56"/>
      <c r="M664" s="56"/>
      <c r="N664" s="56"/>
      <c r="O664" s="56"/>
      <c r="P664" s="56"/>
      <c r="Q664" s="56"/>
      <c r="R664" s="56"/>
      <c r="S664" s="56"/>
      <c r="T664" s="56"/>
      <c r="U664" s="56"/>
      <c r="V664" s="56"/>
      <c r="W664" s="56"/>
      <c r="X664" s="56"/>
      <c r="Y664" s="56"/>
      <c r="Z664" s="56"/>
    </row>
    <row r="665" spans="1:26" ht="15.75" customHeight="1">
      <c r="A665" s="56"/>
      <c r="B665" s="56"/>
      <c r="C665" s="56"/>
      <c r="D665" s="56"/>
      <c r="E665" s="56"/>
      <c r="F665" s="56"/>
      <c r="G665" s="56"/>
      <c r="H665" s="56"/>
      <c r="I665" s="56"/>
      <c r="J665" s="56"/>
      <c r="K665" s="56"/>
      <c r="L665" s="56"/>
      <c r="M665" s="56"/>
      <c r="N665" s="56"/>
      <c r="O665" s="56"/>
      <c r="P665" s="56"/>
      <c r="Q665" s="56"/>
      <c r="R665" s="56"/>
      <c r="S665" s="56"/>
      <c r="T665" s="56"/>
      <c r="U665" s="56"/>
      <c r="V665" s="56"/>
      <c r="W665" s="56"/>
      <c r="X665" s="56"/>
      <c r="Y665" s="56"/>
      <c r="Z665" s="56"/>
    </row>
    <row r="666" spans="1:26" ht="15.75" customHeight="1">
      <c r="A666" s="56"/>
      <c r="B666" s="56"/>
      <c r="C666" s="56"/>
      <c r="D666" s="56"/>
      <c r="E666" s="56"/>
      <c r="F666" s="56"/>
      <c r="G666" s="56"/>
      <c r="H666" s="56"/>
      <c r="I666" s="56"/>
      <c r="J666" s="56"/>
      <c r="K666" s="56"/>
      <c r="L666" s="56"/>
      <c r="M666" s="56"/>
      <c r="N666" s="56"/>
      <c r="O666" s="56"/>
      <c r="P666" s="56"/>
      <c r="Q666" s="56"/>
      <c r="R666" s="56"/>
      <c r="S666" s="56"/>
      <c r="T666" s="56"/>
      <c r="U666" s="56"/>
      <c r="V666" s="56"/>
      <c r="W666" s="56"/>
      <c r="X666" s="56"/>
      <c r="Y666" s="56"/>
      <c r="Z666" s="56"/>
    </row>
    <row r="667" spans="1:26" ht="15.75" customHeight="1">
      <c r="A667" s="56"/>
      <c r="B667" s="56"/>
      <c r="C667" s="56"/>
      <c r="D667" s="56"/>
      <c r="E667" s="56"/>
      <c r="F667" s="56"/>
      <c r="G667" s="56"/>
      <c r="H667" s="56"/>
      <c r="I667" s="56"/>
      <c r="J667" s="56"/>
      <c r="K667" s="56"/>
      <c r="L667" s="56"/>
      <c r="M667" s="56"/>
      <c r="N667" s="56"/>
      <c r="O667" s="56"/>
      <c r="P667" s="56"/>
      <c r="Q667" s="56"/>
      <c r="R667" s="56"/>
      <c r="S667" s="56"/>
      <c r="T667" s="56"/>
      <c r="U667" s="56"/>
      <c r="V667" s="56"/>
      <c r="W667" s="56"/>
      <c r="X667" s="56"/>
      <c r="Y667" s="56"/>
      <c r="Z667" s="56"/>
    </row>
    <row r="668" spans="1:26" ht="15.75" customHeight="1">
      <c r="A668" s="56"/>
      <c r="B668" s="56"/>
      <c r="C668" s="56"/>
      <c r="D668" s="56"/>
      <c r="E668" s="56"/>
      <c r="F668" s="56"/>
      <c r="G668" s="56"/>
      <c r="H668" s="56"/>
      <c r="I668" s="56"/>
      <c r="J668" s="56"/>
      <c r="K668" s="56"/>
      <c r="L668" s="56"/>
      <c r="M668" s="56"/>
      <c r="N668" s="56"/>
      <c r="O668" s="56"/>
      <c r="P668" s="56"/>
      <c r="Q668" s="56"/>
      <c r="R668" s="56"/>
      <c r="S668" s="56"/>
      <c r="T668" s="56"/>
      <c r="U668" s="56"/>
      <c r="V668" s="56"/>
      <c r="W668" s="56"/>
      <c r="X668" s="56"/>
      <c r="Y668" s="56"/>
      <c r="Z668" s="56"/>
    </row>
    <row r="669" spans="1:26" ht="15.75" customHeight="1">
      <c r="A669" s="56"/>
      <c r="B669" s="56"/>
      <c r="C669" s="56"/>
      <c r="D669" s="56"/>
      <c r="E669" s="56"/>
      <c r="F669" s="56"/>
      <c r="G669" s="56"/>
      <c r="H669" s="56"/>
      <c r="I669" s="56"/>
      <c r="J669" s="56"/>
      <c r="K669" s="56"/>
      <c r="L669" s="56"/>
      <c r="M669" s="56"/>
      <c r="N669" s="56"/>
      <c r="O669" s="56"/>
      <c r="P669" s="56"/>
      <c r="Q669" s="56"/>
      <c r="R669" s="56"/>
      <c r="S669" s="56"/>
      <c r="T669" s="56"/>
      <c r="U669" s="56"/>
      <c r="V669" s="56"/>
      <c r="W669" s="56"/>
      <c r="X669" s="56"/>
      <c r="Y669" s="56"/>
      <c r="Z669" s="56"/>
    </row>
    <row r="670" spans="1:26" ht="15.75" customHeight="1">
      <c r="A670" s="56"/>
      <c r="B670" s="56"/>
      <c r="C670" s="56"/>
      <c r="D670" s="56"/>
      <c r="E670" s="56"/>
      <c r="F670" s="56"/>
      <c r="G670" s="56"/>
      <c r="H670" s="56"/>
      <c r="I670" s="56"/>
      <c r="J670" s="56"/>
      <c r="K670" s="56"/>
      <c r="L670" s="56"/>
      <c r="M670" s="56"/>
      <c r="N670" s="56"/>
      <c r="O670" s="56"/>
      <c r="P670" s="56"/>
      <c r="Q670" s="56"/>
      <c r="R670" s="56"/>
      <c r="S670" s="56"/>
      <c r="T670" s="56"/>
      <c r="U670" s="56"/>
      <c r="V670" s="56"/>
      <c r="W670" s="56"/>
      <c r="X670" s="56"/>
      <c r="Y670" s="56"/>
      <c r="Z670" s="56"/>
    </row>
    <row r="671" spans="1:26" ht="15.75" customHeight="1">
      <c r="A671" s="56"/>
      <c r="B671" s="56"/>
      <c r="C671" s="56"/>
      <c r="D671" s="56"/>
      <c r="E671" s="56"/>
      <c r="F671" s="56"/>
      <c r="G671" s="56"/>
      <c r="H671" s="56"/>
      <c r="I671" s="56"/>
      <c r="J671" s="56"/>
      <c r="K671" s="56"/>
      <c r="L671" s="56"/>
      <c r="M671" s="56"/>
      <c r="N671" s="56"/>
      <c r="O671" s="56"/>
      <c r="P671" s="56"/>
      <c r="Q671" s="56"/>
      <c r="R671" s="56"/>
      <c r="S671" s="56"/>
      <c r="T671" s="56"/>
      <c r="U671" s="56"/>
      <c r="V671" s="56"/>
      <c r="W671" s="56"/>
      <c r="X671" s="56"/>
      <c r="Y671" s="56"/>
      <c r="Z671" s="56"/>
    </row>
    <row r="672" spans="1:26" ht="15.75" customHeight="1">
      <c r="A672" s="56"/>
      <c r="B672" s="56"/>
      <c r="C672" s="56"/>
      <c r="D672" s="56"/>
      <c r="E672" s="56"/>
      <c r="F672" s="56"/>
      <c r="G672" s="56"/>
      <c r="H672" s="56"/>
      <c r="I672" s="56"/>
      <c r="J672" s="56"/>
      <c r="K672" s="56"/>
      <c r="L672" s="56"/>
      <c r="M672" s="56"/>
      <c r="N672" s="56"/>
      <c r="O672" s="56"/>
      <c r="P672" s="56"/>
      <c r="Q672" s="56"/>
      <c r="R672" s="56"/>
      <c r="S672" s="56"/>
      <c r="T672" s="56"/>
      <c r="U672" s="56"/>
      <c r="V672" s="56"/>
      <c r="W672" s="56"/>
      <c r="X672" s="56"/>
      <c r="Y672" s="56"/>
      <c r="Z672" s="56"/>
    </row>
    <row r="673" spans="1:26" ht="15.75" customHeight="1">
      <c r="A673" s="56"/>
      <c r="B673" s="56"/>
      <c r="C673" s="56"/>
      <c r="D673" s="56"/>
      <c r="E673" s="56"/>
      <c r="F673" s="56"/>
      <c r="G673" s="56"/>
      <c r="H673" s="56"/>
      <c r="I673" s="56"/>
      <c r="J673" s="56"/>
      <c r="K673" s="56"/>
      <c r="L673" s="56"/>
      <c r="M673" s="56"/>
      <c r="N673" s="56"/>
      <c r="O673" s="56"/>
      <c r="P673" s="56"/>
      <c r="Q673" s="56"/>
      <c r="R673" s="56"/>
      <c r="S673" s="56"/>
      <c r="T673" s="56"/>
      <c r="U673" s="56"/>
      <c r="V673" s="56"/>
      <c r="W673" s="56"/>
      <c r="X673" s="56"/>
      <c r="Y673" s="56"/>
      <c r="Z673" s="56"/>
    </row>
    <row r="674" spans="1:26" ht="15.75" customHeight="1">
      <c r="A674" s="56"/>
      <c r="B674" s="56"/>
      <c r="C674" s="56"/>
      <c r="D674" s="56"/>
      <c r="E674" s="56"/>
      <c r="F674" s="56"/>
      <c r="G674" s="56"/>
      <c r="H674" s="56"/>
      <c r="I674" s="56"/>
      <c r="J674" s="56"/>
      <c r="K674" s="56"/>
      <c r="L674" s="56"/>
      <c r="M674" s="56"/>
      <c r="N674" s="56"/>
      <c r="O674" s="56"/>
      <c r="P674" s="56"/>
      <c r="Q674" s="56"/>
      <c r="R674" s="56"/>
      <c r="S674" s="56"/>
      <c r="T674" s="56"/>
      <c r="U674" s="56"/>
      <c r="V674" s="56"/>
      <c r="W674" s="56"/>
      <c r="X674" s="56"/>
      <c r="Y674" s="56"/>
      <c r="Z674" s="56"/>
    </row>
    <row r="675" spans="1:26" ht="15.75" customHeight="1">
      <c r="A675" s="56"/>
      <c r="B675" s="56"/>
      <c r="C675" s="56"/>
      <c r="D675" s="56"/>
      <c r="E675" s="56"/>
      <c r="F675" s="56"/>
      <c r="G675" s="56"/>
      <c r="H675" s="56"/>
      <c r="I675" s="56"/>
      <c r="J675" s="56"/>
      <c r="K675" s="56"/>
      <c r="L675" s="56"/>
      <c r="M675" s="56"/>
      <c r="N675" s="56"/>
      <c r="O675" s="56"/>
      <c r="P675" s="56"/>
      <c r="Q675" s="56"/>
      <c r="R675" s="56"/>
      <c r="S675" s="56"/>
      <c r="T675" s="56"/>
      <c r="U675" s="56"/>
      <c r="V675" s="56"/>
      <c r="W675" s="56"/>
      <c r="X675" s="56"/>
      <c r="Y675" s="56"/>
      <c r="Z675" s="56"/>
    </row>
    <row r="676" spans="1:26" ht="15.75" customHeight="1">
      <c r="A676" s="56"/>
      <c r="B676" s="56"/>
      <c r="C676" s="56"/>
      <c r="D676" s="56"/>
      <c r="E676" s="56"/>
      <c r="F676" s="56"/>
      <c r="G676" s="56"/>
      <c r="H676" s="56"/>
      <c r="I676" s="56"/>
      <c r="J676" s="56"/>
      <c r="K676" s="56"/>
      <c r="L676" s="56"/>
      <c r="M676" s="56"/>
      <c r="N676" s="56"/>
      <c r="O676" s="56"/>
      <c r="P676" s="56"/>
      <c r="Q676" s="56"/>
      <c r="R676" s="56"/>
      <c r="S676" s="56"/>
      <c r="T676" s="56"/>
      <c r="U676" s="56"/>
      <c r="V676" s="56"/>
      <c r="W676" s="56"/>
      <c r="X676" s="56"/>
      <c r="Y676" s="56"/>
      <c r="Z676" s="56"/>
    </row>
    <row r="677" spans="1:26" ht="15.75" customHeight="1">
      <c r="A677" s="56"/>
      <c r="B677" s="56"/>
      <c r="C677" s="56"/>
      <c r="D677" s="56"/>
      <c r="E677" s="56"/>
      <c r="F677" s="56"/>
      <c r="G677" s="56"/>
      <c r="H677" s="56"/>
      <c r="I677" s="56"/>
      <c r="J677" s="56"/>
      <c r="K677" s="56"/>
      <c r="L677" s="56"/>
      <c r="M677" s="56"/>
      <c r="N677" s="56"/>
      <c r="O677" s="56"/>
      <c r="P677" s="56"/>
      <c r="Q677" s="56"/>
      <c r="R677" s="56"/>
      <c r="S677" s="56"/>
      <c r="T677" s="56"/>
      <c r="U677" s="56"/>
      <c r="V677" s="56"/>
      <c r="W677" s="56"/>
      <c r="X677" s="56"/>
      <c r="Y677" s="56"/>
      <c r="Z677" s="56"/>
    </row>
    <row r="678" spans="1:26" ht="15.75" customHeight="1">
      <c r="A678" s="56"/>
      <c r="B678" s="56"/>
      <c r="C678" s="56"/>
      <c r="D678" s="56"/>
      <c r="E678" s="56"/>
      <c r="F678" s="56"/>
      <c r="G678" s="56"/>
      <c r="H678" s="56"/>
      <c r="I678" s="56"/>
      <c r="J678" s="56"/>
      <c r="K678" s="56"/>
      <c r="L678" s="56"/>
      <c r="M678" s="56"/>
      <c r="N678" s="56"/>
      <c r="O678" s="56"/>
      <c r="P678" s="56"/>
      <c r="Q678" s="56"/>
      <c r="R678" s="56"/>
      <c r="S678" s="56"/>
      <c r="T678" s="56"/>
      <c r="U678" s="56"/>
      <c r="V678" s="56"/>
      <c r="W678" s="56"/>
      <c r="X678" s="56"/>
      <c r="Y678" s="56"/>
      <c r="Z678" s="56"/>
    </row>
    <row r="679" spans="1:26" ht="15.75" customHeight="1">
      <c r="A679" s="56"/>
      <c r="B679" s="56"/>
      <c r="C679" s="56"/>
      <c r="D679" s="56"/>
      <c r="E679" s="56"/>
      <c r="F679" s="56"/>
      <c r="G679" s="56"/>
      <c r="H679" s="56"/>
      <c r="I679" s="56"/>
      <c r="J679" s="56"/>
      <c r="K679" s="56"/>
      <c r="L679" s="56"/>
      <c r="M679" s="56"/>
      <c r="N679" s="56"/>
      <c r="O679" s="56"/>
      <c r="P679" s="56"/>
      <c r="Q679" s="56"/>
      <c r="R679" s="56"/>
      <c r="S679" s="56"/>
      <c r="T679" s="56"/>
      <c r="U679" s="56"/>
      <c r="V679" s="56"/>
      <c r="W679" s="56"/>
      <c r="X679" s="56"/>
      <c r="Y679" s="56"/>
      <c r="Z679" s="56"/>
    </row>
    <row r="680" spans="1:26" ht="15.75" customHeight="1">
      <c r="A680" s="56"/>
      <c r="B680" s="56"/>
      <c r="C680" s="56"/>
      <c r="D680" s="56"/>
      <c r="E680" s="56"/>
      <c r="F680" s="56"/>
      <c r="G680" s="56"/>
      <c r="H680" s="56"/>
      <c r="I680" s="56"/>
      <c r="J680" s="56"/>
      <c r="K680" s="56"/>
      <c r="L680" s="56"/>
      <c r="M680" s="56"/>
      <c r="N680" s="56"/>
      <c r="O680" s="56"/>
      <c r="P680" s="56"/>
      <c r="Q680" s="56"/>
      <c r="R680" s="56"/>
      <c r="S680" s="56"/>
      <c r="T680" s="56"/>
      <c r="U680" s="56"/>
      <c r="V680" s="56"/>
      <c r="W680" s="56"/>
      <c r="X680" s="56"/>
      <c r="Y680" s="56"/>
      <c r="Z680" s="56"/>
    </row>
    <row r="681" spans="1:26" ht="15.75" customHeight="1">
      <c r="A681" s="56"/>
      <c r="B681" s="56"/>
      <c r="C681" s="56"/>
      <c r="D681" s="56"/>
      <c r="E681" s="56"/>
      <c r="F681" s="56"/>
      <c r="G681" s="56"/>
      <c r="H681" s="56"/>
      <c r="I681" s="56"/>
      <c r="J681" s="56"/>
      <c r="K681" s="56"/>
      <c r="L681" s="56"/>
      <c r="M681" s="56"/>
      <c r="N681" s="56"/>
      <c r="O681" s="56"/>
      <c r="P681" s="56"/>
      <c r="Q681" s="56"/>
      <c r="R681" s="56"/>
      <c r="S681" s="56"/>
      <c r="T681" s="56"/>
      <c r="U681" s="56"/>
      <c r="V681" s="56"/>
      <c r="W681" s="56"/>
      <c r="X681" s="56"/>
      <c r="Y681" s="56"/>
      <c r="Z681" s="56"/>
    </row>
    <row r="682" spans="1:26" ht="15.75" customHeight="1">
      <c r="A682" s="56"/>
      <c r="B682" s="56"/>
      <c r="C682" s="56"/>
      <c r="D682" s="56"/>
      <c r="E682" s="56"/>
      <c r="F682" s="56"/>
      <c r="G682" s="56"/>
      <c r="H682" s="56"/>
      <c r="I682" s="56"/>
      <c r="J682" s="56"/>
      <c r="K682" s="56"/>
      <c r="L682" s="56"/>
      <c r="M682" s="56"/>
      <c r="N682" s="56"/>
      <c r="O682" s="56"/>
      <c r="P682" s="56"/>
      <c r="Q682" s="56"/>
      <c r="R682" s="56"/>
      <c r="S682" s="56"/>
      <c r="T682" s="56"/>
      <c r="U682" s="56"/>
      <c r="V682" s="56"/>
      <c r="W682" s="56"/>
      <c r="X682" s="56"/>
      <c r="Y682" s="56"/>
      <c r="Z682" s="56"/>
    </row>
    <row r="683" spans="1:26" ht="15.75" customHeight="1">
      <c r="A683" s="56"/>
      <c r="B683" s="56"/>
      <c r="C683" s="56"/>
      <c r="D683" s="56"/>
      <c r="E683" s="56"/>
      <c r="F683" s="56"/>
      <c r="G683" s="56"/>
      <c r="H683" s="56"/>
      <c r="I683" s="56"/>
      <c r="J683" s="56"/>
      <c r="K683" s="56"/>
      <c r="L683" s="56"/>
      <c r="M683" s="56"/>
      <c r="N683" s="56"/>
      <c r="O683" s="56"/>
      <c r="P683" s="56"/>
      <c r="Q683" s="56"/>
      <c r="R683" s="56"/>
      <c r="S683" s="56"/>
      <c r="T683" s="56"/>
      <c r="U683" s="56"/>
      <c r="V683" s="56"/>
      <c r="W683" s="56"/>
      <c r="X683" s="56"/>
      <c r="Y683" s="56"/>
      <c r="Z683" s="56"/>
    </row>
    <row r="684" spans="1:26" ht="15.75" customHeight="1">
      <c r="A684" s="56"/>
      <c r="B684" s="56"/>
      <c r="C684" s="56"/>
      <c r="D684" s="56"/>
      <c r="E684" s="56"/>
      <c r="F684" s="56"/>
      <c r="G684" s="56"/>
      <c r="H684" s="56"/>
      <c r="I684" s="56"/>
      <c r="J684" s="56"/>
      <c r="K684" s="56"/>
      <c r="L684" s="56"/>
      <c r="M684" s="56"/>
      <c r="N684" s="56"/>
      <c r="O684" s="56"/>
      <c r="P684" s="56"/>
      <c r="Q684" s="56"/>
      <c r="R684" s="56"/>
      <c r="S684" s="56"/>
      <c r="T684" s="56"/>
      <c r="U684" s="56"/>
      <c r="V684" s="56"/>
      <c r="W684" s="56"/>
      <c r="X684" s="56"/>
      <c r="Y684" s="56"/>
      <c r="Z684" s="56"/>
    </row>
    <row r="685" spans="1:26" ht="15.75" customHeight="1">
      <c r="A685" s="56"/>
      <c r="B685" s="56"/>
      <c r="C685" s="56"/>
      <c r="D685" s="56"/>
      <c r="E685" s="56"/>
      <c r="F685" s="56"/>
      <c r="G685" s="56"/>
      <c r="H685" s="56"/>
      <c r="I685" s="56"/>
      <c r="J685" s="56"/>
      <c r="K685" s="56"/>
      <c r="L685" s="56"/>
      <c r="M685" s="56"/>
      <c r="N685" s="56"/>
      <c r="O685" s="56"/>
      <c r="P685" s="56"/>
      <c r="Q685" s="56"/>
      <c r="R685" s="56"/>
      <c r="S685" s="56"/>
      <c r="T685" s="56"/>
      <c r="U685" s="56"/>
      <c r="V685" s="56"/>
      <c r="W685" s="56"/>
      <c r="X685" s="56"/>
      <c r="Y685" s="56"/>
      <c r="Z685" s="56"/>
    </row>
    <row r="686" spans="1:26" ht="15.75" customHeight="1">
      <c r="A686" s="56"/>
      <c r="B686" s="56"/>
      <c r="C686" s="56"/>
      <c r="D686" s="56"/>
      <c r="E686" s="56"/>
      <c r="F686" s="56"/>
      <c r="G686" s="56"/>
      <c r="H686" s="56"/>
      <c r="I686" s="56"/>
      <c r="J686" s="56"/>
      <c r="K686" s="56"/>
      <c r="L686" s="56"/>
      <c r="M686" s="56"/>
      <c r="N686" s="56"/>
      <c r="O686" s="56"/>
      <c r="P686" s="56"/>
      <c r="Q686" s="56"/>
      <c r="R686" s="56"/>
      <c r="S686" s="56"/>
      <c r="T686" s="56"/>
      <c r="U686" s="56"/>
      <c r="V686" s="56"/>
      <c r="W686" s="56"/>
      <c r="X686" s="56"/>
      <c r="Y686" s="56"/>
      <c r="Z686" s="56"/>
    </row>
    <row r="687" spans="1:26" ht="15.75" customHeight="1">
      <c r="A687" s="56"/>
      <c r="B687" s="56"/>
      <c r="C687" s="56"/>
      <c r="D687" s="56"/>
      <c r="E687" s="56"/>
      <c r="F687" s="56"/>
      <c r="G687" s="56"/>
      <c r="H687" s="56"/>
      <c r="I687" s="56"/>
      <c r="J687" s="56"/>
      <c r="K687" s="56"/>
      <c r="L687" s="56"/>
      <c r="M687" s="56"/>
      <c r="N687" s="56"/>
      <c r="O687" s="56"/>
      <c r="P687" s="56"/>
      <c r="Q687" s="56"/>
      <c r="R687" s="56"/>
      <c r="S687" s="56"/>
      <c r="T687" s="56"/>
      <c r="U687" s="56"/>
      <c r="V687" s="56"/>
      <c r="W687" s="56"/>
      <c r="X687" s="56"/>
      <c r="Y687" s="56"/>
      <c r="Z687" s="56"/>
    </row>
    <row r="688" spans="1:26" ht="15.75" customHeight="1">
      <c r="A688" s="56"/>
      <c r="B688" s="56"/>
      <c r="C688" s="56"/>
      <c r="D688" s="56"/>
      <c r="E688" s="56"/>
      <c r="F688" s="56"/>
      <c r="G688" s="56"/>
      <c r="H688" s="56"/>
      <c r="I688" s="56"/>
      <c r="J688" s="56"/>
      <c r="K688" s="56"/>
      <c r="L688" s="56"/>
      <c r="M688" s="56"/>
      <c r="N688" s="56"/>
      <c r="O688" s="56"/>
      <c r="P688" s="56"/>
      <c r="Q688" s="56"/>
      <c r="R688" s="56"/>
      <c r="S688" s="56"/>
      <c r="T688" s="56"/>
      <c r="U688" s="56"/>
      <c r="V688" s="56"/>
      <c r="W688" s="56"/>
      <c r="X688" s="56"/>
      <c r="Y688" s="56"/>
      <c r="Z688" s="56"/>
    </row>
    <row r="689" spans="1:26" ht="15.75" customHeight="1">
      <c r="A689" s="56"/>
      <c r="B689" s="56"/>
      <c r="C689" s="56"/>
      <c r="D689" s="56"/>
      <c r="E689" s="56"/>
      <c r="F689" s="56"/>
      <c r="G689" s="56"/>
      <c r="H689" s="56"/>
      <c r="I689" s="56"/>
      <c r="J689" s="56"/>
      <c r="K689" s="56"/>
      <c r="L689" s="56"/>
      <c r="M689" s="56"/>
      <c r="N689" s="56"/>
      <c r="O689" s="56"/>
      <c r="P689" s="56"/>
      <c r="Q689" s="56"/>
      <c r="R689" s="56"/>
      <c r="S689" s="56"/>
      <c r="T689" s="56"/>
      <c r="U689" s="56"/>
      <c r="V689" s="56"/>
      <c r="W689" s="56"/>
      <c r="X689" s="56"/>
      <c r="Y689" s="56"/>
      <c r="Z689" s="56"/>
    </row>
    <row r="690" spans="1:26" ht="15.75" customHeight="1">
      <c r="A690" s="56"/>
      <c r="B690" s="56"/>
      <c r="C690" s="56"/>
      <c r="D690" s="56"/>
      <c r="E690" s="56"/>
      <c r="F690" s="56"/>
      <c r="G690" s="56"/>
      <c r="H690" s="56"/>
      <c r="I690" s="56"/>
      <c r="J690" s="56"/>
      <c r="K690" s="56"/>
      <c r="L690" s="56"/>
      <c r="M690" s="56"/>
      <c r="N690" s="56"/>
      <c r="O690" s="56"/>
      <c r="P690" s="56"/>
      <c r="Q690" s="56"/>
      <c r="R690" s="56"/>
      <c r="S690" s="56"/>
      <c r="T690" s="56"/>
      <c r="U690" s="56"/>
      <c r="V690" s="56"/>
      <c r="W690" s="56"/>
      <c r="X690" s="56"/>
      <c r="Y690" s="56"/>
      <c r="Z690" s="56"/>
    </row>
    <row r="691" spans="1:26" ht="15.75" customHeight="1">
      <c r="A691" s="56"/>
      <c r="B691" s="56"/>
      <c r="C691" s="56"/>
      <c r="D691" s="56"/>
      <c r="E691" s="56"/>
      <c r="F691" s="56"/>
      <c r="G691" s="56"/>
      <c r="H691" s="56"/>
      <c r="I691" s="56"/>
      <c r="J691" s="56"/>
      <c r="K691" s="56"/>
      <c r="L691" s="56"/>
      <c r="M691" s="56"/>
      <c r="N691" s="56"/>
      <c r="O691" s="56"/>
      <c r="P691" s="56"/>
      <c r="Q691" s="56"/>
      <c r="R691" s="56"/>
      <c r="S691" s="56"/>
      <c r="T691" s="56"/>
      <c r="U691" s="56"/>
      <c r="V691" s="56"/>
      <c r="W691" s="56"/>
      <c r="X691" s="56"/>
      <c r="Y691" s="56"/>
      <c r="Z691" s="56"/>
    </row>
    <row r="692" spans="1:26" ht="15.75" customHeight="1">
      <c r="A692" s="56"/>
      <c r="B692" s="56"/>
      <c r="C692" s="56"/>
      <c r="D692" s="56"/>
      <c r="E692" s="56"/>
      <c r="F692" s="56"/>
      <c r="G692" s="56"/>
      <c r="H692" s="56"/>
      <c r="I692" s="56"/>
      <c r="J692" s="56"/>
      <c r="K692" s="56"/>
      <c r="L692" s="56"/>
      <c r="M692" s="56"/>
      <c r="N692" s="56"/>
      <c r="O692" s="56"/>
      <c r="P692" s="56"/>
      <c r="Q692" s="56"/>
      <c r="R692" s="56"/>
      <c r="S692" s="56"/>
      <c r="T692" s="56"/>
      <c r="U692" s="56"/>
      <c r="V692" s="56"/>
      <c r="W692" s="56"/>
      <c r="X692" s="56"/>
      <c r="Y692" s="56"/>
      <c r="Z692" s="56"/>
    </row>
    <row r="693" spans="1:26" ht="15.75" customHeight="1">
      <c r="A693" s="56"/>
      <c r="B693" s="56"/>
      <c r="C693" s="56"/>
      <c r="D693" s="56"/>
      <c r="E693" s="56"/>
      <c r="F693" s="56"/>
      <c r="G693" s="56"/>
      <c r="H693" s="56"/>
      <c r="I693" s="56"/>
      <c r="J693" s="56"/>
      <c r="K693" s="56"/>
      <c r="L693" s="56"/>
      <c r="M693" s="56"/>
      <c r="N693" s="56"/>
      <c r="O693" s="56"/>
      <c r="P693" s="56"/>
      <c r="Q693" s="56"/>
      <c r="R693" s="56"/>
      <c r="S693" s="56"/>
      <c r="T693" s="56"/>
      <c r="U693" s="56"/>
      <c r="V693" s="56"/>
      <c r="W693" s="56"/>
      <c r="X693" s="56"/>
      <c r="Y693" s="56"/>
      <c r="Z693" s="56"/>
    </row>
    <row r="694" spans="1:26" ht="15.75" customHeight="1">
      <c r="A694" s="56"/>
      <c r="B694" s="56"/>
      <c r="C694" s="56"/>
      <c r="D694" s="56"/>
      <c r="E694" s="56"/>
      <c r="F694" s="56"/>
      <c r="G694" s="56"/>
      <c r="H694" s="56"/>
      <c r="I694" s="56"/>
      <c r="J694" s="56"/>
      <c r="K694" s="56"/>
      <c r="L694" s="56"/>
      <c r="M694" s="56"/>
      <c r="N694" s="56"/>
      <c r="O694" s="56"/>
      <c r="P694" s="56"/>
      <c r="Q694" s="56"/>
      <c r="R694" s="56"/>
      <c r="S694" s="56"/>
      <c r="T694" s="56"/>
      <c r="U694" s="56"/>
      <c r="V694" s="56"/>
      <c r="W694" s="56"/>
      <c r="X694" s="56"/>
      <c r="Y694" s="56"/>
      <c r="Z694" s="56"/>
    </row>
    <row r="695" spans="1:26" ht="15.75" customHeight="1">
      <c r="A695" s="56"/>
      <c r="B695" s="56"/>
      <c r="C695" s="56"/>
      <c r="D695" s="56"/>
      <c r="E695" s="56"/>
      <c r="F695" s="56"/>
      <c r="G695" s="56"/>
      <c r="H695" s="56"/>
      <c r="I695" s="56"/>
      <c r="J695" s="56"/>
      <c r="K695" s="56"/>
      <c r="L695" s="56"/>
      <c r="M695" s="56"/>
      <c r="N695" s="56"/>
      <c r="O695" s="56"/>
      <c r="P695" s="56"/>
      <c r="Q695" s="56"/>
      <c r="R695" s="56"/>
      <c r="S695" s="56"/>
      <c r="T695" s="56"/>
      <c r="U695" s="56"/>
      <c r="V695" s="56"/>
      <c r="W695" s="56"/>
      <c r="X695" s="56"/>
      <c r="Y695" s="56"/>
      <c r="Z695" s="56"/>
    </row>
    <row r="696" spans="1:26" ht="15.75" customHeight="1">
      <c r="A696" s="56"/>
      <c r="B696" s="56"/>
      <c r="C696" s="56"/>
      <c r="D696" s="56"/>
      <c r="E696" s="56"/>
      <c r="F696" s="56"/>
      <c r="G696" s="56"/>
      <c r="H696" s="56"/>
      <c r="I696" s="56"/>
      <c r="J696" s="56"/>
      <c r="K696" s="56"/>
      <c r="L696" s="56"/>
      <c r="M696" s="56"/>
      <c r="N696" s="56"/>
      <c r="O696" s="56"/>
      <c r="P696" s="56"/>
      <c r="Q696" s="56"/>
      <c r="R696" s="56"/>
      <c r="S696" s="56"/>
      <c r="T696" s="56"/>
      <c r="U696" s="56"/>
      <c r="V696" s="56"/>
      <c r="W696" s="56"/>
      <c r="X696" s="56"/>
      <c r="Y696" s="56"/>
      <c r="Z696" s="56"/>
    </row>
    <row r="697" spans="1:26" ht="15.75" customHeight="1">
      <c r="A697" s="56"/>
      <c r="B697" s="56"/>
      <c r="C697" s="56"/>
      <c r="D697" s="56"/>
      <c r="E697" s="56"/>
      <c r="F697" s="56"/>
      <c r="G697" s="56"/>
      <c r="H697" s="56"/>
      <c r="I697" s="56"/>
      <c r="J697" s="56"/>
      <c r="K697" s="56"/>
      <c r="L697" s="56"/>
      <c r="M697" s="56"/>
      <c r="N697" s="56"/>
      <c r="O697" s="56"/>
      <c r="P697" s="56"/>
      <c r="Q697" s="56"/>
      <c r="R697" s="56"/>
      <c r="S697" s="56"/>
      <c r="T697" s="56"/>
      <c r="U697" s="56"/>
      <c r="V697" s="56"/>
      <c r="W697" s="56"/>
      <c r="X697" s="56"/>
      <c r="Y697" s="56"/>
      <c r="Z697" s="56"/>
    </row>
    <row r="698" spans="1:26" ht="15.75" customHeight="1">
      <c r="A698" s="56"/>
      <c r="B698" s="56"/>
      <c r="C698" s="56"/>
      <c r="D698" s="56"/>
      <c r="E698" s="56"/>
      <c r="F698" s="56"/>
      <c r="G698" s="56"/>
      <c r="H698" s="56"/>
      <c r="I698" s="56"/>
      <c r="J698" s="56"/>
      <c r="K698" s="56"/>
      <c r="L698" s="56"/>
      <c r="M698" s="56"/>
      <c r="N698" s="56"/>
      <c r="O698" s="56"/>
      <c r="P698" s="56"/>
      <c r="Q698" s="56"/>
      <c r="R698" s="56"/>
      <c r="S698" s="56"/>
      <c r="T698" s="56"/>
      <c r="U698" s="56"/>
      <c r="V698" s="56"/>
      <c r="W698" s="56"/>
      <c r="X698" s="56"/>
      <c r="Y698" s="56"/>
      <c r="Z698" s="56"/>
    </row>
    <row r="699" spans="1:26" ht="15.75" customHeight="1">
      <c r="A699" s="56"/>
      <c r="B699" s="56"/>
      <c r="C699" s="56"/>
      <c r="D699" s="56"/>
      <c r="E699" s="56"/>
      <c r="F699" s="56"/>
      <c r="G699" s="56"/>
      <c r="H699" s="56"/>
      <c r="I699" s="56"/>
      <c r="J699" s="56"/>
      <c r="K699" s="56"/>
      <c r="L699" s="56"/>
      <c r="M699" s="56"/>
      <c r="N699" s="56"/>
      <c r="O699" s="56"/>
      <c r="P699" s="56"/>
      <c r="Q699" s="56"/>
      <c r="R699" s="56"/>
      <c r="S699" s="56"/>
      <c r="T699" s="56"/>
      <c r="U699" s="56"/>
      <c r="V699" s="56"/>
      <c r="W699" s="56"/>
      <c r="X699" s="56"/>
      <c r="Y699" s="56"/>
      <c r="Z699" s="56"/>
    </row>
    <row r="700" spans="1:26" ht="15.75" customHeight="1">
      <c r="A700" s="56"/>
      <c r="B700" s="56"/>
      <c r="C700" s="56"/>
      <c r="D700" s="56"/>
      <c r="E700" s="56"/>
      <c r="F700" s="56"/>
      <c r="G700" s="56"/>
      <c r="H700" s="56"/>
      <c r="I700" s="56"/>
      <c r="J700" s="56"/>
      <c r="K700" s="56"/>
      <c r="L700" s="56"/>
      <c r="M700" s="56"/>
      <c r="N700" s="56"/>
      <c r="O700" s="56"/>
      <c r="P700" s="56"/>
      <c r="Q700" s="56"/>
      <c r="R700" s="56"/>
      <c r="S700" s="56"/>
      <c r="T700" s="56"/>
      <c r="U700" s="56"/>
      <c r="V700" s="56"/>
      <c r="W700" s="56"/>
      <c r="X700" s="56"/>
      <c r="Y700" s="56"/>
      <c r="Z700" s="56"/>
    </row>
    <row r="701" spans="1:26" ht="15.75" customHeight="1">
      <c r="A701" s="56"/>
      <c r="B701" s="56"/>
      <c r="C701" s="56"/>
      <c r="D701" s="56"/>
      <c r="E701" s="56"/>
      <c r="F701" s="56"/>
      <c r="G701" s="56"/>
      <c r="H701" s="56"/>
      <c r="I701" s="56"/>
      <c r="J701" s="56"/>
      <c r="K701" s="56"/>
      <c r="L701" s="56"/>
      <c r="M701" s="56"/>
      <c r="N701" s="56"/>
      <c r="O701" s="56"/>
      <c r="P701" s="56"/>
      <c r="Q701" s="56"/>
      <c r="R701" s="56"/>
      <c r="S701" s="56"/>
      <c r="T701" s="56"/>
      <c r="U701" s="56"/>
      <c r="V701" s="56"/>
      <c r="W701" s="56"/>
      <c r="X701" s="56"/>
      <c r="Y701" s="56"/>
      <c r="Z701" s="56"/>
    </row>
    <row r="702" spans="1:26" ht="15.75" customHeight="1">
      <c r="A702" s="56"/>
      <c r="B702" s="56"/>
      <c r="C702" s="56"/>
      <c r="D702" s="56"/>
      <c r="E702" s="56"/>
      <c r="F702" s="56"/>
      <c r="G702" s="56"/>
      <c r="H702" s="56"/>
      <c r="I702" s="56"/>
      <c r="J702" s="56"/>
      <c r="K702" s="56"/>
      <c r="L702" s="56"/>
      <c r="M702" s="56"/>
      <c r="N702" s="56"/>
      <c r="O702" s="56"/>
      <c r="P702" s="56"/>
      <c r="Q702" s="56"/>
      <c r="R702" s="56"/>
      <c r="S702" s="56"/>
      <c r="T702" s="56"/>
      <c r="U702" s="56"/>
      <c r="V702" s="56"/>
      <c r="W702" s="56"/>
      <c r="X702" s="56"/>
      <c r="Y702" s="56"/>
      <c r="Z702" s="56"/>
    </row>
    <row r="703" spans="1:26" ht="15.75" customHeight="1">
      <c r="A703" s="56"/>
      <c r="B703" s="56"/>
      <c r="C703" s="56"/>
      <c r="D703" s="56"/>
      <c r="E703" s="56"/>
      <c r="F703" s="56"/>
      <c r="G703" s="56"/>
      <c r="H703" s="56"/>
      <c r="I703" s="56"/>
      <c r="J703" s="56"/>
      <c r="K703" s="56"/>
      <c r="L703" s="56"/>
      <c r="M703" s="56"/>
      <c r="N703" s="56"/>
      <c r="O703" s="56"/>
      <c r="P703" s="56"/>
      <c r="Q703" s="56"/>
      <c r="R703" s="56"/>
      <c r="S703" s="56"/>
      <c r="T703" s="56"/>
      <c r="U703" s="56"/>
      <c r="V703" s="56"/>
      <c r="W703" s="56"/>
      <c r="X703" s="56"/>
      <c r="Y703" s="56"/>
      <c r="Z703" s="56"/>
    </row>
    <row r="704" spans="1:26" ht="15.75" customHeight="1">
      <c r="A704" s="56"/>
      <c r="B704" s="56"/>
      <c r="C704" s="56"/>
      <c r="D704" s="56"/>
      <c r="E704" s="56"/>
      <c r="F704" s="56"/>
      <c r="G704" s="56"/>
      <c r="H704" s="56"/>
      <c r="I704" s="56"/>
      <c r="J704" s="56"/>
      <c r="K704" s="56"/>
      <c r="L704" s="56"/>
      <c r="M704" s="56"/>
      <c r="N704" s="56"/>
      <c r="O704" s="56"/>
      <c r="P704" s="56"/>
      <c r="Q704" s="56"/>
      <c r="R704" s="56"/>
      <c r="S704" s="56"/>
      <c r="T704" s="56"/>
      <c r="U704" s="56"/>
      <c r="V704" s="56"/>
      <c r="W704" s="56"/>
      <c r="X704" s="56"/>
      <c r="Y704" s="56"/>
      <c r="Z704" s="56"/>
    </row>
    <row r="705" spans="1:26" ht="15.75" customHeight="1">
      <c r="A705" s="56"/>
      <c r="B705" s="56"/>
      <c r="C705" s="56"/>
      <c r="D705" s="56"/>
      <c r="E705" s="56"/>
      <c r="F705" s="56"/>
      <c r="G705" s="56"/>
      <c r="H705" s="56"/>
      <c r="I705" s="56"/>
      <c r="J705" s="56"/>
      <c r="K705" s="56"/>
      <c r="L705" s="56"/>
      <c r="M705" s="56"/>
      <c r="N705" s="56"/>
      <c r="O705" s="56"/>
      <c r="P705" s="56"/>
      <c r="Q705" s="56"/>
      <c r="R705" s="56"/>
      <c r="S705" s="56"/>
      <c r="T705" s="56"/>
      <c r="U705" s="56"/>
      <c r="V705" s="56"/>
      <c r="W705" s="56"/>
      <c r="X705" s="56"/>
      <c r="Y705" s="56"/>
      <c r="Z705" s="56"/>
    </row>
    <row r="706" spans="1:26" ht="15.75" customHeight="1">
      <c r="A706" s="56"/>
      <c r="B706" s="56"/>
      <c r="C706" s="56"/>
      <c r="D706" s="56"/>
      <c r="E706" s="56"/>
      <c r="F706" s="56"/>
      <c r="G706" s="56"/>
      <c r="H706" s="56"/>
      <c r="I706" s="56"/>
      <c r="J706" s="56"/>
      <c r="K706" s="56"/>
      <c r="L706" s="56"/>
      <c r="M706" s="56"/>
      <c r="N706" s="56"/>
      <c r="O706" s="56"/>
      <c r="P706" s="56"/>
      <c r="Q706" s="56"/>
      <c r="R706" s="56"/>
      <c r="S706" s="56"/>
      <c r="T706" s="56"/>
      <c r="U706" s="56"/>
      <c r="V706" s="56"/>
      <c r="W706" s="56"/>
      <c r="X706" s="56"/>
      <c r="Y706" s="56"/>
      <c r="Z706" s="56"/>
    </row>
    <row r="707" spans="1:26" ht="15.75" customHeight="1">
      <c r="A707" s="56"/>
      <c r="B707" s="56"/>
      <c r="C707" s="56"/>
      <c r="D707" s="56"/>
      <c r="E707" s="56"/>
      <c r="F707" s="56"/>
      <c r="G707" s="56"/>
      <c r="H707" s="56"/>
      <c r="I707" s="56"/>
      <c r="J707" s="56"/>
      <c r="K707" s="56"/>
      <c r="L707" s="56"/>
      <c r="M707" s="56"/>
      <c r="N707" s="56"/>
      <c r="O707" s="56"/>
      <c r="P707" s="56"/>
      <c r="Q707" s="56"/>
      <c r="R707" s="56"/>
      <c r="S707" s="56"/>
      <c r="T707" s="56"/>
      <c r="U707" s="56"/>
      <c r="V707" s="56"/>
      <c r="W707" s="56"/>
      <c r="X707" s="56"/>
      <c r="Y707" s="56"/>
      <c r="Z707" s="56"/>
    </row>
    <row r="708" spans="1:26" ht="15.75" customHeight="1">
      <c r="A708" s="56"/>
      <c r="B708" s="56"/>
      <c r="C708" s="56"/>
      <c r="D708" s="56"/>
      <c r="E708" s="56"/>
      <c r="F708" s="56"/>
      <c r="G708" s="56"/>
      <c r="H708" s="56"/>
      <c r="I708" s="56"/>
      <c r="J708" s="56"/>
      <c r="K708" s="56"/>
      <c r="L708" s="56"/>
      <c r="M708" s="56"/>
      <c r="N708" s="56"/>
      <c r="O708" s="56"/>
      <c r="P708" s="56"/>
      <c r="Q708" s="56"/>
      <c r="R708" s="56"/>
      <c r="S708" s="56"/>
      <c r="T708" s="56"/>
      <c r="U708" s="56"/>
      <c r="V708" s="56"/>
      <c r="W708" s="56"/>
      <c r="X708" s="56"/>
      <c r="Y708" s="56"/>
      <c r="Z708" s="56"/>
    </row>
    <row r="709" spans="1:26" ht="15.75" customHeight="1">
      <c r="A709" s="56"/>
      <c r="B709" s="56"/>
      <c r="C709" s="56"/>
      <c r="D709" s="56"/>
      <c r="E709" s="56"/>
      <c r="F709" s="56"/>
      <c r="G709" s="56"/>
      <c r="H709" s="56"/>
      <c r="I709" s="56"/>
      <c r="J709" s="56"/>
      <c r="K709" s="56"/>
      <c r="L709" s="56"/>
      <c r="M709" s="56"/>
      <c r="N709" s="56"/>
      <c r="O709" s="56"/>
      <c r="P709" s="56"/>
      <c r="Q709" s="56"/>
      <c r="R709" s="56"/>
      <c r="S709" s="56"/>
      <c r="T709" s="56"/>
      <c r="U709" s="56"/>
      <c r="V709" s="56"/>
      <c r="W709" s="56"/>
      <c r="X709" s="56"/>
      <c r="Y709" s="56"/>
      <c r="Z709" s="56"/>
    </row>
    <row r="710" spans="1:26" ht="15.75" customHeight="1">
      <c r="A710" s="56"/>
      <c r="B710" s="56"/>
      <c r="C710" s="56"/>
      <c r="D710" s="56"/>
      <c r="E710" s="56"/>
      <c r="F710" s="56"/>
      <c r="G710" s="56"/>
      <c r="H710" s="56"/>
      <c r="I710" s="56"/>
      <c r="J710" s="56"/>
      <c r="K710" s="56"/>
      <c r="L710" s="56"/>
      <c r="M710" s="56"/>
      <c r="N710" s="56"/>
      <c r="O710" s="56"/>
      <c r="P710" s="56"/>
      <c r="Q710" s="56"/>
      <c r="R710" s="56"/>
      <c r="S710" s="56"/>
      <c r="T710" s="56"/>
      <c r="U710" s="56"/>
      <c r="V710" s="56"/>
      <c r="W710" s="56"/>
      <c r="X710" s="56"/>
      <c r="Y710" s="56"/>
      <c r="Z710" s="56"/>
    </row>
    <row r="711" spans="1:26" ht="15.75" customHeight="1">
      <c r="A711" s="56"/>
      <c r="B711" s="56"/>
      <c r="C711" s="56"/>
      <c r="D711" s="56"/>
      <c r="E711" s="56"/>
      <c r="F711" s="56"/>
      <c r="G711" s="56"/>
      <c r="H711" s="56"/>
      <c r="I711" s="56"/>
      <c r="J711" s="56"/>
      <c r="K711" s="56"/>
      <c r="L711" s="56"/>
      <c r="M711" s="56"/>
      <c r="N711" s="56"/>
      <c r="O711" s="56"/>
      <c r="P711" s="56"/>
      <c r="Q711" s="56"/>
      <c r="R711" s="56"/>
      <c r="S711" s="56"/>
      <c r="T711" s="56"/>
      <c r="U711" s="56"/>
      <c r="V711" s="56"/>
      <c r="W711" s="56"/>
      <c r="X711" s="56"/>
      <c r="Y711" s="56"/>
      <c r="Z711" s="56"/>
    </row>
    <row r="712" spans="1:26" ht="15.75" customHeight="1">
      <c r="A712" s="56"/>
      <c r="B712" s="56"/>
      <c r="C712" s="56"/>
      <c r="D712" s="56"/>
      <c r="E712" s="56"/>
      <c r="F712" s="56"/>
      <c r="G712" s="56"/>
      <c r="H712" s="56"/>
      <c r="I712" s="56"/>
      <c r="J712" s="56"/>
      <c r="K712" s="56"/>
      <c r="L712" s="56"/>
      <c r="M712" s="56"/>
      <c r="N712" s="56"/>
      <c r="O712" s="56"/>
      <c r="P712" s="56"/>
      <c r="Q712" s="56"/>
      <c r="R712" s="56"/>
      <c r="S712" s="56"/>
      <c r="T712" s="56"/>
      <c r="U712" s="56"/>
      <c r="V712" s="56"/>
      <c r="W712" s="56"/>
      <c r="X712" s="56"/>
      <c r="Y712" s="56"/>
      <c r="Z712" s="56"/>
    </row>
    <row r="713" spans="1:26" ht="15.75" customHeight="1">
      <c r="A713" s="56"/>
      <c r="B713" s="56"/>
      <c r="C713" s="56"/>
      <c r="D713" s="56"/>
      <c r="E713" s="56"/>
      <c r="F713" s="56"/>
      <c r="G713" s="56"/>
      <c r="H713" s="56"/>
      <c r="I713" s="56"/>
      <c r="J713" s="56"/>
      <c r="K713" s="56"/>
      <c r="L713" s="56"/>
      <c r="M713" s="56"/>
      <c r="N713" s="56"/>
      <c r="O713" s="56"/>
      <c r="P713" s="56"/>
      <c r="Q713" s="56"/>
      <c r="R713" s="56"/>
      <c r="S713" s="56"/>
      <c r="T713" s="56"/>
      <c r="U713" s="56"/>
      <c r="V713" s="56"/>
      <c r="W713" s="56"/>
      <c r="X713" s="56"/>
      <c r="Y713" s="56"/>
      <c r="Z713" s="56"/>
    </row>
    <row r="714" spans="1:26" ht="15.75" customHeight="1">
      <c r="A714" s="56"/>
      <c r="B714" s="56"/>
      <c r="C714" s="56"/>
      <c r="D714" s="56"/>
      <c r="E714" s="56"/>
      <c r="F714" s="56"/>
      <c r="G714" s="56"/>
      <c r="H714" s="56"/>
      <c r="I714" s="56"/>
      <c r="J714" s="56"/>
      <c r="K714" s="56"/>
      <c r="L714" s="56"/>
      <c r="M714" s="56"/>
      <c r="N714" s="56"/>
      <c r="O714" s="56"/>
      <c r="P714" s="56"/>
      <c r="Q714" s="56"/>
      <c r="R714" s="56"/>
      <c r="S714" s="56"/>
      <c r="T714" s="56"/>
      <c r="U714" s="56"/>
      <c r="V714" s="56"/>
      <c r="W714" s="56"/>
      <c r="X714" s="56"/>
      <c r="Y714" s="56"/>
      <c r="Z714" s="56"/>
    </row>
    <row r="715" spans="1:26" ht="15.75" customHeight="1">
      <c r="A715" s="56"/>
      <c r="B715" s="56"/>
      <c r="C715" s="56"/>
      <c r="D715" s="56"/>
      <c r="E715" s="56"/>
      <c r="F715" s="56"/>
      <c r="G715" s="56"/>
      <c r="H715" s="56"/>
      <c r="I715" s="56"/>
      <c r="J715" s="56"/>
      <c r="K715" s="56"/>
      <c r="L715" s="56"/>
      <c r="M715" s="56"/>
      <c r="N715" s="56"/>
      <c r="O715" s="56"/>
      <c r="P715" s="56"/>
      <c r="Q715" s="56"/>
      <c r="R715" s="56"/>
      <c r="S715" s="56"/>
      <c r="T715" s="56"/>
      <c r="U715" s="56"/>
      <c r="V715" s="56"/>
      <c r="W715" s="56"/>
      <c r="X715" s="56"/>
      <c r="Y715" s="56"/>
      <c r="Z715" s="56"/>
    </row>
    <row r="716" spans="1:26" ht="15.75" customHeight="1">
      <c r="A716" s="56"/>
      <c r="B716" s="56"/>
      <c r="C716" s="56"/>
      <c r="D716" s="56"/>
      <c r="E716" s="56"/>
      <c r="F716" s="56"/>
      <c r="G716" s="56"/>
      <c r="H716" s="56"/>
      <c r="I716" s="56"/>
      <c r="J716" s="56"/>
      <c r="K716" s="56"/>
      <c r="L716" s="56"/>
      <c r="M716" s="56"/>
      <c r="N716" s="56"/>
      <c r="O716" s="56"/>
      <c r="P716" s="56"/>
      <c r="Q716" s="56"/>
      <c r="R716" s="56"/>
      <c r="S716" s="56"/>
      <c r="T716" s="56"/>
      <c r="U716" s="56"/>
      <c r="V716" s="56"/>
      <c r="W716" s="56"/>
      <c r="X716" s="56"/>
      <c r="Y716" s="56"/>
      <c r="Z716" s="56"/>
    </row>
    <row r="717" spans="1:26" ht="15.75" customHeight="1">
      <c r="A717" s="56"/>
      <c r="B717" s="56"/>
      <c r="C717" s="56"/>
      <c r="D717" s="56"/>
      <c r="E717" s="56"/>
      <c r="F717" s="56"/>
      <c r="G717" s="56"/>
      <c r="H717" s="56"/>
      <c r="I717" s="56"/>
      <c r="J717" s="56"/>
      <c r="K717" s="56"/>
      <c r="L717" s="56"/>
      <c r="M717" s="56"/>
      <c r="N717" s="56"/>
      <c r="O717" s="56"/>
      <c r="P717" s="56"/>
      <c r="Q717" s="56"/>
      <c r="R717" s="56"/>
      <c r="S717" s="56"/>
      <c r="T717" s="56"/>
      <c r="U717" s="56"/>
      <c r="V717" s="56"/>
      <c r="W717" s="56"/>
      <c r="X717" s="56"/>
      <c r="Y717" s="56"/>
      <c r="Z717" s="56"/>
    </row>
    <row r="718" spans="1:26" ht="15.75" customHeight="1">
      <c r="A718" s="56"/>
      <c r="B718" s="56"/>
      <c r="C718" s="56"/>
      <c r="D718" s="56"/>
      <c r="E718" s="56"/>
      <c r="F718" s="56"/>
      <c r="G718" s="56"/>
      <c r="H718" s="56"/>
      <c r="I718" s="56"/>
      <c r="J718" s="56"/>
      <c r="K718" s="56"/>
      <c r="L718" s="56"/>
      <c r="M718" s="56"/>
      <c r="N718" s="56"/>
      <c r="O718" s="56"/>
      <c r="P718" s="56"/>
      <c r="Q718" s="56"/>
      <c r="R718" s="56"/>
      <c r="S718" s="56"/>
      <c r="T718" s="56"/>
      <c r="U718" s="56"/>
      <c r="V718" s="56"/>
      <c r="W718" s="56"/>
      <c r="X718" s="56"/>
      <c r="Y718" s="56"/>
      <c r="Z718" s="56"/>
    </row>
    <row r="719" spans="1:26" ht="15.75" customHeight="1">
      <c r="A719" s="56"/>
      <c r="B719" s="56"/>
      <c r="C719" s="56"/>
      <c r="D719" s="56"/>
      <c r="E719" s="56"/>
      <c r="F719" s="56"/>
      <c r="G719" s="56"/>
      <c r="H719" s="56"/>
      <c r="I719" s="56"/>
      <c r="J719" s="56"/>
      <c r="K719" s="56"/>
      <c r="L719" s="56"/>
      <c r="M719" s="56"/>
      <c r="N719" s="56"/>
      <c r="O719" s="56"/>
      <c r="P719" s="56"/>
      <c r="Q719" s="56"/>
      <c r="R719" s="56"/>
      <c r="S719" s="56"/>
      <c r="T719" s="56"/>
      <c r="U719" s="56"/>
      <c r="V719" s="56"/>
      <c r="W719" s="56"/>
      <c r="X719" s="56"/>
      <c r="Y719" s="56"/>
      <c r="Z719" s="56"/>
    </row>
    <row r="720" spans="1:26" ht="15.75" customHeight="1">
      <c r="A720" s="56"/>
      <c r="B720" s="56"/>
      <c r="C720" s="56"/>
      <c r="D720" s="56"/>
      <c r="E720" s="56"/>
      <c r="F720" s="56"/>
      <c r="G720" s="56"/>
      <c r="H720" s="56"/>
      <c r="I720" s="56"/>
      <c r="J720" s="56"/>
      <c r="K720" s="56"/>
      <c r="L720" s="56"/>
      <c r="M720" s="56"/>
      <c r="N720" s="56"/>
      <c r="O720" s="56"/>
      <c r="P720" s="56"/>
      <c r="Q720" s="56"/>
      <c r="R720" s="56"/>
      <c r="S720" s="56"/>
      <c r="T720" s="56"/>
      <c r="U720" s="56"/>
      <c r="V720" s="56"/>
      <c r="W720" s="56"/>
      <c r="X720" s="56"/>
      <c r="Y720" s="56"/>
      <c r="Z720" s="56"/>
    </row>
    <row r="721" spans="1:26" ht="15.75" customHeight="1">
      <c r="A721" s="56"/>
      <c r="B721" s="56"/>
      <c r="C721" s="56"/>
      <c r="D721" s="56"/>
      <c r="E721" s="56"/>
      <c r="F721" s="56"/>
      <c r="G721" s="56"/>
      <c r="H721" s="56"/>
      <c r="I721" s="56"/>
      <c r="J721" s="56"/>
      <c r="K721" s="56"/>
      <c r="L721" s="56"/>
      <c r="M721" s="56"/>
      <c r="N721" s="56"/>
      <c r="O721" s="56"/>
      <c r="P721" s="56"/>
      <c r="Q721" s="56"/>
      <c r="R721" s="56"/>
      <c r="S721" s="56"/>
      <c r="T721" s="56"/>
      <c r="U721" s="56"/>
      <c r="V721" s="56"/>
      <c r="W721" s="56"/>
      <c r="X721" s="56"/>
      <c r="Y721" s="56"/>
      <c r="Z721" s="56"/>
    </row>
    <row r="722" spans="1:26" ht="15.75" customHeight="1">
      <c r="A722" s="56"/>
      <c r="B722" s="56"/>
      <c r="C722" s="56"/>
      <c r="D722" s="56"/>
      <c r="E722" s="56"/>
      <c r="F722" s="56"/>
      <c r="G722" s="56"/>
      <c r="H722" s="56"/>
      <c r="I722" s="56"/>
      <c r="J722" s="56"/>
      <c r="K722" s="56"/>
      <c r="L722" s="56"/>
      <c r="M722" s="56"/>
      <c r="N722" s="56"/>
      <c r="O722" s="56"/>
      <c r="P722" s="56"/>
      <c r="Q722" s="56"/>
      <c r="R722" s="56"/>
      <c r="S722" s="56"/>
      <c r="T722" s="56"/>
      <c r="U722" s="56"/>
      <c r="V722" s="56"/>
      <c r="W722" s="56"/>
      <c r="X722" s="56"/>
      <c r="Y722" s="56"/>
      <c r="Z722" s="56"/>
    </row>
    <row r="723" spans="1:26" ht="15.75" customHeight="1">
      <c r="A723" s="56"/>
      <c r="B723" s="56"/>
      <c r="C723" s="56"/>
      <c r="D723" s="56"/>
      <c r="E723" s="56"/>
      <c r="F723" s="56"/>
      <c r="G723" s="56"/>
      <c r="H723" s="56"/>
      <c r="I723" s="56"/>
      <c r="J723" s="56"/>
      <c r="K723" s="56"/>
      <c r="L723" s="56"/>
      <c r="M723" s="56"/>
      <c r="N723" s="56"/>
      <c r="O723" s="56"/>
      <c r="P723" s="56"/>
      <c r="Q723" s="56"/>
      <c r="R723" s="56"/>
      <c r="S723" s="56"/>
      <c r="T723" s="56"/>
      <c r="U723" s="56"/>
      <c r="V723" s="56"/>
      <c r="W723" s="56"/>
      <c r="X723" s="56"/>
      <c r="Y723" s="56"/>
      <c r="Z723" s="56"/>
    </row>
    <row r="724" spans="1:26" ht="15.75" customHeight="1">
      <c r="A724" s="56"/>
      <c r="B724" s="56"/>
      <c r="C724" s="56"/>
      <c r="D724" s="56"/>
      <c r="E724" s="56"/>
      <c r="F724" s="56"/>
      <c r="G724" s="56"/>
      <c r="H724" s="56"/>
      <c r="I724" s="56"/>
      <c r="J724" s="56"/>
      <c r="K724" s="56"/>
      <c r="L724" s="56"/>
      <c r="M724" s="56"/>
      <c r="N724" s="56"/>
      <c r="O724" s="56"/>
      <c r="P724" s="56"/>
      <c r="Q724" s="56"/>
      <c r="R724" s="56"/>
      <c r="S724" s="56"/>
      <c r="T724" s="56"/>
      <c r="U724" s="56"/>
      <c r="V724" s="56"/>
      <c r="W724" s="56"/>
      <c r="X724" s="56"/>
      <c r="Y724" s="56"/>
      <c r="Z724" s="56"/>
    </row>
    <row r="725" spans="1:26" ht="15.75" customHeight="1">
      <c r="A725" s="56"/>
      <c r="B725" s="56"/>
      <c r="C725" s="56"/>
      <c r="D725" s="56"/>
      <c r="E725" s="56"/>
      <c r="F725" s="56"/>
      <c r="G725" s="56"/>
      <c r="H725" s="56"/>
      <c r="I725" s="56"/>
      <c r="J725" s="56"/>
      <c r="K725" s="56"/>
      <c r="L725" s="56"/>
      <c r="M725" s="56"/>
      <c r="N725" s="56"/>
      <c r="O725" s="56"/>
      <c r="P725" s="56"/>
      <c r="Q725" s="56"/>
      <c r="R725" s="56"/>
      <c r="S725" s="56"/>
      <c r="T725" s="56"/>
      <c r="U725" s="56"/>
      <c r="V725" s="56"/>
      <c r="W725" s="56"/>
      <c r="X725" s="56"/>
      <c r="Y725" s="56"/>
      <c r="Z725" s="56"/>
    </row>
    <row r="726" spans="1:26" ht="15.75" customHeight="1">
      <c r="A726" s="56"/>
      <c r="B726" s="56"/>
      <c r="C726" s="56"/>
      <c r="D726" s="56"/>
      <c r="E726" s="56"/>
      <c r="F726" s="56"/>
      <c r="G726" s="56"/>
      <c r="H726" s="56"/>
      <c r="I726" s="56"/>
      <c r="J726" s="56"/>
      <c r="K726" s="56"/>
      <c r="L726" s="56"/>
      <c r="M726" s="56"/>
      <c r="N726" s="56"/>
      <c r="O726" s="56"/>
      <c r="P726" s="56"/>
      <c r="Q726" s="56"/>
      <c r="R726" s="56"/>
      <c r="S726" s="56"/>
      <c r="T726" s="56"/>
      <c r="U726" s="56"/>
      <c r="V726" s="56"/>
      <c r="W726" s="56"/>
      <c r="X726" s="56"/>
      <c r="Y726" s="56"/>
      <c r="Z726" s="56"/>
    </row>
    <row r="727" spans="1:26" ht="15.75" customHeight="1">
      <c r="A727" s="56"/>
      <c r="B727" s="56"/>
      <c r="C727" s="56"/>
      <c r="D727" s="56"/>
      <c r="E727" s="56"/>
      <c r="F727" s="56"/>
      <c r="G727" s="56"/>
      <c r="H727" s="56"/>
      <c r="I727" s="56"/>
      <c r="J727" s="56"/>
      <c r="K727" s="56"/>
      <c r="L727" s="56"/>
      <c r="M727" s="56"/>
      <c r="N727" s="56"/>
      <c r="O727" s="56"/>
      <c r="P727" s="56"/>
      <c r="Q727" s="56"/>
      <c r="R727" s="56"/>
      <c r="S727" s="56"/>
      <c r="T727" s="56"/>
      <c r="U727" s="56"/>
      <c r="V727" s="56"/>
      <c r="W727" s="56"/>
      <c r="X727" s="56"/>
      <c r="Y727" s="56"/>
      <c r="Z727" s="56"/>
    </row>
    <row r="728" spans="1:26" ht="15.75" customHeight="1">
      <c r="A728" s="56"/>
      <c r="B728" s="56"/>
      <c r="C728" s="56"/>
      <c r="D728" s="56"/>
      <c r="E728" s="56"/>
      <c r="F728" s="56"/>
      <c r="G728" s="56"/>
      <c r="H728" s="56"/>
      <c r="I728" s="56"/>
      <c r="J728" s="56"/>
      <c r="K728" s="56"/>
      <c r="L728" s="56"/>
      <c r="M728" s="56"/>
      <c r="N728" s="56"/>
      <c r="O728" s="56"/>
      <c r="P728" s="56"/>
      <c r="Q728" s="56"/>
      <c r="R728" s="56"/>
      <c r="S728" s="56"/>
      <c r="T728" s="56"/>
      <c r="U728" s="56"/>
      <c r="V728" s="56"/>
      <c r="W728" s="56"/>
      <c r="X728" s="56"/>
      <c r="Y728" s="56"/>
      <c r="Z728" s="56"/>
    </row>
    <row r="729" spans="1:26" ht="15.75" customHeight="1">
      <c r="A729" s="56"/>
      <c r="B729" s="56"/>
      <c r="C729" s="56"/>
      <c r="D729" s="56"/>
      <c r="E729" s="56"/>
      <c r="F729" s="56"/>
      <c r="G729" s="56"/>
      <c r="H729" s="56"/>
      <c r="I729" s="56"/>
      <c r="J729" s="56"/>
      <c r="K729" s="56"/>
      <c r="L729" s="56"/>
      <c r="M729" s="56"/>
      <c r="N729" s="56"/>
      <c r="O729" s="56"/>
      <c r="P729" s="56"/>
      <c r="Q729" s="56"/>
      <c r="R729" s="56"/>
      <c r="S729" s="56"/>
      <c r="T729" s="56"/>
      <c r="U729" s="56"/>
      <c r="V729" s="56"/>
      <c r="W729" s="56"/>
      <c r="X729" s="56"/>
      <c r="Y729" s="56"/>
      <c r="Z729" s="56"/>
    </row>
    <row r="730" spans="1:26" ht="15.75" customHeight="1">
      <c r="A730" s="56"/>
      <c r="B730" s="56"/>
      <c r="C730" s="56"/>
      <c r="D730" s="56"/>
      <c r="E730" s="56"/>
      <c r="F730" s="56"/>
      <c r="G730" s="56"/>
      <c r="H730" s="56"/>
      <c r="I730" s="56"/>
      <c r="J730" s="56"/>
      <c r="K730" s="56"/>
      <c r="L730" s="56"/>
      <c r="M730" s="56"/>
      <c r="N730" s="56"/>
      <c r="O730" s="56"/>
      <c r="P730" s="56"/>
      <c r="Q730" s="56"/>
      <c r="R730" s="56"/>
      <c r="S730" s="56"/>
      <c r="T730" s="56"/>
      <c r="U730" s="56"/>
      <c r="V730" s="56"/>
      <c r="W730" s="56"/>
      <c r="X730" s="56"/>
      <c r="Y730" s="56"/>
      <c r="Z730" s="56"/>
    </row>
    <row r="731" spans="1:26" ht="15.75" customHeight="1">
      <c r="A731" s="56"/>
      <c r="B731" s="56"/>
      <c r="C731" s="56"/>
      <c r="D731" s="56"/>
      <c r="E731" s="56"/>
      <c r="F731" s="56"/>
      <c r="G731" s="56"/>
      <c r="H731" s="56"/>
      <c r="I731" s="56"/>
      <c r="J731" s="56"/>
      <c r="K731" s="56"/>
      <c r="L731" s="56"/>
      <c r="M731" s="56"/>
      <c r="N731" s="56"/>
      <c r="O731" s="56"/>
      <c r="P731" s="56"/>
      <c r="Q731" s="56"/>
      <c r="R731" s="56"/>
      <c r="S731" s="56"/>
      <c r="T731" s="56"/>
      <c r="U731" s="56"/>
      <c r="V731" s="56"/>
      <c r="W731" s="56"/>
      <c r="X731" s="56"/>
      <c r="Y731" s="56"/>
      <c r="Z731" s="56"/>
    </row>
    <row r="732" spans="1:26" ht="15.75" customHeight="1">
      <c r="A732" s="56"/>
      <c r="B732" s="56"/>
      <c r="C732" s="56"/>
      <c r="D732" s="56"/>
      <c r="E732" s="56"/>
      <c r="F732" s="56"/>
      <c r="G732" s="56"/>
      <c r="H732" s="56"/>
      <c r="I732" s="56"/>
      <c r="J732" s="56"/>
      <c r="K732" s="56"/>
      <c r="L732" s="56"/>
      <c r="M732" s="56"/>
      <c r="N732" s="56"/>
      <c r="O732" s="56"/>
      <c r="P732" s="56"/>
      <c r="Q732" s="56"/>
      <c r="R732" s="56"/>
      <c r="S732" s="56"/>
      <c r="T732" s="56"/>
      <c r="U732" s="56"/>
      <c r="V732" s="56"/>
      <c r="W732" s="56"/>
      <c r="X732" s="56"/>
      <c r="Y732" s="56"/>
      <c r="Z732" s="56"/>
    </row>
    <row r="733" spans="1:26" ht="15.75" customHeight="1">
      <c r="A733" s="56"/>
      <c r="B733" s="56"/>
      <c r="C733" s="56"/>
      <c r="D733" s="56"/>
      <c r="E733" s="56"/>
      <c r="F733" s="56"/>
      <c r="G733" s="56"/>
      <c r="H733" s="56"/>
      <c r="I733" s="56"/>
      <c r="J733" s="56"/>
      <c r="K733" s="56"/>
      <c r="L733" s="56"/>
      <c r="M733" s="56"/>
      <c r="N733" s="56"/>
      <c r="O733" s="56"/>
      <c r="P733" s="56"/>
      <c r="Q733" s="56"/>
      <c r="R733" s="56"/>
      <c r="S733" s="56"/>
      <c r="T733" s="56"/>
      <c r="U733" s="56"/>
      <c r="V733" s="56"/>
      <c r="W733" s="56"/>
      <c r="X733" s="56"/>
      <c r="Y733" s="56"/>
      <c r="Z733" s="56"/>
    </row>
    <row r="734" spans="1:26" ht="15.75" customHeight="1">
      <c r="A734" s="56"/>
      <c r="B734" s="56"/>
      <c r="C734" s="56"/>
      <c r="D734" s="56"/>
      <c r="E734" s="56"/>
      <c r="F734" s="56"/>
      <c r="G734" s="56"/>
      <c r="H734" s="56"/>
      <c r="I734" s="56"/>
      <c r="J734" s="56"/>
      <c r="K734" s="56"/>
      <c r="L734" s="56"/>
      <c r="M734" s="56"/>
      <c r="N734" s="56"/>
      <c r="O734" s="56"/>
      <c r="P734" s="56"/>
      <c r="Q734" s="56"/>
      <c r="R734" s="56"/>
      <c r="S734" s="56"/>
      <c r="T734" s="56"/>
      <c r="U734" s="56"/>
      <c r="V734" s="56"/>
      <c r="W734" s="56"/>
      <c r="X734" s="56"/>
      <c r="Y734" s="56"/>
      <c r="Z734" s="56"/>
    </row>
    <row r="735" spans="1:26" ht="15.75" customHeight="1">
      <c r="A735" s="56"/>
      <c r="B735" s="56"/>
      <c r="C735" s="56"/>
      <c r="D735" s="56"/>
      <c r="E735" s="56"/>
      <c r="F735" s="56"/>
      <c r="G735" s="56"/>
      <c r="H735" s="56"/>
      <c r="I735" s="56"/>
      <c r="J735" s="56"/>
      <c r="K735" s="56"/>
      <c r="L735" s="56"/>
      <c r="M735" s="56"/>
      <c r="N735" s="56"/>
      <c r="O735" s="56"/>
      <c r="P735" s="56"/>
      <c r="Q735" s="56"/>
      <c r="R735" s="56"/>
      <c r="S735" s="56"/>
      <c r="T735" s="56"/>
      <c r="U735" s="56"/>
      <c r="V735" s="56"/>
      <c r="W735" s="56"/>
      <c r="X735" s="56"/>
      <c r="Y735" s="56"/>
      <c r="Z735" s="56"/>
    </row>
    <row r="736" spans="1:26" ht="15.75" customHeight="1">
      <c r="A736" s="56"/>
      <c r="B736" s="56"/>
      <c r="C736" s="56"/>
      <c r="D736" s="56"/>
      <c r="E736" s="56"/>
      <c r="F736" s="56"/>
      <c r="G736" s="56"/>
      <c r="H736" s="56"/>
      <c r="I736" s="56"/>
      <c r="J736" s="56"/>
      <c r="K736" s="56"/>
      <c r="L736" s="56"/>
      <c r="M736" s="56"/>
      <c r="N736" s="56"/>
      <c r="O736" s="56"/>
      <c r="P736" s="56"/>
      <c r="Q736" s="56"/>
      <c r="R736" s="56"/>
      <c r="S736" s="56"/>
      <c r="T736" s="56"/>
      <c r="U736" s="56"/>
      <c r="V736" s="56"/>
      <c r="W736" s="56"/>
      <c r="X736" s="56"/>
      <c r="Y736" s="56"/>
      <c r="Z736" s="56"/>
    </row>
    <row r="737" spans="1:26" ht="15.75" customHeight="1">
      <c r="A737" s="56"/>
      <c r="B737" s="56"/>
      <c r="C737" s="56"/>
      <c r="D737" s="56"/>
      <c r="E737" s="56"/>
      <c r="F737" s="56"/>
      <c r="G737" s="56"/>
      <c r="H737" s="56"/>
      <c r="I737" s="56"/>
      <c r="J737" s="56"/>
      <c r="K737" s="56"/>
      <c r="L737" s="56"/>
      <c r="M737" s="56"/>
      <c r="N737" s="56"/>
      <c r="O737" s="56"/>
      <c r="P737" s="56"/>
      <c r="Q737" s="56"/>
      <c r="R737" s="56"/>
      <c r="S737" s="56"/>
      <c r="T737" s="56"/>
      <c r="U737" s="56"/>
      <c r="V737" s="56"/>
      <c r="W737" s="56"/>
      <c r="X737" s="56"/>
      <c r="Y737" s="56"/>
      <c r="Z737" s="56"/>
    </row>
    <row r="738" spans="1:26" ht="15.75" customHeight="1">
      <c r="A738" s="56"/>
      <c r="B738" s="56"/>
      <c r="C738" s="56"/>
      <c r="D738" s="56"/>
      <c r="E738" s="56"/>
      <c r="F738" s="56"/>
      <c r="G738" s="56"/>
      <c r="H738" s="56"/>
      <c r="I738" s="56"/>
      <c r="J738" s="56"/>
      <c r="K738" s="56"/>
      <c r="L738" s="56"/>
      <c r="M738" s="56"/>
      <c r="N738" s="56"/>
      <c r="O738" s="56"/>
      <c r="P738" s="56"/>
      <c r="Q738" s="56"/>
      <c r="R738" s="56"/>
      <c r="S738" s="56"/>
      <c r="T738" s="56"/>
      <c r="U738" s="56"/>
      <c r="V738" s="56"/>
      <c r="W738" s="56"/>
      <c r="X738" s="56"/>
      <c r="Y738" s="56"/>
      <c r="Z738" s="56"/>
    </row>
    <row r="739" spans="1:26" ht="15.75" customHeight="1">
      <c r="A739" s="56"/>
      <c r="B739" s="56"/>
      <c r="C739" s="56"/>
      <c r="D739" s="56"/>
      <c r="E739" s="56"/>
      <c r="F739" s="56"/>
      <c r="G739" s="56"/>
      <c r="H739" s="56"/>
      <c r="I739" s="56"/>
      <c r="J739" s="56"/>
      <c r="K739" s="56"/>
      <c r="L739" s="56"/>
      <c r="M739" s="56"/>
      <c r="N739" s="56"/>
      <c r="O739" s="56"/>
      <c r="P739" s="56"/>
      <c r="Q739" s="56"/>
      <c r="R739" s="56"/>
      <c r="S739" s="56"/>
      <c r="T739" s="56"/>
      <c r="U739" s="56"/>
      <c r="V739" s="56"/>
      <c r="W739" s="56"/>
      <c r="X739" s="56"/>
      <c r="Y739" s="56"/>
      <c r="Z739" s="56"/>
    </row>
    <row r="740" spans="1:26" ht="15.75" customHeight="1">
      <c r="A740" s="56"/>
      <c r="B740" s="56"/>
      <c r="C740" s="56"/>
      <c r="D740" s="56"/>
      <c r="E740" s="56"/>
      <c r="F740" s="56"/>
      <c r="G740" s="56"/>
      <c r="H740" s="56"/>
      <c r="I740" s="56"/>
      <c r="J740" s="56"/>
      <c r="K740" s="56"/>
      <c r="L740" s="56"/>
      <c r="M740" s="56"/>
      <c r="N740" s="56"/>
      <c r="O740" s="56"/>
      <c r="P740" s="56"/>
      <c r="Q740" s="56"/>
      <c r="R740" s="56"/>
      <c r="S740" s="56"/>
      <c r="T740" s="56"/>
      <c r="U740" s="56"/>
      <c r="V740" s="56"/>
      <c r="W740" s="56"/>
      <c r="X740" s="56"/>
      <c r="Y740" s="56"/>
      <c r="Z740" s="56"/>
    </row>
    <row r="741" spans="1:26" ht="15.75" customHeight="1">
      <c r="A741" s="56"/>
      <c r="B741" s="56"/>
      <c r="C741" s="56"/>
      <c r="D741" s="56"/>
      <c r="E741" s="56"/>
      <c r="F741" s="56"/>
      <c r="G741" s="56"/>
      <c r="H741" s="56"/>
      <c r="I741" s="56"/>
      <c r="J741" s="56"/>
      <c r="K741" s="56"/>
      <c r="L741" s="56"/>
      <c r="M741" s="56"/>
      <c r="N741" s="56"/>
      <c r="O741" s="56"/>
      <c r="P741" s="56"/>
      <c r="Q741" s="56"/>
      <c r="R741" s="56"/>
      <c r="S741" s="56"/>
      <c r="T741" s="56"/>
      <c r="U741" s="56"/>
      <c r="V741" s="56"/>
      <c r="W741" s="56"/>
      <c r="X741" s="56"/>
      <c r="Y741" s="56"/>
      <c r="Z741" s="56"/>
    </row>
    <row r="742" spans="1:26" ht="15.75" customHeight="1">
      <c r="A742" s="56"/>
      <c r="B742" s="56"/>
      <c r="C742" s="56"/>
      <c r="D742" s="56"/>
      <c r="E742" s="56"/>
      <c r="F742" s="56"/>
      <c r="G742" s="56"/>
      <c r="H742" s="56"/>
      <c r="I742" s="56"/>
      <c r="J742" s="56"/>
      <c r="K742" s="56"/>
      <c r="L742" s="56"/>
      <c r="M742" s="56"/>
      <c r="N742" s="56"/>
      <c r="O742" s="56"/>
      <c r="P742" s="56"/>
      <c r="Q742" s="56"/>
      <c r="R742" s="56"/>
      <c r="S742" s="56"/>
      <c r="T742" s="56"/>
      <c r="U742" s="56"/>
      <c r="V742" s="56"/>
      <c r="W742" s="56"/>
      <c r="X742" s="56"/>
      <c r="Y742" s="56"/>
      <c r="Z742" s="56"/>
    </row>
    <row r="743" spans="1:26" ht="15.75" customHeight="1">
      <c r="A743" s="56"/>
      <c r="B743" s="56"/>
      <c r="C743" s="56"/>
      <c r="D743" s="56"/>
      <c r="E743" s="56"/>
      <c r="F743" s="56"/>
      <c r="G743" s="56"/>
      <c r="H743" s="56"/>
      <c r="I743" s="56"/>
      <c r="J743" s="56"/>
      <c r="K743" s="56"/>
      <c r="L743" s="56"/>
      <c r="M743" s="56"/>
      <c r="N743" s="56"/>
      <c r="O743" s="56"/>
      <c r="P743" s="56"/>
      <c r="Q743" s="56"/>
      <c r="R743" s="56"/>
      <c r="S743" s="56"/>
      <c r="T743" s="56"/>
      <c r="U743" s="56"/>
      <c r="V743" s="56"/>
      <c r="W743" s="56"/>
      <c r="X743" s="56"/>
      <c r="Y743" s="56"/>
      <c r="Z743" s="56"/>
    </row>
    <row r="744" spans="1:26" ht="15.75" customHeight="1">
      <c r="A744" s="56"/>
      <c r="B744" s="56"/>
      <c r="C744" s="56"/>
      <c r="D744" s="56"/>
      <c r="E744" s="56"/>
      <c r="F744" s="56"/>
      <c r="G744" s="56"/>
      <c r="H744" s="56"/>
      <c r="I744" s="56"/>
      <c r="J744" s="56"/>
      <c r="K744" s="56"/>
      <c r="L744" s="56"/>
      <c r="M744" s="56"/>
      <c r="N744" s="56"/>
      <c r="O744" s="56"/>
      <c r="P744" s="56"/>
      <c r="Q744" s="56"/>
      <c r="R744" s="56"/>
      <c r="S744" s="56"/>
      <c r="T744" s="56"/>
      <c r="U744" s="56"/>
      <c r="V744" s="56"/>
      <c r="W744" s="56"/>
      <c r="X744" s="56"/>
      <c r="Y744" s="56"/>
      <c r="Z744" s="56"/>
    </row>
    <row r="745" spans="1:26" ht="15.75" customHeight="1">
      <c r="A745" s="56"/>
      <c r="B745" s="56"/>
      <c r="C745" s="56"/>
      <c r="D745" s="56"/>
      <c r="E745" s="56"/>
      <c r="F745" s="56"/>
      <c r="G745" s="56"/>
      <c r="H745" s="56"/>
      <c r="I745" s="56"/>
      <c r="J745" s="56"/>
      <c r="K745" s="56"/>
      <c r="L745" s="56"/>
      <c r="M745" s="56"/>
      <c r="N745" s="56"/>
      <c r="O745" s="56"/>
      <c r="P745" s="56"/>
      <c r="Q745" s="56"/>
      <c r="R745" s="56"/>
      <c r="S745" s="56"/>
      <c r="T745" s="56"/>
      <c r="U745" s="56"/>
      <c r="V745" s="56"/>
      <c r="W745" s="56"/>
      <c r="X745" s="56"/>
      <c r="Y745" s="56"/>
      <c r="Z745" s="56"/>
    </row>
    <row r="746" spans="1:26" ht="15.75" customHeight="1">
      <c r="A746" s="56"/>
      <c r="B746" s="56"/>
      <c r="C746" s="56"/>
      <c r="D746" s="56"/>
      <c r="E746" s="56"/>
      <c r="F746" s="56"/>
      <c r="G746" s="56"/>
      <c r="H746" s="56"/>
      <c r="I746" s="56"/>
      <c r="J746" s="56"/>
      <c r="K746" s="56"/>
      <c r="L746" s="56"/>
      <c r="M746" s="56"/>
      <c r="N746" s="56"/>
      <c r="O746" s="56"/>
      <c r="P746" s="56"/>
      <c r="Q746" s="56"/>
      <c r="R746" s="56"/>
      <c r="S746" s="56"/>
      <c r="T746" s="56"/>
      <c r="U746" s="56"/>
      <c r="V746" s="56"/>
      <c r="W746" s="56"/>
      <c r="X746" s="56"/>
      <c r="Y746" s="56"/>
      <c r="Z746" s="56"/>
    </row>
    <row r="747" spans="1:26" ht="15.75" customHeight="1">
      <c r="A747" s="56"/>
      <c r="B747" s="56"/>
      <c r="C747" s="56"/>
      <c r="D747" s="56"/>
      <c r="E747" s="56"/>
      <c r="F747" s="56"/>
      <c r="G747" s="56"/>
      <c r="H747" s="56"/>
      <c r="I747" s="56"/>
      <c r="J747" s="56"/>
      <c r="K747" s="56"/>
      <c r="L747" s="56"/>
      <c r="M747" s="56"/>
      <c r="N747" s="56"/>
      <c r="O747" s="56"/>
      <c r="P747" s="56"/>
      <c r="Q747" s="56"/>
      <c r="R747" s="56"/>
      <c r="S747" s="56"/>
      <c r="T747" s="56"/>
      <c r="U747" s="56"/>
      <c r="V747" s="56"/>
      <c r="W747" s="56"/>
      <c r="X747" s="56"/>
      <c r="Y747" s="56"/>
      <c r="Z747" s="56"/>
    </row>
    <row r="748" spans="1:26" ht="15.75" customHeight="1">
      <c r="A748" s="56"/>
      <c r="B748" s="56"/>
      <c r="C748" s="56"/>
      <c r="D748" s="56"/>
      <c r="E748" s="56"/>
      <c r="F748" s="56"/>
      <c r="G748" s="56"/>
      <c r="H748" s="56"/>
      <c r="I748" s="56"/>
      <c r="J748" s="56"/>
      <c r="K748" s="56"/>
      <c r="L748" s="56"/>
      <c r="M748" s="56"/>
      <c r="N748" s="56"/>
      <c r="O748" s="56"/>
      <c r="P748" s="56"/>
      <c r="Q748" s="56"/>
      <c r="R748" s="56"/>
      <c r="S748" s="56"/>
      <c r="T748" s="56"/>
      <c r="U748" s="56"/>
      <c r="V748" s="56"/>
      <c r="W748" s="56"/>
      <c r="X748" s="56"/>
      <c r="Y748" s="56"/>
      <c r="Z748" s="56"/>
    </row>
    <row r="749" spans="1:26" ht="15.75" customHeight="1">
      <c r="A749" s="56"/>
      <c r="B749" s="56"/>
      <c r="C749" s="56"/>
      <c r="D749" s="56"/>
      <c r="E749" s="56"/>
      <c r="F749" s="56"/>
      <c r="G749" s="56"/>
      <c r="H749" s="56"/>
      <c r="I749" s="56"/>
      <c r="J749" s="56"/>
      <c r="K749" s="56"/>
      <c r="L749" s="56"/>
      <c r="M749" s="56"/>
      <c r="N749" s="56"/>
      <c r="O749" s="56"/>
      <c r="P749" s="56"/>
      <c r="Q749" s="56"/>
      <c r="R749" s="56"/>
      <c r="S749" s="56"/>
      <c r="T749" s="56"/>
      <c r="U749" s="56"/>
      <c r="V749" s="56"/>
      <c r="W749" s="56"/>
      <c r="X749" s="56"/>
      <c r="Y749" s="56"/>
      <c r="Z749" s="56"/>
    </row>
    <row r="750" spans="1:26" ht="15.75" customHeight="1">
      <c r="A750" s="56"/>
      <c r="B750" s="56"/>
      <c r="C750" s="56"/>
      <c r="D750" s="56"/>
      <c r="E750" s="56"/>
      <c r="F750" s="56"/>
      <c r="G750" s="56"/>
      <c r="H750" s="56"/>
      <c r="I750" s="56"/>
      <c r="J750" s="56"/>
      <c r="K750" s="56"/>
      <c r="L750" s="56"/>
      <c r="M750" s="56"/>
      <c r="N750" s="56"/>
      <c r="O750" s="56"/>
      <c r="P750" s="56"/>
      <c r="Q750" s="56"/>
      <c r="R750" s="56"/>
      <c r="S750" s="56"/>
      <c r="T750" s="56"/>
      <c r="U750" s="56"/>
      <c r="V750" s="56"/>
      <c r="W750" s="56"/>
      <c r="X750" s="56"/>
      <c r="Y750" s="56"/>
      <c r="Z750" s="56"/>
    </row>
    <row r="751" spans="1:26" ht="15.75" customHeight="1">
      <c r="A751" s="56"/>
      <c r="B751" s="56"/>
      <c r="C751" s="56"/>
      <c r="D751" s="56"/>
      <c r="E751" s="56"/>
      <c r="F751" s="56"/>
      <c r="G751" s="56"/>
      <c r="H751" s="56"/>
      <c r="I751" s="56"/>
      <c r="J751" s="56"/>
      <c r="K751" s="56"/>
      <c r="L751" s="56"/>
      <c r="M751" s="56"/>
      <c r="N751" s="56"/>
      <c r="O751" s="56"/>
      <c r="P751" s="56"/>
      <c r="Q751" s="56"/>
      <c r="R751" s="56"/>
      <c r="S751" s="56"/>
      <c r="T751" s="56"/>
      <c r="U751" s="56"/>
      <c r="V751" s="56"/>
      <c r="W751" s="56"/>
      <c r="X751" s="56"/>
      <c r="Y751" s="56"/>
      <c r="Z751" s="56"/>
    </row>
    <row r="752" spans="1:26" ht="15.75" customHeight="1">
      <c r="A752" s="56"/>
      <c r="B752" s="56"/>
      <c r="C752" s="56"/>
      <c r="D752" s="56"/>
      <c r="E752" s="56"/>
      <c r="F752" s="56"/>
      <c r="G752" s="56"/>
      <c r="H752" s="56"/>
      <c r="I752" s="56"/>
      <c r="J752" s="56"/>
      <c r="K752" s="56"/>
      <c r="L752" s="56"/>
      <c r="M752" s="56"/>
      <c r="N752" s="56"/>
      <c r="O752" s="56"/>
      <c r="P752" s="56"/>
      <c r="Q752" s="56"/>
      <c r="R752" s="56"/>
      <c r="S752" s="56"/>
      <c r="T752" s="56"/>
      <c r="U752" s="56"/>
      <c r="V752" s="56"/>
      <c r="W752" s="56"/>
      <c r="X752" s="56"/>
      <c r="Y752" s="56"/>
      <c r="Z752" s="56"/>
    </row>
    <row r="753" spans="1:26" ht="15.75" customHeight="1">
      <c r="A753" s="56"/>
      <c r="B753" s="56"/>
      <c r="C753" s="56"/>
      <c r="D753" s="56"/>
      <c r="E753" s="56"/>
      <c r="F753" s="56"/>
      <c r="G753" s="56"/>
      <c r="H753" s="56"/>
      <c r="I753" s="56"/>
      <c r="J753" s="56"/>
      <c r="K753" s="56"/>
      <c r="L753" s="56"/>
      <c r="M753" s="56"/>
      <c r="N753" s="56"/>
      <c r="O753" s="56"/>
      <c r="P753" s="56"/>
      <c r="Q753" s="56"/>
      <c r="R753" s="56"/>
      <c r="S753" s="56"/>
      <c r="T753" s="56"/>
      <c r="U753" s="56"/>
      <c r="V753" s="56"/>
      <c r="W753" s="56"/>
      <c r="X753" s="56"/>
      <c r="Y753" s="56"/>
      <c r="Z753" s="56"/>
    </row>
    <row r="754" spans="1:26" ht="15.75" customHeight="1">
      <c r="A754" s="56"/>
      <c r="B754" s="56"/>
      <c r="C754" s="56"/>
      <c r="D754" s="56"/>
      <c r="E754" s="56"/>
      <c r="F754" s="56"/>
      <c r="G754" s="56"/>
      <c r="H754" s="56"/>
      <c r="I754" s="56"/>
      <c r="J754" s="56"/>
      <c r="K754" s="56"/>
      <c r="L754" s="56"/>
      <c r="M754" s="56"/>
      <c r="N754" s="56"/>
      <c r="O754" s="56"/>
      <c r="P754" s="56"/>
      <c r="Q754" s="56"/>
      <c r="R754" s="56"/>
      <c r="S754" s="56"/>
      <c r="T754" s="56"/>
      <c r="U754" s="56"/>
      <c r="V754" s="56"/>
      <c r="W754" s="56"/>
      <c r="X754" s="56"/>
      <c r="Y754" s="56"/>
      <c r="Z754" s="56"/>
    </row>
    <row r="755" spans="1:26" ht="15.75" customHeight="1">
      <c r="A755" s="56"/>
      <c r="B755" s="56"/>
      <c r="C755" s="56"/>
      <c r="D755" s="56"/>
      <c r="E755" s="56"/>
      <c r="F755" s="56"/>
      <c r="G755" s="56"/>
      <c r="H755" s="56"/>
      <c r="I755" s="56"/>
      <c r="J755" s="56"/>
      <c r="K755" s="56"/>
      <c r="L755" s="56"/>
      <c r="M755" s="56"/>
      <c r="N755" s="56"/>
      <c r="O755" s="56"/>
      <c r="P755" s="56"/>
      <c r="Q755" s="56"/>
      <c r="R755" s="56"/>
      <c r="S755" s="56"/>
      <c r="T755" s="56"/>
      <c r="U755" s="56"/>
      <c r="V755" s="56"/>
      <c r="W755" s="56"/>
      <c r="X755" s="56"/>
      <c r="Y755" s="56"/>
      <c r="Z755" s="56"/>
    </row>
    <row r="756" spans="1:26" ht="15.75" customHeight="1">
      <c r="A756" s="56"/>
      <c r="B756" s="56"/>
      <c r="C756" s="56"/>
      <c r="D756" s="56"/>
      <c r="E756" s="56"/>
      <c r="F756" s="56"/>
      <c r="G756" s="56"/>
      <c r="H756" s="56"/>
      <c r="I756" s="56"/>
      <c r="J756" s="56"/>
      <c r="K756" s="56"/>
      <c r="L756" s="56"/>
      <c r="M756" s="56"/>
      <c r="N756" s="56"/>
      <c r="O756" s="56"/>
      <c r="P756" s="56"/>
      <c r="Q756" s="56"/>
      <c r="R756" s="56"/>
      <c r="S756" s="56"/>
      <c r="T756" s="56"/>
      <c r="U756" s="56"/>
      <c r="V756" s="56"/>
      <c r="W756" s="56"/>
      <c r="X756" s="56"/>
      <c r="Y756" s="56"/>
      <c r="Z756" s="56"/>
    </row>
    <row r="757" spans="1:26" ht="15.75" customHeight="1">
      <c r="A757" s="56"/>
      <c r="B757" s="56"/>
      <c r="C757" s="56"/>
      <c r="D757" s="56"/>
      <c r="E757" s="56"/>
      <c r="F757" s="56"/>
      <c r="G757" s="56"/>
      <c r="H757" s="56"/>
      <c r="I757" s="56"/>
      <c r="J757" s="56"/>
      <c r="K757" s="56"/>
      <c r="L757" s="56"/>
      <c r="M757" s="56"/>
      <c r="N757" s="56"/>
      <c r="O757" s="56"/>
      <c r="P757" s="56"/>
      <c r="Q757" s="56"/>
      <c r="R757" s="56"/>
      <c r="S757" s="56"/>
      <c r="T757" s="56"/>
      <c r="U757" s="56"/>
      <c r="V757" s="56"/>
      <c r="W757" s="56"/>
      <c r="X757" s="56"/>
      <c r="Y757" s="56"/>
      <c r="Z757" s="56"/>
    </row>
    <row r="758" spans="1:26" ht="15.75" customHeight="1">
      <c r="A758" s="56"/>
      <c r="B758" s="56"/>
      <c r="C758" s="56"/>
      <c r="D758" s="56"/>
      <c r="E758" s="56"/>
      <c r="F758" s="56"/>
      <c r="G758" s="56"/>
      <c r="H758" s="56"/>
      <c r="I758" s="56"/>
      <c r="J758" s="56"/>
      <c r="K758" s="56"/>
      <c r="L758" s="56"/>
      <c r="M758" s="56"/>
      <c r="N758" s="56"/>
      <c r="O758" s="56"/>
      <c r="P758" s="56"/>
      <c r="Q758" s="56"/>
      <c r="R758" s="56"/>
      <c r="S758" s="56"/>
      <c r="T758" s="56"/>
      <c r="U758" s="56"/>
      <c r="V758" s="56"/>
      <c r="W758" s="56"/>
      <c r="X758" s="56"/>
      <c r="Y758" s="56"/>
      <c r="Z758" s="56"/>
    </row>
    <row r="759" spans="1:26" ht="15.75" customHeight="1">
      <c r="A759" s="56"/>
      <c r="B759" s="56"/>
      <c r="C759" s="56"/>
      <c r="D759" s="56"/>
      <c r="E759" s="56"/>
      <c r="F759" s="56"/>
      <c r="G759" s="56"/>
      <c r="H759" s="56"/>
      <c r="I759" s="56"/>
      <c r="J759" s="56"/>
      <c r="K759" s="56"/>
      <c r="L759" s="56"/>
      <c r="M759" s="56"/>
      <c r="N759" s="56"/>
      <c r="O759" s="56"/>
      <c r="P759" s="56"/>
      <c r="Q759" s="56"/>
      <c r="R759" s="56"/>
      <c r="S759" s="56"/>
      <c r="T759" s="56"/>
      <c r="U759" s="56"/>
      <c r="V759" s="56"/>
      <c r="W759" s="56"/>
      <c r="X759" s="56"/>
      <c r="Y759" s="56"/>
      <c r="Z759" s="56"/>
    </row>
    <row r="760" spans="1:26" ht="15.75" customHeight="1">
      <c r="A760" s="56"/>
      <c r="B760" s="56"/>
      <c r="C760" s="56"/>
      <c r="D760" s="56"/>
      <c r="E760" s="56"/>
      <c r="F760" s="56"/>
      <c r="G760" s="56"/>
      <c r="H760" s="56"/>
      <c r="I760" s="56"/>
      <c r="J760" s="56"/>
      <c r="K760" s="56"/>
      <c r="L760" s="56"/>
      <c r="M760" s="56"/>
      <c r="N760" s="56"/>
      <c r="O760" s="56"/>
      <c r="P760" s="56"/>
      <c r="Q760" s="56"/>
      <c r="R760" s="56"/>
      <c r="S760" s="56"/>
      <c r="T760" s="56"/>
      <c r="U760" s="56"/>
      <c r="V760" s="56"/>
      <c r="W760" s="56"/>
      <c r="X760" s="56"/>
      <c r="Y760" s="56"/>
      <c r="Z760" s="56"/>
    </row>
    <row r="761" spans="1:26" ht="15.75" customHeight="1">
      <c r="A761" s="56"/>
      <c r="B761" s="56"/>
      <c r="C761" s="56"/>
      <c r="D761" s="56"/>
      <c r="E761" s="56"/>
      <c r="F761" s="56"/>
      <c r="G761" s="56"/>
      <c r="H761" s="56"/>
      <c r="I761" s="56"/>
      <c r="J761" s="56"/>
      <c r="K761" s="56"/>
      <c r="L761" s="56"/>
      <c r="M761" s="56"/>
      <c r="N761" s="56"/>
      <c r="O761" s="56"/>
      <c r="P761" s="56"/>
      <c r="Q761" s="56"/>
      <c r="R761" s="56"/>
      <c r="S761" s="56"/>
      <c r="T761" s="56"/>
      <c r="U761" s="56"/>
      <c r="V761" s="56"/>
      <c r="W761" s="56"/>
      <c r="X761" s="56"/>
      <c r="Y761" s="56"/>
      <c r="Z761" s="56"/>
    </row>
    <row r="762" spans="1:26" ht="15.75" customHeight="1">
      <c r="A762" s="56"/>
      <c r="B762" s="56"/>
      <c r="C762" s="56"/>
      <c r="D762" s="56"/>
      <c r="E762" s="56"/>
      <c r="F762" s="56"/>
      <c r="G762" s="56"/>
      <c r="H762" s="56"/>
      <c r="I762" s="56"/>
      <c r="J762" s="56"/>
      <c r="K762" s="56"/>
      <c r="L762" s="56"/>
      <c r="M762" s="56"/>
      <c r="N762" s="56"/>
      <c r="O762" s="56"/>
      <c r="P762" s="56"/>
      <c r="Q762" s="56"/>
      <c r="R762" s="56"/>
      <c r="S762" s="56"/>
      <c r="T762" s="56"/>
      <c r="U762" s="56"/>
      <c r="V762" s="56"/>
      <c r="W762" s="56"/>
      <c r="X762" s="56"/>
      <c r="Y762" s="56"/>
      <c r="Z762" s="56"/>
    </row>
    <row r="763" spans="1:26" ht="15.75" customHeight="1">
      <c r="A763" s="56"/>
      <c r="B763" s="56"/>
      <c r="C763" s="56"/>
      <c r="D763" s="56"/>
      <c r="E763" s="56"/>
      <c r="F763" s="56"/>
      <c r="G763" s="56"/>
      <c r="H763" s="56"/>
      <c r="I763" s="56"/>
      <c r="J763" s="56"/>
      <c r="K763" s="56"/>
      <c r="L763" s="56"/>
      <c r="M763" s="56"/>
      <c r="N763" s="56"/>
      <c r="O763" s="56"/>
      <c r="P763" s="56"/>
      <c r="Q763" s="56"/>
      <c r="R763" s="56"/>
      <c r="S763" s="56"/>
      <c r="T763" s="56"/>
      <c r="U763" s="56"/>
      <c r="V763" s="56"/>
      <c r="W763" s="56"/>
      <c r="X763" s="56"/>
      <c r="Y763" s="56"/>
      <c r="Z763" s="56"/>
    </row>
    <row r="764" spans="1:26" ht="15.75" customHeight="1">
      <c r="A764" s="56"/>
      <c r="B764" s="56"/>
      <c r="C764" s="56"/>
      <c r="D764" s="56"/>
      <c r="E764" s="56"/>
      <c r="F764" s="56"/>
      <c r="G764" s="56"/>
      <c r="H764" s="56"/>
      <c r="I764" s="56"/>
      <c r="J764" s="56"/>
      <c r="K764" s="56"/>
      <c r="L764" s="56"/>
      <c r="M764" s="56"/>
      <c r="N764" s="56"/>
      <c r="O764" s="56"/>
      <c r="P764" s="56"/>
      <c r="Q764" s="56"/>
      <c r="R764" s="56"/>
      <c r="S764" s="56"/>
      <c r="T764" s="56"/>
      <c r="U764" s="56"/>
      <c r="V764" s="56"/>
      <c r="W764" s="56"/>
      <c r="X764" s="56"/>
      <c r="Y764" s="56"/>
      <c r="Z764" s="56"/>
    </row>
    <row r="765" spans="1:26" ht="15.75" customHeight="1">
      <c r="A765" s="56"/>
      <c r="B765" s="56"/>
      <c r="C765" s="56"/>
      <c r="D765" s="56"/>
      <c r="E765" s="56"/>
      <c r="F765" s="56"/>
      <c r="G765" s="56"/>
      <c r="H765" s="56"/>
      <c r="I765" s="56"/>
      <c r="J765" s="56"/>
      <c r="K765" s="56"/>
      <c r="L765" s="56"/>
      <c r="M765" s="56"/>
      <c r="N765" s="56"/>
      <c r="O765" s="56"/>
      <c r="P765" s="56"/>
      <c r="Q765" s="56"/>
      <c r="R765" s="56"/>
      <c r="S765" s="56"/>
      <c r="T765" s="56"/>
      <c r="U765" s="56"/>
      <c r="V765" s="56"/>
      <c r="W765" s="56"/>
      <c r="X765" s="56"/>
      <c r="Y765" s="56"/>
      <c r="Z765" s="56"/>
    </row>
    <row r="766" spans="1:26" ht="15.75" customHeight="1">
      <c r="A766" s="56"/>
      <c r="B766" s="56"/>
      <c r="C766" s="56"/>
      <c r="D766" s="56"/>
      <c r="E766" s="56"/>
      <c r="F766" s="56"/>
      <c r="G766" s="56"/>
      <c r="H766" s="56"/>
      <c r="I766" s="56"/>
      <c r="J766" s="56"/>
      <c r="K766" s="56"/>
      <c r="L766" s="56"/>
      <c r="M766" s="56"/>
      <c r="N766" s="56"/>
      <c r="O766" s="56"/>
      <c r="P766" s="56"/>
      <c r="Q766" s="56"/>
      <c r="R766" s="56"/>
      <c r="S766" s="56"/>
      <c r="T766" s="56"/>
      <c r="U766" s="56"/>
      <c r="V766" s="56"/>
      <c r="W766" s="56"/>
      <c r="X766" s="56"/>
      <c r="Y766" s="56"/>
      <c r="Z766" s="56"/>
    </row>
    <row r="767" spans="1:26" ht="15.75" customHeight="1">
      <c r="A767" s="56"/>
      <c r="B767" s="56"/>
      <c r="C767" s="56"/>
      <c r="D767" s="56"/>
      <c r="E767" s="56"/>
      <c r="F767" s="56"/>
      <c r="G767" s="56"/>
      <c r="H767" s="56"/>
      <c r="I767" s="56"/>
      <c r="J767" s="56"/>
      <c r="K767" s="56"/>
      <c r="L767" s="56"/>
      <c r="M767" s="56"/>
      <c r="N767" s="56"/>
      <c r="O767" s="56"/>
      <c r="P767" s="56"/>
      <c r="Q767" s="56"/>
      <c r="R767" s="56"/>
      <c r="S767" s="56"/>
      <c r="T767" s="56"/>
      <c r="U767" s="56"/>
      <c r="V767" s="56"/>
      <c r="W767" s="56"/>
      <c r="X767" s="56"/>
      <c r="Y767" s="56"/>
      <c r="Z767" s="56"/>
    </row>
    <row r="768" spans="1:26" ht="15.75" customHeight="1">
      <c r="A768" s="56"/>
      <c r="B768" s="56"/>
      <c r="C768" s="56"/>
      <c r="D768" s="56"/>
      <c r="E768" s="56"/>
      <c r="F768" s="56"/>
      <c r="G768" s="56"/>
      <c r="H768" s="56"/>
      <c r="I768" s="56"/>
      <c r="J768" s="56"/>
      <c r="K768" s="56"/>
      <c r="L768" s="56"/>
      <c r="M768" s="56"/>
      <c r="N768" s="56"/>
      <c r="O768" s="56"/>
      <c r="P768" s="56"/>
      <c r="Q768" s="56"/>
      <c r="R768" s="56"/>
      <c r="S768" s="56"/>
      <c r="T768" s="56"/>
      <c r="U768" s="56"/>
      <c r="V768" s="56"/>
      <c r="W768" s="56"/>
      <c r="X768" s="56"/>
      <c r="Y768" s="56"/>
      <c r="Z768" s="56"/>
    </row>
    <row r="769" spans="1:26" ht="15.75" customHeight="1">
      <c r="A769" s="56"/>
      <c r="B769" s="56"/>
      <c r="C769" s="56"/>
      <c r="D769" s="56"/>
      <c r="E769" s="56"/>
      <c r="F769" s="56"/>
      <c r="G769" s="56"/>
      <c r="H769" s="56"/>
      <c r="I769" s="56"/>
      <c r="J769" s="56"/>
      <c r="K769" s="56"/>
      <c r="L769" s="56"/>
      <c r="M769" s="56"/>
      <c r="N769" s="56"/>
      <c r="O769" s="56"/>
      <c r="P769" s="56"/>
      <c r="Q769" s="56"/>
      <c r="R769" s="56"/>
      <c r="S769" s="56"/>
      <c r="T769" s="56"/>
      <c r="U769" s="56"/>
      <c r="V769" s="56"/>
      <c r="W769" s="56"/>
      <c r="X769" s="56"/>
      <c r="Y769" s="56"/>
      <c r="Z769" s="56"/>
    </row>
    <row r="770" spans="1:26" ht="15.75" customHeight="1">
      <c r="A770" s="56"/>
      <c r="B770" s="56"/>
      <c r="C770" s="56"/>
      <c r="D770" s="56"/>
      <c r="E770" s="56"/>
      <c r="F770" s="56"/>
      <c r="G770" s="56"/>
      <c r="H770" s="56"/>
      <c r="I770" s="56"/>
      <c r="J770" s="56"/>
      <c r="K770" s="56"/>
      <c r="L770" s="56"/>
      <c r="M770" s="56"/>
      <c r="N770" s="56"/>
      <c r="O770" s="56"/>
      <c r="P770" s="56"/>
      <c r="Q770" s="56"/>
      <c r="R770" s="56"/>
      <c r="S770" s="56"/>
      <c r="T770" s="56"/>
      <c r="U770" s="56"/>
      <c r="V770" s="56"/>
      <c r="W770" s="56"/>
      <c r="X770" s="56"/>
      <c r="Y770" s="56"/>
      <c r="Z770" s="56"/>
    </row>
    <row r="771" spans="1:26" ht="15.75" customHeight="1">
      <c r="A771" s="56"/>
      <c r="B771" s="56"/>
      <c r="C771" s="56"/>
      <c r="D771" s="56"/>
      <c r="E771" s="56"/>
      <c r="F771" s="56"/>
      <c r="G771" s="56"/>
      <c r="H771" s="56"/>
      <c r="I771" s="56"/>
      <c r="J771" s="56"/>
      <c r="K771" s="56"/>
      <c r="L771" s="56"/>
      <c r="M771" s="56"/>
      <c r="N771" s="56"/>
      <c r="O771" s="56"/>
      <c r="P771" s="56"/>
      <c r="Q771" s="56"/>
      <c r="R771" s="56"/>
      <c r="S771" s="56"/>
      <c r="T771" s="56"/>
      <c r="U771" s="56"/>
      <c r="V771" s="56"/>
      <c r="W771" s="56"/>
      <c r="X771" s="56"/>
      <c r="Y771" s="56"/>
      <c r="Z771" s="56"/>
    </row>
    <row r="772" spans="1:26" ht="15.75" customHeight="1">
      <c r="A772" s="56"/>
      <c r="B772" s="56"/>
      <c r="C772" s="56"/>
      <c r="D772" s="56"/>
      <c r="E772" s="56"/>
      <c r="F772" s="56"/>
      <c r="G772" s="56"/>
      <c r="H772" s="56"/>
      <c r="I772" s="56"/>
      <c r="J772" s="56"/>
      <c r="K772" s="56"/>
      <c r="L772" s="56"/>
      <c r="M772" s="56"/>
      <c r="N772" s="56"/>
      <c r="O772" s="56"/>
      <c r="P772" s="56"/>
      <c r="Q772" s="56"/>
      <c r="R772" s="56"/>
      <c r="S772" s="56"/>
      <c r="T772" s="56"/>
      <c r="U772" s="56"/>
      <c r="V772" s="56"/>
      <c r="W772" s="56"/>
      <c r="X772" s="56"/>
      <c r="Y772" s="56"/>
      <c r="Z772" s="56"/>
    </row>
    <row r="773" spans="1:26" ht="15.75" customHeight="1">
      <c r="A773" s="56"/>
      <c r="B773" s="56"/>
      <c r="C773" s="56"/>
      <c r="D773" s="56"/>
      <c r="E773" s="56"/>
      <c r="F773" s="56"/>
      <c r="G773" s="56"/>
      <c r="H773" s="56"/>
      <c r="I773" s="56"/>
      <c r="J773" s="56"/>
      <c r="K773" s="56"/>
      <c r="L773" s="56"/>
      <c r="M773" s="56"/>
      <c r="N773" s="56"/>
      <c r="O773" s="56"/>
      <c r="P773" s="56"/>
      <c r="Q773" s="56"/>
      <c r="R773" s="56"/>
      <c r="S773" s="56"/>
      <c r="T773" s="56"/>
      <c r="U773" s="56"/>
      <c r="V773" s="56"/>
      <c r="W773" s="56"/>
      <c r="X773" s="56"/>
      <c r="Y773" s="56"/>
      <c r="Z773" s="56"/>
    </row>
    <row r="774" spans="1:26" ht="15.75" customHeight="1">
      <c r="A774" s="56"/>
      <c r="B774" s="56"/>
      <c r="C774" s="56"/>
      <c r="D774" s="56"/>
      <c r="E774" s="56"/>
      <c r="F774" s="56"/>
      <c r="G774" s="56"/>
      <c r="H774" s="56"/>
      <c r="I774" s="56"/>
      <c r="J774" s="56"/>
      <c r="K774" s="56"/>
      <c r="L774" s="56"/>
      <c r="M774" s="56"/>
      <c r="N774" s="56"/>
      <c r="O774" s="56"/>
      <c r="P774" s="56"/>
      <c r="Q774" s="56"/>
      <c r="R774" s="56"/>
      <c r="S774" s="56"/>
      <c r="T774" s="56"/>
      <c r="U774" s="56"/>
      <c r="V774" s="56"/>
      <c r="W774" s="56"/>
      <c r="X774" s="56"/>
      <c r="Y774" s="56"/>
      <c r="Z774" s="56"/>
    </row>
    <row r="775" spans="1:26" ht="15.75" customHeight="1">
      <c r="A775" s="56"/>
      <c r="B775" s="56"/>
      <c r="C775" s="56"/>
      <c r="D775" s="56"/>
      <c r="E775" s="56"/>
      <c r="F775" s="56"/>
      <c r="G775" s="56"/>
      <c r="H775" s="56"/>
      <c r="I775" s="56"/>
      <c r="J775" s="56"/>
      <c r="K775" s="56"/>
      <c r="L775" s="56"/>
      <c r="M775" s="56"/>
      <c r="N775" s="56"/>
      <c r="O775" s="56"/>
      <c r="P775" s="56"/>
      <c r="Q775" s="56"/>
      <c r="R775" s="56"/>
      <c r="S775" s="56"/>
      <c r="T775" s="56"/>
      <c r="U775" s="56"/>
      <c r="V775" s="56"/>
      <c r="W775" s="56"/>
      <c r="X775" s="56"/>
      <c r="Y775" s="56"/>
      <c r="Z775" s="56"/>
    </row>
    <row r="776" spans="1:26" ht="15.75" customHeight="1">
      <c r="A776" s="56"/>
      <c r="B776" s="56"/>
      <c r="C776" s="56"/>
      <c r="D776" s="56"/>
      <c r="E776" s="56"/>
      <c r="F776" s="56"/>
      <c r="G776" s="56"/>
      <c r="H776" s="56"/>
      <c r="I776" s="56"/>
      <c r="J776" s="56"/>
      <c r="K776" s="56"/>
      <c r="L776" s="56"/>
      <c r="M776" s="56"/>
      <c r="N776" s="56"/>
      <c r="O776" s="56"/>
      <c r="P776" s="56"/>
      <c r="Q776" s="56"/>
      <c r="R776" s="56"/>
      <c r="S776" s="56"/>
      <c r="T776" s="56"/>
      <c r="U776" s="56"/>
      <c r="V776" s="56"/>
      <c r="W776" s="56"/>
      <c r="X776" s="56"/>
      <c r="Y776" s="56"/>
      <c r="Z776" s="56"/>
    </row>
    <row r="777" spans="1:26" ht="15.75" customHeight="1">
      <c r="A777" s="56"/>
      <c r="B777" s="56"/>
      <c r="C777" s="56"/>
      <c r="D777" s="56"/>
      <c r="E777" s="56"/>
      <c r="F777" s="56"/>
      <c r="G777" s="56"/>
      <c r="H777" s="56"/>
      <c r="I777" s="56"/>
      <c r="J777" s="56"/>
      <c r="K777" s="56"/>
      <c r="L777" s="56"/>
      <c r="M777" s="56"/>
      <c r="N777" s="56"/>
      <c r="O777" s="56"/>
      <c r="P777" s="56"/>
      <c r="Q777" s="56"/>
      <c r="R777" s="56"/>
      <c r="S777" s="56"/>
      <c r="T777" s="56"/>
      <c r="U777" s="56"/>
      <c r="V777" s="56"/>
      <c r="W777" s="56"/>
      <c r="X777" s="56"/>
      <c r="Y777" s="56"/>
      <c r="Z777" s="56"/>
    </row>
    <row r="778" spans="1:26" ht="15.75" customHeight="1">
      <c r="A778" s="56"/>
      <c r="B778" s="56"/>
      <c r="C778" s="56"/>
      <c r="D778" s="56"/>
      <c r="E778" s="56"/>
      <c r="F778" s="56"/>
      <c r="G778" s="56"/>
      <c r="H778" s="56"/>
      <c r="I778" s="56"/>
      <c r="J778" s="56"/>
      <c r="K778" s="56"/>
      <c r="L778" s="56"/>
      <c r="M778" s="56"/>
      <c r="N778" s="56"/>
      <c r="O778" s="56"/>
      <c r="P778" s="56"/>
      <c r="Q778" s="56"/>
      <c r="R778" s="56"/>
      <c r="S778" s="56"/>
      <c r="T778" s="56"/>
      <c r="U778" s="56"/>
      <c r="V778" s="56"/>
      <c r="W778" s="56"/>
      <c r="X778" s="56"/>
      <c r="Y778" s="56"/>
      <c r="Z778" s="56"/>
    </row>
    <row r="779" spans="1:26" ht="15.75" customHeight="1">
      <c r="A779" s="56"/>
      <c r="B779" s="56"/>
      <c r="C779" s="56"/>
      <c r="D779" s="56"/>
      <c r="E779" s="56"/>
      <c r="F779" s="56"/>
      <c r="G779" s="56"/>
      <c r="H779" s="56"/>
      <c r="I779" s="56"/>
      <c r="J779" s="56"/>
      <c r="K779" s="56"/>
      <c r="L779" s="56"/>
      <c r="M779" s="56"/>
      <c r="N779" s="56"/>
      <c r="O779" s="56"/>
      <c r="P779" s="56"/>
      <c r="Q779" s="56"/>
      <c r="R779" s="56"/>
      <c r="S779" s="56"/>
      <c r="T779" s="56"/>
      <c r="U779" s="56"/>
      <c r="V779" s="56"/>
      <c r="W779" s="56"/>
      <c r="X779" s="56"/>
      <c r="Y779" s="56"/>
      <c r="Z779" s="56"/>
    </row>
    <row r="780" spans="1:26" ht="15.75" customHeight="1">
      <c r="A780" s="56"/>
      <c r="B780" s="56"/>
      <c r="C780" s="56"/>
      <c r="D780" s="56"/>
      <c r="E780" s="56"/>
      <c r="F780" s="56"/>
      <c r="G780" s="56"/>
      <c r="H780" s="56"/>
      <c r="I780" s="56"/>
      <c r="J780" s="56"/>
      <c r="K780" s="56"/>
      <c r="L780" s="56"/>
      <c r="M780" s="56"/>
      <c r="N780" s="56"/>
      <c r="O780" s="56"/>
      <c r="P780" s="56"/>
      <c r="Q780" s="56"/>
      <c r="R780" s="56"/>
      <c r="S780" s="56"/>
      <c r="T780" s="56"/>
      <c r="U780" s="56"/>
      <c r="V780" s="56"/>
      <c r="W780" s="56"/>
      <c r="X780" s="56"/>
      <c r="Y780" s="56"/>
      <c r="Z780" s="56"/>
    </row>
    <row r="781" spans="1:26" ht="15.75" customHeight="1">
      <c r="A781" s="56"/>
      <c r="B781" s="56"/>
      <c r="C781" s="56"/>
      <c r="D781" s="56"/>
      <c r="E781" s="56"/>
      <c r="F781" s="56"/>
      <c r="G781" s="56"/>
      <c r="H781" s="56"/>
      <c r="I781" s="56"/>
      <c r="J781" s="56"/>
      <c r="K781" s="56"/>
      <c r="L781" s="56"/>
      <c r="M781" s="56"/>
      <c r="N781" s="56"/>
      <c r="O781" s="56"/>
      <c r="P781" s="56"/>
      <c r="Q781" s="56"/>
      <c r="R781" s="56"/>
      <c r="S781" s="56"/>
      <c r="T781" s="56"/>
      <c r="U781" s="56"/>
      <c r="V781" s="56"/>
      <c r="W781" s="56"/>
      <c r="X781" s="56"/>
      <c r="Y781" s="56"/>
      <c r="Z781" s="56"/>
    </row>
    <row r="782" spans="1:26" ht="15.75" customHeight="1">
      <c r="A782" s="56"/>
      <c r="B782" s="56"/>
      <c r="C782" s="56"/>
      <c r="D782" s="56"/>
      <c r="E782" s="56"/>
      <c r="F782" s="56"/>
      <c r="G782" s="56"/>
      <c r="H782" s="56"/>
      <c r="I782" s="56"/>
      <c r="J782" s="56"/>
      <c r="K782" s="56"/>
      <c r="L782" s="56"/>
      <c r="M782" s="56"/>
      <c r="N782" s="56"/>
      <c r="O782" s="56"/>
      <c r="P782" s="56"/>
      <c r="Q782" s="56"/>
      <c r="R782" s="56"/>
      <c r="S782" s="56"/>
      <c r="T782" s="56"/>
      <c r="U782" s="56"/>
      <c r="V782" s="56"/>
      <c r="W782" s="56"/>
      <c r="X782" s="56"/>
      <c r="Y782" s="56"/>
      <c r="Z782" s="56"/>
    </row>
    <row r="783" spans="1:26" ht="15.75" customHeight="1">
      <c r="A783" s="56"/>
      <c r="B783" s="56"/>
      <c r="C783" s="56"/>
      <c r="D783" s="56"/>
      <c r="E783" s="56"/>
      <c r="F783" s="56"/>
      <c r="G783" s="56"/>
      <c r="H783" s="56"/>
      <c r="I783" s="56"/>
      <c r="J783" s="56"/>
      <c r="K783" s="56"/>
      <c r="L783" s="56"/>
      <c r="M783" s="56"/>
      <c r="N783" s="56"/>
      <c r="O783" s="56"/>
      <c r="P783" s="56"/>
      <c r="Q783" s="56"/>
      <c r="R783" s="56"/>
      <c r="S783" s="56"/>
      <c r="T783" s="56"/>
      <c r="U783" s="56"/>
      <c r="V783" s="56"/>
      <c r="W783" s="56"/>
      <c r="X783" s="56"/>
      <c r="Y783" s="56"/>
      <c r="Z783" s="56"/>
    </row>
    <row r="784" spans="1:26" ht="15.75" customHeight="1">
      <c r="A784" s="56"/>
      <c r="B784" s="56"/>
      <c r="C784" s="56"/>
      <c r="D784" s="56"/>
      <c r="E784" s="56"/>
      <c r="F784" s="56"/>
      <c r="G784" s="56"/>
      <c r="H784" s="56"/>
      <c r="I784" s="56"/>
      <c r="J784" s="56"/>
      <c r="K784" s="56"/>
      <c r="L784" s="56"/>
      <c r="M784" s="56"/>
      <c r="N784" s="56"/>
      <c r="O784" s="56"/>
      <c r="P784" s="56"/>
      <c r="Q784" s="56"/>
      <c r="R784" s="56"/>
      <c r="S784" s="56"/>
      <c r="T784" s="56"/>
      <c r="U784" s="56"/>
      <c r="V784" s="56"/>
      <c r="W784" s="56"/>
      <c r="X784" s="56"/>
      <c r="Y784" s="56"/>
      <c r="Z784" s="56"/>
    </row>
    <row r="785" spans="1:26" ht="15.75" customHeight="1">
      <c r="A785" s="56"/>
      <c r="B785" s="56"/>
      <c r="C785" s="56"/>
      <c r="D785" s="56"/>
      <c r="E785" s="56"/>
      <c r="F785" s="56"/>
      <c r="G785" s="56"/>
      <c r="H785" s="56"/>
      <c r="I785" s="56"/>
      <c r="J785" s="56"/>
      <c r="K785" s="56"/>
      <c r="L785" s="56"/>
      <c r="M785" s="56"/>
      <c r="N785" s="56"/>
      <c r="O785" s="56"/>
      <c r="P785" s="56"/>
      <c r="Q785" s="56"/>
      <c r="R785" s="56"/>
      <c r="S785" s="56"/>
      <c r="T785" s="56"/>
      <c r="U785" s="56"/>
      <c r="V785" s="56"/>
      <c r="W785" s="56"/>
      <c r="X785" s="56"/>
      <c r="Y785" s="56"/>
      <c r="Z785" s="56"/>
    </row>
    <row r="786" spans="1:26" ht="15.75" customHeight="1">
      <c r="A786" s="56"/>
      <c r="B786" s="56"/>
      <c r="C786" s="56"/>
      <c r="D786" s="56"/>
      <c r="E786" s="56"/>
      <c r="F786" s="56"/>
      <c r="G786" s="56"/>
      <c r="H786" s="56"/>
      <c r="I786" s="56"/>
      <c r="J786" s="56"/>
      <c r="K786" s="56"/>
      <c r="L786" s="56"/>
      <c r="M786" s="56"/>
      <c r="N786" s="56"/>
      <c r="O786" s="56"/>
      <c r="P786" s="56"/>
      <c r="Q786" s="56"/>
      <c r="R786" s="56"/>
      <c r="S786" s="56"/>
      <c r="T786" s="56"/>
      <c r="U786" s="56"/>
      <c r="V786" s="56"/>
      <c r="W786" s="56"/>
      <c r="X786" s="56"/>
      <c r="Y786" s="56"/>
      <c r="Z786" s="56"/>
    </row>
    <row r="787" spans="1:26" ht="15.75" customHeight="1">
      <c r="A787" s="56"/>
      <c r="B787" s="56"/>
      <c r="C787" s="56"/>
      <c r="D787" s="56"/>
      <c r="E787" s="56"/>
      <c r="F787" s="56"/>
      <c r="G787" s="56"/>
      <c r="H787" s="56"/>
      <c r="I787" s="56"/>
      <c r="J787" s="56"/>
      <c r="K787" s="56"/>
      <c r="L787" s="56"/>
      <c r="M787" s="56"/>
      <c r="N787" s="56"/>
      <c r="O787" s="56"/>
      <c r="P787" s="56"/>
      <c r="Q787" s="56"/>
      <c r="R787" s="56"/>
      <c r="S787" s="56"/>
      <c r="T787" s="56"/>
      <c r="U787" s="56"/>
      <c r="V787" s="56"/>
      <c r="W787" s="56"/>
      <c r="X787" s="56"/>
      <c r="Y787" s="56"/>
      <c r="Z787" s="56"/>
    </row>
    <row r="788" spans="1:26" ht="15.75" customHeight="1">
      <c r="A788" s="56"/>
      <c r="B788" s="56"/>
      <c r="C788" s="56"/>
      <c r="D788" s="56"/>
      <c r="E788" s="56"/>
      <c r="F788" s="56"/>
      <c r="G788" s="56"/>
      <c r="H788" s="56"/>
      <c r="I788" s="56"/>
      <c r="J788" s="56"/>
      <c r="K788" s="56"/>
      <c r="L788" s="56"/>
      <c r="M788" s="56"/>
      <c r="N788" s="56"/>
      <c r="O788" s="56"/>
      <c r="P788" s="56"/>
      <c r="Q788" s="56"/>
      <c r="R788" s="56"/>
      <c r="S788" s="56"/>
      <c r="T788" s="56"/>
      <c r="U788" s="56"/>
      <c r="V788" s="56"/>
      <c r="W788" s="56"/>
      <c r="X788" s="56"/>
      <c r="Y788" s="56"/>
      <c r="Z788" s="56"/>
    </row>
    <row r="789" spans="1:26" ht="15.75" customHeight="1">
      <c r="A789" s="56"/>
      <c r="B789" s="56"/>
      <c r="C789" s="56"/>
      <c r="D789" s="56"/>
      <c r="E789" s="56"/>
      <c r="F789" s="56"/>
      <c r="G789" s="56"/>
      <c r="H789" s="56"/>
      <c r="I789" s="56"/>
      <c r="J789" s="56"/>
      <c r="K789" s="56"/>
      <c r="L789" s="56"/>
      <c r="M789" s="56"/>
      <c r="N789" s="56"/>
      <c r="O789" s="56"/>
      <c r="P789" s="56"/>
      <c r="Q789" s="56"/>
      <c r="R789" s="56"/>
      <c r="S789" s="56"/>
      <c r="T789" s="56"/>
      <c r="U789" s="56"/>
      <c r="V789" s="56"/>
      <c r="W789" s="56"/>
      <c r="X789" s="56"/>
      <c r="Y789" s="56"/>
      <c r="Z789" s="56"/>
    </row>
    <row r="790" spans="1:26" ht="15.75" customHeight="1">
      <c r="A790" s="56"/>
      <c r="B790" s="56"/>
      <c r="C790" s="56"/>
      <c r="D790" s="56"/>
      <c r="E790" s="56"/>
      <c r="F790" s="56"/>
      <c r="G790" s="56"/>
      <c r="H790" s="56"/>
      <c r="I790" s="56"/>
      <c r="J790" s="56"/>
      <c r="K790" s="56"/>
      <c r="L790" s="56"/>
      <c r="M790" s="56"/>
      <c r="N790" s="56"/>
      <c r="O790" s="56"/>
      <c r="P790" s="56"/>
      <c r="Q790" s="56"/>
      <c r="R790" s="56"/>
      <c r="S790" s="56"/>
      <c r="T790" s="56"/>
      <c r="U790" s="56"/>
      <c r="V790" s="56"/>
      <c r="W790" s="56"/>
      <c r="X790" s="56"/>
      <c r="Y790" s="56"/>
      <c r="Z790" s="56"/>
    </row>
    <row r="791" spans="1:26" ht="15.75" customHeight="1">
      <c r="A791" s="56"/>
      <c r="B791" s="56"/>
      <c r="C791" s="56"/>
      <c r="D791" s="56"/>
      <c r="E791" s="56"/>
      <c r="F791" s="56"/>
      <c r="G791" s="56"/>
      <c r="H791" s="56"/>
      <c r="I791" s="56"/>
      <c r="J791" s="56"/>
      <c r="K791" s="56"/>
      <c r="L791" s="56"/>
      <c r="M791" s="56"/>
      <c r="N791" s="56"/>
      <c r="O791" s="56"/>
      <c r="P791" s="56"/>
      <c r="Q791" s="56"/>
      <c r="R791" s="56"/>
      <c r="S791" s="56"/>
      <c r="T791" s="56"/>
      <c r="U791" s="56"/>
      <c r="V791" s="56"/>
      <c r="W791" s="56"/>
      <c r="X791" s="56"/>
      <c r="Y791" s="56"/>
      <c r="Z791" s="56"/>
    </row>
    <row r="792" spans="1:26" ht="15.75" customHeight="1">
      <c r="A792" s="56"/>
      <c r="B792" s="56"/>
      <c r="C792" s="56"/>
      <c r="D792" s="56"/>
      <c r="E792" s="56"/>
      <c r="F792" s="56"/>
      <c r="G792" s="56"/>
      <c r="H792" s="56"/>
      <c r="I792" s="56"/>
      <c r="J792" s="56"/>
      <c r="K792" s="56"/>
      <c r="L792" s="56"/>
      <c r="M792" s="56"/>
      <c r="N792" s="56"/>
      <c r="O792" s="56"/>
      <c r="P792" s="56"/>
      <c r="Q792" s="56"/>
      <c r="R792" s="56"/>
      <c r="S792" s="56"/>
      <c r="T792" s="56"/>
      <c r="U792" s="56"/>
      <c r="V792" s="56"/>
      <c r="W792" s="56"/>
      <c r="X792" s="56"/>
      <c r="Y792" s="56"/>
      <c r="Z792" s="56"/>
    </row>
    <row r="793" spans="1:26" ht="15.75" customHeight="1">
      <c r="A793" s="56"/>
      <c r="B793" s="56"/>
      <c r="C793" s="56"/>
      <c r="D793" s="56"/>
      <c r="E793" s="56"/>
      <c r="F793" s="56"/>
      <c r="G793" s="56"/>
      <c r="H793" s="56"/>
      <c r="I793" s="56"/>
      <c r="J793" s="56"/>
      <c r="K793" s="56"/>
      <c r="L793" s="56"/>
      <c r="M793" s="56"/>
      <c r="N793" s="56"/>
      <c r="O793" s="56"/>
      <c r="P793" s="56"/>
      <c r="Q793" s="56"/>
      <c r="R793" s="56"/>
      <c r="S793" s="56"/>
      <c r="T793" s="56"/>
      <c r="U793" s="56"/>
      <c r="V793" s="56"/>
      <c r="W793" s="56"/>
      <c r="X793" s="56"/>
      <c r="Y793" s="56"/>
      <c r="Z793" s="56"/>
    </row>
    <row r="794" spans="1:26" ht="15.75" customHeight="1">
      <c r="A794" s="56"/>
      <c r="B794" s="56"/>
      <c r="C794" s="56"/>
      <c r="D794" s="56"/>
      <c r="E794" s="56"/>
      <c r="F794" s="56"/>
      <c r="G794" s="56"/>
      <c r="H794" s="56"/>
      <c r="I794" s="56"/>
      <c r="J794" s="56"/>
      <c r="K794" s="56"/>
      <c r="L794" s="56"/>
      <c r="M794" s="56"/>
      <c r="N794" s="56"/>
      <c r="O794" s="56"/>
      <c r="P794" s="56"/>
      <c r="Q794" s="56"/>
      <c r="R794" s="56"/>
      <c r="S794" s="56"/>
      <c r="T794" s="56"/>
      <c r="U794" s="56"/>
      <c r="V794" s="56"/>
      <c r="W794" s="56"/>
      <c r="X794" s="56"/>
      <c r="Y794" s="56"/>
      <c r="Z794" s="56"/>
    </row>
    <row r="795" spans="1:26" ht="15.75" customHeight="1">
      <c r="A795" s="56"/>
      <c r="B795" s="56"/>
      <c r="C795" s="56"/>
      <c r="D795" s="56"/>
      <c r="E795" s="56"/>
      <c r="F795" s="56"/>
      <c r="G795" s="56"/>
      <c r="H795" s="56"/>
      <c r="I795" s="56"/>
      <c r="J795" s="56"/>
      <c r="K795" s="56"/>
      <c r="L795" s="56"/>
      <c r="M795" s="56"/>
      <c r="N795" s="56"/>
      <c r="O795" s="56"/>
      <c r="P795" s="56"/>
      <c r="Q795" s="56"/>
      <c r="R795" s="56"/>
      <c r="S795" s="56"/>
      <c r="T795" s="56"/>
      <c r="U795" s="56"/>
      <c r="V795" s="56"/>
      <c r="W795" s="56"/>
      <c r="X795" s="56"/>
      <c r="Y795" s="56"/>
      <c r="Z795" s="56"/>
    </row>
    <row r="796" spans="1:26" ht="15.75" customHeight="1">
      <c r="A796" s="56"/>
      <c r="B796" s="56"/>
      <c r="C796" s="56"/>
      <c r="D796" s="56"/>
      <c r="E796" s="56"/>
      <c r="F796" s="56"/>
      <c r="G796" s="56"/>
      <c r="H796" s="56"/>
      <c r="I796" s="56"/>
      <c r="J796" s="56"/>
      <c r="K796" s="56"/>
      <c r="L796" s="56"/>
      <c r="M796" s="56"/>
      <c r="N796" s="56"/>
      <c r="O796" s="56"/>
      <c r="P796" s="56"/>
      <c r="Q796" s="56"/>
      <c r="R796" s="56"/>
      <c r="S796" s="56"/>
      <c r="T796" s="56"/>
      <c r="U796" s="56"/>
      <c r="V796" s="56"/>
      <c r="W796" s="56"/>
      <c r="X796" s="56"/>
      <c r="Y796" s="56"/>
      <c r="Z796" s="56"/>
    </row>
    <row r="797" spans="1:26" ht="15.75" customHeight="1">
      <c r="A797" s="56"/>
      <c r="B797" s="56"/>
      <c r="C797" s="56"/>
      <c r="D797" s="56"/>
      <c r="E797" s="56"/>
      <c r="F797" s="56"/>
      <c r="G797" s="56"/>
      <c r="H797" s="56"/>
      <c r="I797" s="56"/>
      <c r="J797" s="56"/>
      <c r="K797" s="56"/>
      <c r="L797" s="56"/>
      <c r="M797" s="56"/>
      <c r="N797" s="56"/>
      <c r="O797" s="56"/>
      <c r="P797" s="56"/>
      <c r="Q797" s="56"/>
      <c r="R797" s="56"/>
      <c r="S797" s="56"/>
      <c r="T797" s="56"/>
      <c r="U797" s="56"/>
      <c r="V797" s="56"/>
      <c r="W797" s="56"/>
      <c r="X797" s="56"/>
      <c r="Y797" s="56"/>
      <c r="Z797" s="56"/>
    </row>
    <row r="798" spans="1:26" ht="15.75" customHeight="1">
      <c r="A798" s="56"/>
      <c r="B798" s="56"/>
      <c r="C798" s="56"/>
      <c r="D798" s="56"/>
      <c r="E798" s="56"/>
      <c r="F798" s="56"/>
      <c r="G798" s="56"/>
      <c r="H798" s="56"/>
      <c r="I798" s="56"/>
      <c r="J798" s="56"/>
      <c r="K798" s="56"/>
      <c r="L798" s="56"/>
      <c r="M798" s="56"/>
      <c r="N798" s="56"/>
      <c r="O798" s="56"/>
      <c r="P798" s="56"/>
      <c r="Q798" s="56"/>
      <c r="R798" s="56"/>
      <c r="S798" s="56"/>
      <c r="T798" s="56"/>
      <c r="U798" s="56"/>
      <c r="V798" s="56"/>
      <c r="W798" s="56"/>
      <c r="X798" s="56"/>
      <c r="Y798" s="56"/>
      <c r="Z798" s="56"/>
    </row>
    <row r="799" spans="1:26" ht="15.75" customHeight="1">
      <c r="A799" s="56"/>
      <c r="B799" s="56"/>
      <c r="C799" s="56"/>
      <c r="D799" s="56"/>
      <c r="E799" s="56"/>
      <c r="F799" s="56"/>
      <c r="G799" s="56"/>
      <c r="H799" s="56"/>
      <c r="I799" s="56"/>
      <c r="J799" s="56"/>
      <c r="K799" s="56"/>
      <c r="L799" s="56"/>
      <c r="M799" s="56"/>
      <c r="N799" s="56"/>
      <c r="O799" s="56"/>
      <c r="P799" s="56"/>
      <c r="Q799" s="56"/>
      <c r="R799" s="56"/>
      <c r="S799" s="56"/>
      <c r="T799" s="56"/>
      <c r="U799" s="56"/>
      <c r="V799" s="56"/>
      <c r="W799" s="56"/>
      <c r="X799" s="56"/>
      <c r="Y799" s="56"/>
      <c r="Z799" s="56"/>
    </row>
    <row r="800" spans="1:26" ht="15.75" customHeight="1">
      <c r="A800" s="56"/>
      <c r="B800" s="56"/>
      <c r="C800" s="56"/>
      <c r="D800" s="56"/>
      <c r="E800" s="56"/>
      <c r="F800" s="56"/>
      <c r="G800" s="56"/>
      <c r="H800" s="56"/>
      <c r="I800" s="56"/>
      <c r="J800" s="56"/>
      <c r="K800" s="56"/>
      <c r="L800" s="56"/>
      <c r="M800" s="56"/>
      <c r="N800" s="56"/>
      <c r="O800" s="56"/>
      <c r="P800" s="56"/>
      <c r="Q800" s="56"/>
      <c r="R800" s="56"/>
      <c r="S800" s="56"/>
      <c r="T800" s="56"/>
      <c r="U800" s="56"/>
      <c r="V800" s="56"/>
      <c r="W800" s="56"/>
      <c r="X800" s="56"/>
      <c r="Y800" s="56"/>
      <c r="Z800" s="56"/>
    </row>
    <row r="801" spans="1:26" ht="15.75" customHeight="1">
      <c r="A801" s="56"/>
      <c r="B801" s="56"/>
      <c r="C801" s="56"/>
      <c r="D801" s="56"/>
      <c r="E801" s="56"/>
      <c r="F801" s="56"/>
      <c r="G801" s="56"/>
      <c r="H801" s="56"/>
      <c r="I801" s="56"/>
      <c r="J801" s="56"/>
      <c r="K801" s="56"/>
      <c r="L801" s="56"/>
      <c r="M801" s="56"/>
      <c r="N801" s="56"/>
      <c r="O801" s="56"/>
      <c r="P801" s="56"/>
      <c r="Q801" s="56"/>
      <c r="R801" s="56"/>
      <c r="S801" s="56"/>
      <c r="T801" s="56"/>
      <c r="U801" s="56"/>
      <c r="V801" s="56"/>
      <c r="W801" s="56"/>
      <c r="X801" s="56"/>
      <c r="Y801" s="56"/>
      <c r="Z801" s="56"/>
    </row>
    <row r="802" spans="1:26" ht="15.75" customHeight="1">
      <c r="A802" s="56"/>
      <c r="B802" s="56"/>
      <c r="C802" s="56"/>
      <c r="D802" s="56"/>
      <c r="E802" s="56"/>
      <c r="F802" s="56"/>
      <c r="G802" s="56"/>
      <c r="H802" s="56"/>
      <c r="I802" s="56"/>
      <c r="J802" s="56"/>
      <c r="K802" s="56"/>
      <c r="L802" s="56"/>
      <c r="M802" s="56"/>
      <c r="N802" s="56"/>
      <c r="O802" s="56"/>
      <c r="P802" s="56"/>
      <c r="Q802" s="56"/>
      <c r="R802" s="56"/>
      <c r="S802" s="56"/>
      <c r="T802" s="56"/>
      <c r="U802" s="56"/>
      <c r="V802" s="56"/>
      <c r="W802" s="56"/>
      <c r="X802" s="56"/>
      <c r="Y802" s="56"/>
      <c r="Z802" s="56"/>
    </row>
    <row r="803" spans="1:26" ht="15.75" customHeight="1">
      <c r="A803" s="56"/>
      <c r="B803" s="56"/>
      <c r="C803" s="56"/>
      <c r="D803" s="56"/>
      <c r="E803" s="56"/>
      <c r="F803" s="56"/>
      <c r="G803" s="56"/>
      <c r="H803" s="56"/>
      <c r="I803" s="56"/>
      <c r="J803" s="56"/>
      <c r="K803" s="56"/>
      <c r="L803" s="56"/>
      <c r="M803" s="56"/>
      <c r="N803" s="56"/>
      <c r="O803" s="56"/>
      <c r="P803" s="56"/>
      <c r="Q803" s="56"/>
      <c r="R803" s="56"/>
      <c r="S803" s="56"/>
      <c r="T803" s="56"/>
      <c r="U803" s="56"/>
      <c r="V803" s="56"/>
      <c r="W803" s="56"/>
      <c r="X803" s="56"/>
      <c r="Y803" s="56"/>
      <c r="Z803" s="56"/>
    </row>
    <row r="804" spans="1:26" ht="15.75" customHeight="1">
      <c r="A804" s="56"/>
      <c r="B804" s="56"/>
      <c r="C804" s="56"/>
      <c r="D804" s="56"/>
      <c r="E804" s="56"/>
      <c r="F804" s="56"/>
      <c r="G804" s="56"/>
      <c r="H804" s="56"/>
      <c r="I804" s="56"/>
      <c r="J804" s="56"/>
      <c r="K804" s="56"/>
      <c r="L804" s="56"/>
      <c r="M804" s="56"/>
      <c r="N804" s="56"/>
      <c r="O804" s="56"/>
      <c r="P804" s="56"/>
      <c r="Q804" s="56"/>
      <c r="R804" s="56"/>
      <c r="S804" s="56"/>
      <c r="T804" s="56"/>
      <c r="U804" s="56"/>
      <c r="V804" s="56"/>
      <c r="W804" s="56"/>
      <c r="X804" s="56"/>
      <c r="Y804" s="56"/>
      <c r="Z804" s="56"/>
    </row>
    <row r="805" spans="1:26" ht="15.75" customHeight="1">
      <c r="A805" s="56"/>
      <c r="B805" s="56"/>
      <c r="C805" s="56"/>
      <c r="D805" s="56"/>
      <c r="E805" s="56"/>
      <c r="F805" s="56"/>
      <c r="G805" s="56"/>
      <c r="H805" s="56"/>
      <c r="I805" s="56"/>
      <c r="J805" s="56"/>
      <c r="K805" s="56"/>
      <c r="L805" s="56"/>
      <c r="M805" s="56"/>
      <c r="N805" s="56"/>
      <c r="O805" s="56"/>
      <c r="P805" s="56"/>
      <c r="Q805" s="56"/>
      <c r="R805" s="56"/>
      <c r="S805" s="56"/>
      <c r="T805" s="56"/>
      <c r="U805" s="56"/>
      <c r="V805" s="56"/>
      <c r="W805" s="56"/>
      <c r="X805" s="56"/>
      <c r="Y805" s="56"/>
      <c r="Z805" s="56"/>
    </row>
    <row r="806" spans="1:26" ht="15.75" customHeight="1">
      <c r="A806" s="56"/>
      <c r="B806" s="56"/>
      <c r="C806" s="56"/>
      <c r="D806" s="56"/>
      <c r="E806" s="56"/>
      <c r="F806" s="56"/>
      <c r="G806" s="56"/>
      <c r="H806" s="56"/>
      <c r="I806" s="56"/>
      <c r="J806" s="56"/>
      <c r="K806" s="56"/>
      <c r="L806" s="56"/>
      <c r="M806" s="56"/>
      <c r="N806" s="56"/>
      <c r="O806" s="56"/>
      <c r="P806" s="56"/>
      <c r="Q806" s="56"/>
      <c r="R806" s="56"/>
      <c r="S806" s="56"/>
      <c r="T806" s="56"/>
      <c r="U806" s="56"/>
      <c r="V806" s="56"/>
      <c r="W806" s="56"/>
      <c r="X806" s="56"/>
      <c r="Y806" s="56"/>
      <c r="Z806" s="56"/>
    </row>
    <row r="807" spans="1:26" ht="15.75" customHeight="1">
      <c r="A807" s="56"/>
      <c r="B807" s="56"/>
      <c r="C807" s="56"/>
      <c r="D807" s="56"/>
      <c r="E807" s="56"/>
      <c r="F807" s="56"/>
      <c r="G807" s="56"/>
      <c r="H807" s="56"/>
      <c r="I807" s="56"/>
      <c r="J807" s="56"/>
      <c r="K807" s="56"/>
      <c r="L807" s="56"/>
      <c r="M807" s="56"/>
      <c r="N807" s="56"/>
      <c r="O807" s="56"/>
      <c r="P807" s="56"/>
      <c r="Q807" s="56"/>
      <c r="R807" s="56"/>
      <c r="S807" s="56"/>
      <c r="T807" s="56"/>
      <c r="U807" s="56"/>
      <c r="V807" s="56"/>
      <c r="W807" s="56"/>
      <c r="X807" s="56"/>
      <c r="Y807" s="56"/>
      <c r="Z807" s="56"/>
    </row>
    <row r="808" spans="1:26" ht="15.75" customHeight="1">
      <c r="A808" s="56"/>
      <c r="B808" s="56"/>
      <c r="C808" s="56"/>
      <c r="D808" s="56"/>
      <c r="E808" s="56"/>
      <c r="F808" s="56"/>
      <c r="G808" s="56"/>
      <c r="H808" s="56"/>
      <c r="I808" s="56"/>
      <c r="J808" s="56"/>
      <c r="K808" s="56"/>
      <c r="L808" s="56"/>
      <c r="M808" s="56"/>
      <c r="N808" s="56"/>
      <c r="O808" s="56"/>
      <c r="P808" s="56"/>
      <c r="Q808" s="56"/>
      <c r="R808" s="56"/>
      <c r="S808" s="56"/>
      <c r="T808" s="56"/>
      <c r="U808" s="56"/>
      <c r="V808" s="56"/>
      <c r="W808" s="56"/>
      <c r="X808" s="56"/>
      <c r="Y808" s="56"/>
      <c r="Z808" s="56"/>
    </row>
    <row r="809" spans="1:26" ht="15.75" customHeight="1">
      <c r="A809" s="56"/>
      <c r="B809" s="56"/>
      <c r="C809" s="56"/>
      <c r="D809" s="56"/>
      <c r="E809" s="56"/>
      <c r="F809" s="56"/>
      <c r="G809" s="56"/>
      <c r="H809" s="56"/>
      <c r="I809" s="56"/>
      <c r="J809" s="56"/>
      <c r="K809" s="56"/>
      <c r="L809" s="56"/>
      <c r="M809" s="56"/>
      <c r="N809" s="56"/>
      <c r="O809" s="56"/>
      <c r="P809" s="56"/>
      <c r="Q809" s="56"/>
      <c r="R809" s="56"/>
      <c r="S809" s="56"/>
      <c r="T809" s="56"/>
      <c r="U809" s="56"/>
      <c r="V809" s="56"/>
      <c r="W809" s="56"/>
      <c r="X809" s="56"/>
      <c r="Y809" s="56"/>
      <c r="Z809" s="56"/>
    </row>
    <row r="810" spans="1:26" ht="15.75" customHeight="1">
      <c r="A810" s="56"/>
      <c r="B810" s="56"/>
      <c r="C810" s="56"/>
      <c r="D810" s="56"/>
      <c r="E810" s="56"/>
      <c r="F810" s="56"/>
      <c r="G810" s="56"/>
      <c r="H810" s="56"/>
      <c r="I810" s="56"/>
      <c r="J810" s="56"/>
      <c r="K810" s="56"/>
      <c r="L810" s="56"/>
      <c r="M810" s="56"/>
      <c r="N810" s="56"/>
      <c r="O810" s="56"/>
      <c r="P810" s="56"/>
      <c r="Q810" s="56"/>
      <c r="R810" s="56"/>
      <c r="S810" s="56"/>
      <c r="T810" s="56"/>
      <c r="U810" s="56"/>
      <c r="V810" s="56"/>
      <c r="W810" s="56"/>
      <c r="X810" s="56"/>
      <c r="Y810" s="56"/>
      <c r="Z810" s="56"/>
    </row>
    <row r="811" spans="1:26" ht="15.75" customHeight="1">
      <c r="A811" s="56"/>
      <c r="B811" s="56"/>
      <c r="C811" s="56"/>
      <c r="D811" s="56"/>
      <c r="E811" s="56"/>
      <c r="F811" s="56"/>
      <c r="G811" s="56"/>
      <c r="H811" s="56"/>
      <c r="I811" s="56"/>
      <c r="J811" s="56"/>
      <c r="K811" s="56"/>
      <c r="L811" s="56"/>
      <c r="M811" s="56"/>
      <c r="N811" s="56"/>
      <c r="O811" s="56"/>
      <c r="P811" s="56"/>
      <c r="Q811" s="56"/>
      <c r="R811" s="56"/>
      <c r="S811" s="56"/>
      <c r="T811" s="56"/>
      <c r="U811" s="56"/>
      <c r="V811" s="56"/>
      <c r="W811" s="56"/>
      <c r="X811" s="56"/>
      <c r="Y811" s="56"/>
      <c r="Z811" s="56"/>
    </row>
    <row r="812" spans="1:26" ht="15.75" customHeight="1">
      <c r="A812" s="56"/>
      <c r="B812" s="56"/>
      <c r="C812" s="56"/>
      <c r="D812" s="56"/>
      <c r="E812" s="56"/>
      <c r="F812" s="56"/>
      <c r="G812" s="56"/>
      <c r="H812" s="56"/>
      <c r="I812" s="56"/>
      <c r="J812" s="56"/>
      <c r="K812" s="56"/>
      <c r="L812" s="56"/>
      <c r="M812" s="56"/>
      <c r="N812" s="56"/>
      <c r="O812" s="56"/>
      <c r="P812" s="56"/>
      <c r="Q812" s="56"/>
      <c r="R812" s="56"/>
      <c r="S812" s="56"/>
      <c r="T812" s="56"/>
      <c r="U812" s="56"/>
      <c r="V812" s="56"/>
      <c r="W812" s="56"/>
      <c r="X812" s="56"/>
      <c r="Y812" s="56"/>
      <c r="Z812" s="56"/>
    </row>
    <row r="813" spans="1:26" ht="15.75" customHeight="1">
      <c r="A813" s="56"/>
      <c r="B813" s="56"/>
      <c r="C813" s="56"/>
      <c r="D813" s="56"/>
      <c r="E813" s="56"/>
      <c r="F813" s="56"/>
      <c r="G813" s="56"/>
      <c r="H813" s="56"/>
      <c r="I813" s="56"/>
      <c r="J813" s="56"/>
      <c r="K813" s="56"/>
      <c r="L813" s="56"/>
      <c r="M813" s="56"/>
      <c r="N813" s="56"/>
      <c r="O813" s="56"/>
      <c r="P813" s="56"/>
      <c r="Q813" s="56"/>
      <c r="R813" s="56"/>
      <c r="S813" s="56"/>
      <c r="T813" s="56"/>
      <c r="U813" s="56"/>
      <c r="V813" s="56"/>
      <c r="W813" s="56"/>
      <c r="X813" s="56"/>
      <c r="Y813" s="56"/>
      <c r="Z813" s="56"/>
    </row>
    <row r="814" spans="1:26" ht="15.75" customHeight="1">
      <c r="A814" s="56"/>
      <c r="B814" s="56"/>
      <c r="C814" s="56"/>
      <c r="D814" s="56"/>
      <c r="E814" s="56"/>
      <c r="F814" s="56"/>
      <c r="G814" s="56"/>
      <c r="H814" s="56"/>
      <c r="I814" s="56"/>
      <c r="J814" s="56"/>
      <c r="K814" s="56"/>
      <c r="L814" s="56"/>
      <c r="M814" s="56"/>
      <c r="N814" s="56"/>
      <c r="O814" s="56"/>
      <c r="P814" s="56"/>
      <c r="Q814" s="56"/>
      <c r="R814" s="56"/>
      <c r="S814" s="56"/>
      <c r="T814" s="56"/>
      <c r="U814" s="56"/>
      <c r="V814" s="56"/>
      <c r="W814" s="56"/>
      <c r="X814" s="56"/>
      <c r="Y814" s="56"/>
      <c r="Z814" s="56"/>
    </row>
    <row r="815" spans="1:26" ht="15.75" customHeight="1">
      <c r="A815" s="56"/>
      <c r="B815" s="56"/>
      <c r="C815" s="56"/>
      <c r="D815" s="56"/>
      <c r="E815" s="56"/>
      <c r="F815" s="56"/>
      <c r="G815" s="56"/>
      <c r="H815" s="56"/>
      <c r="I815" s="56"/>
      <c r="J815" s="56"/>
      <c r="K815" s="56"/>
      <c r="L815" s="56"/>
      <c r="M815" s="56"/>
      <c r="N815" s="56"/>
      <c r="O815" s="56"/>
      <c r="P815" s="56"/>
      <c r="Q815" s="56"/>
      <c r="R815" s="56"/>
      <c r="S815" s="56"/>
      <c r="T815" s="56"/>
      <c r="U815" s="56"/>
      <c r="V815" s="56"/>
      <c r="W815" s="56"/>
      <c r="X815" s="56"/>
      <c r="Y815" s="56"/>
      <c r="Z815" s="56"/>
    </row>
    <row r="816" spans="1:26" ht="15.75" customHeight="1">
      <c r="A816" s="56"/>
      <c r="B816" s="56"/>
      <c r="C816" s="56"/>
      <c r="D816" s="56"/>
      <c r="E816" s="56"/>
      <c r="F816" s="56"/>
      <c r="G816" s="56"/>
      <c r="H816" s="56"/>
      <c r="I816" s="56"/>
      <c r="J816" s="56"/>
      <c r="K816" s="56"/>
      <c r="L816" s="56"/>
      <c r="M816" s="56"/>
      <c r="N816" s="56"/>
      <c r="O816" s="56"/>
      <c r="P816" s="56"/>
      <c r="Q816" s="56"/>
      <c r="R816" s="56"/>
      <c r="S816" s="56"/>
      <c r="T816" s="56"/>
      <c r="U816" s="56"/>
      <c r="V816" s="56"/>
      <c r="W816" s="56"/>
      <c r="X816" s="56"/>
      <c r="Y816" s="56"/>
      <c r="Z816" s="56"/>
    </row>
    <row r="817" spans="1:26" ht="15.75" customHeight="1">
      <c r="A817" s="56"/>
      <c r="B817" s="56"/>
      <c r="C817" s="56"/>
      <c r="D817" s="56"/>
      <c r="E817" s="56"/>
      <c r="F817" s="56"/>
      <c r="G817" s="56"/>
      <c r="H817" s="56"/>
      <c r="I817" s="56"/>
      <c r="J817" s="56"/>
      <c r="K817" s="56"/>
      <c r="L817" s="56"/>
      <c r="M817" s="56"/>
      <c r="N817" s="56"/>
      <c r="O817" s="56"/>
      <c r="P817" s="56"/>
      <c r="Q817" s="56"/>
      <c r="R817" s="56"/>
      <c r="S817" s="56"/>
      <c r="T817" s="56"/>
      <c r="U817" s="56"/>
      <c r="V817" s="56"/>
      <c r="W817" s="56"/>
      <c r="X817" s="56"/>
      <c r="Y817" s="56"/>
      <c r="Z817" s="56"/>
    </row>
    <row r="818" spans="1:26" ht="15.75" customHeight="1">
      <c r="A818" s="56"/>
      <c r="B818" s="56"/>
      <c r="C818" s="56"/>
      <c r="D818" s="56"/>
      <c r="E818" s="56"/>
      <c r="F818" s="56"/>
      <c r="G818" s="56"/>
      <c r="H818" s="56"/>
      <c r="I818" s="56"/>
      <c r="J818" s="56"/>
      <c r="K818" s="56"/>
      <c r="L818" s="56"/>
      <c r="M818" s="56"/>
      <c r="N818" s="56"/>
      <c r="O818" s="56"/>
      <c r="P818" s="56"/>
      <c r="Q818" s="56"/>
      <c r="R818" s="56"/>
      <c r="S818" s="56"/>
      <c r="T818" s="56"/>
      <c r="U818" s="56"/>
      <c r="V818" s="56"/>
      <c r="W818" s="56"/>
      <c r="X818" s="56"/>
      <c r="Y818" s="56"/>
      <c r="Z818" s="56"/>
    </row>
    <row r="819" spans="1:26" ht="15.75" customHeight="1">
      <c r="A819" s="56"/>
      <c r="B819" s="56"/>
      <c r="C819" s="56"/>
      <c r="D819" s="56"/>
      <c r="E819" s="56"/>
      <c r="F819" s="56"/>
      <c r="G819" s="56"/>
      <c r="H819" s="56"/>
      <c r="I819" s="56"/>
      <c r="J819" s="56"/>
      <c r="K819" s="56"/>
      <c r="L819" s="56"/>
      <c r="M819" s="56"/>
      <c r="N819" s="56"/>
      <c r="O819" s="56"/>
      <c r="P819" s="56"/>
      <c r="Q819" s="56"/>
      <c r="R819" s="56"/>
      <c r="S819" s="56"/>
      <c r="T819" s="56"/>
      <c r="U819" s="56"/>
      <c r="V819" s="56"/>
      <c r="W819" s="56"/>
      <c r="X819" s="56"/>
      <c r="Y819" s="56"/>
      <c r="Z819" s="56"/>
    </row>
    <row r="820" spans="1:26" ht="15.75" customHeight="1">
      <c r="A820" s="56"/>
      <c r="B820" s="56"/>
      <c r="C820" s="56"/>
      <c r="D820" s="56"/>
      <c r="E820" s="56"/>
      <c r="F820" s="56"/>
      <c r="G820" s="56"/>
      <c r="H820" s="56"/>
      <c r="I820" s="56"/>
      <c r="J820" s="56"/>
      <c r="K820" s="56"/>
      <c r="L820" s="56"/>
      <c r="M820" s="56"/>
      <c r="N820" s="56"/>
      <c r="O820" s="56"/>
      <c r="P820" s="56"/>
      <c r="Q820" s="56"/>
      <c r="R820" s="56"/>
      <c r="S820" s="56"/>
      <c r="T820" s="56"/>
      <c r="U820" s="56"/>
      <c r="V820" s="56"/>
      <c r="W820" s="56"/>
      <c r="X820" s="56"/>
      <c r="Y820" s="56"/>
      <c r="Z820" s="56"/>
    </row>
    <row r="821" spans="1:26" ht="15.75" customHeight="1">
      <c r="A821" s="56"/>
      <c r="B821" s="56"/>
      <c r="C821" s="56"/>
      <c r="D821" s="56"/>
      <c r="E821" s="56"/>
      <c r="F821" s="56"/>
      <c r="G821" s="56"/>
      <c r="H821" s="56"/>
      <c r="I821" s="56"/>
      <c r="J821" s="56"/>
      <c r="K821" s="56"/>
      <c r="L821" s="56"/>
      <c r="M821" s="56"/>
      <c r="N821" s="56"/>
      <c r="O821" s="56"/>
      <c r="P821" s="56"/>
      <c r="Q821" s="56"/>
      <c r="R821" s="56"/>
      <c r="S821" s="56"/>
      <c r="T821" s="56"/>
      <c r="U821" s="56"/>
      <c r="V821" s="56"/>
      <c r="W821" s="56"/>
      <c r="X821" s="56"/>
      <c r="Y821" s="56"/>
      <c r="Z821" s="56"/>
    </row>
    <row r="822" spans="1:26" ht="15.75" customHeight="1">
      <c r="A822" s="56"/>
      <c r="B822" s="56"/>
      <c r="C822" s="56"/>
      <c r="D822" s="56"/>
      <c r="E822" s="56"/>
      <c r="F822" s="56"/>
      <c r="G822" s="56"/>
      <c r="H822" s="56"/>
      <c r="I822" s="56"/>
      <c r="J822" s="56"/>
      <c r="K822" s="56"/>
      <c r="L822" s="56"/>
      <c r="M822" s="56"/>
      <c r="N822" s="56"/>
      <c r="O822" s="56"/>
      <c r="P822" s="56"/>
      <c r="Q822" s="56"/>
      <c r="R822" s="56"/>
      <c r="S822" s="56"/>
      <c r="T822" s="56"/>
      <c r="U822" s="56"/>
      <c r="V822" s="56"/>
      <c r="W822" s="56"/>
      <c r="X822" s="56"/>
      <c r="Y822" s="56"/>
      <c r="Z822" s="56"/>
    </row>
    <row r="823" spans="1:26" ht="15.75" customHeight="1">
      <c r="A823" s="56"/>
      <c r="B823" s="56"/>
      <c r="C823" s="56"/>
      <c r="D823" s="56"/>
      <c r="E823" s="56"/>
      <c r="F823" s="56"/>
      <c r="G823" s="56"/>
      <c r="H823" s="56"/>
      <c r="I823" s="56"/>
      <c r="J823" s="56"/>
      <c r="K823" s="56"/>
      <c r="L823" s="56"/>
      <c r="M823" s="56"/>
      <c r="N823" s="56"/>
      <c r="O823" s="56"/>
      <c r="P823" s="56"/>
      <c r="Q823" s="56"/>
      <c r="R823" s="56"/>
      <c r="S823" s="56"/>
      <c r="T823" s="56"/>
      <c r="U823" s="56"/>
      <c r="V823" s="56"/>
      <c r="W823" s="56"/>
      <c r="X823" s="56"/>
      <c r="Y823" s="56"/>
      <c r="Z823" s="56"/>
    </row>
    <row r="824" spans="1:26" ht="15.75" customHeight="1">
      <c r="A824" s="56"/>
      <c r="B824" s="56"/>
      <c r="C824" s="56"/>
      <c r="D824" s="56"/>
      <c r="E824" s="56"/>
      <c r="F824" s="56"/>
      <c r="G824" s="56"/>
      <c r="H824" s="56"/>
      <c r="I824" s="56"/>
      <c r="J824" s="56"/>
      <c r="K824" s="56"/>
      <c r="L824" s="56"/>
      <c r="M824" s="56"/>
      <c r="N824" s="56"/>
      <c r="O824" s="56"/>
      <c r="P824" s="56"/>
      <c r="Q824" s="56"/>
      <c r="R824" s="56"/>
      <c r="S824" s="56"/>
      <c r="T824" s="56"/>
      <c r="U824" s="56"/>
      <c r="V824" s="56"/>
      <c r="W824" s="56"/>
      <c r="X824" s="56"/>
      <c r="Y824" s="56"/>
      <c r="Z824" s="56"/>
    </row>
    <row r="825" spans="1:26" ht="15.75" customHeight="1">
      <c r="A825" s="56"/>
      <c r="B825" s="56"/>
      <c r="C825" s="56"/>
      <c r="D825" s="56"/>
      <c r="E825" s="56"/>
      <c r="F825" s="56"/>
      <c r="G825" s="56"/>
      <c r="H825" s="56"/>
      <c r="I825" s="56"/>
      <c r="J825" s="56"/>
      <c r="K825" s="56"/>
      <c r="L825" s="56"/>
      <c r="M825" s="56"/>
      <c r="N825" s="56"/>
      <c r="O825" s="56"/>
      <c r="P825" s="56"/>
      <c r="Q825" s="56"/>
      <c r="R825" s="56"/>
      <c r="S825" s="56"/>
      <c r="T825" s="56"/>
      <c r="U825" s="56"/>
      <c r="V825" s="56"/>
      <c r="W825" s="56"/>
      <c r="X825" s="56"/>
      <c r="Y825" s="56"/>
      <c r="Z825" s="56"/>
    </row>
    <row r="826" spans="1:26" ht="15.75" customHeight="1">
      <c r="A826" s="56"/>
      <c r="B826" s="56"/>
      <c r="C826" s="56"/>
      <c r="D826" s="56"/>
      <c r="E826" s="56"/>
      <c r="F826" s="56"/>
      <c r="G826" s="56"/>
      <c r="H826" s="56"/>
      <c r="I826" s="56"/>
      <c r="J826" s="56"/>
      <c r="K826" s="56"/>
      <c r="L826" s="56"/>
      <c r="M826" s="56"/>
      <c r="N826" s="56"/>
      <c r="O826" s="56"/>
      <c r="P826" s="56"/>
      <c r="Q826" s="56"/>
      <c r="R826" s="56"/>
      <c r="S826" s="56"/>
      <c r="T826" s="56"/>
      <c r="U826" s="56"/>
      <c r="V826" s="56"/>
      <c r="W826" s="56"/>
      <c r="X826" s="56"/>
      <c r="Y826" s="56"/>
      <c r="Z826" s="56"/>
    </row>
    <row r="827" spans="1:26" ht="15.75" customHeight="1">
      <c r="A827" s="56"/>
      <c r="B827" s="56"/>
      <c r="C827" s="56"/>
      <c r="D827" s="56"/>
      <c r="E827" s="56"/>
      <c r="F827" s="56"/>
      <c r="G827" s="56"/>
      <c r="H827" s="56"/>
      <c r="I827" s="56"/>
      <c r="J827" s="56"/>
      <c r="K827" s="56"/>
      <c r="L827" s="56"/>
      <c r="M827" s="56"/>
      <c r="N827" s="56"/>
      <c r="O827" s="56"/>
      <c r="P827" s="56"/>
      <c r="Q827" s="56"/>
      <c r="R827" s="56"/>
      <c r="S827" s="56"/>
      <c r="T827" s="56"/>
      <c r="U827" s="56"/>
      <c r="V827" s="56"/>
      <c r="W827" s="56"/>
      <c r="X827" s="56"/>
      <c r="Y827" s="56"/>
      <c r="Z827" s="56"/>
    </row>
    <row r="828" spans="1:26" ht="15.75" customHeight="1">
      <c r="A828" s="56"/>
      <c r="B828" s="56"/>
      <c r="C828" s="56"/>
      <c r="D828" s="56"/>
      <c r="E828" s="56"/>
      <c r="F828" s="56"/>
      <c r="G828" s="56"/>
      <c r="H828" s="56"/>
      <c r="I828" s="56"/>
      <c r="J828" s="56"/>
      <c r="K828" s="56"/>
      <c r="L828" s="56"/>
      <c r="M828" s="56"/>
      <c r="N828" s="56"/>
      <c r="O828" s="56"/>
      <c r="P828" s="56"/>
      <c r="Q828" s="56"/>
      <c r="R828" s="56"/>
      <c r="S828" s="56"/>
      <c r="T828" s="56"/>
      <c r="U828" s="56"/>
      <c r="V828" s="56"/>
      <c r="W828" s="56"/>
      <c r="X828" s="56"/>
      <c r="Y828" s="56"/>
      <c r="Z828" s="56"/>
    </row>
    <row r="829" spans="1:26" ht="15.75" customHeight="1">
      <c r="A829" s="56"/>
      <c r="B829" s="56"/>
      <c r="C829" s="56"/>
      <c r="D829" s="56"/>
      <c r="E829" s="56"/>
      <c r="F829" s="56"/>
      <c r="G829" s="56"/>
      <c r="H829" s="56"/>
      <c r="I829" s="56"/>
      <c r="J829" s="56"/>
      <c r="K829" s="56"/>
      <c r="L829" s="56"/>
      <c r="M829" s="56"/>
      <c r="N829" s="56"/>
      <c r="O829" s="56"/>
      <c r="P829" s="56"/>
      <c r="Q829" s="56"/>
      <c r="R829" s="56"/>
      <c r="S829" s="56"/>
      <c r="T829" s="56"/>
      <c r="U829" s="56"/>
      <c r="V829" s="56"/>
      <c r="W829" s="56"/>
      <c r="X829" s="56"/>
      <c r="Y829" s="56"/>
      <c r="Z829" s="56"/>
    </row>
    <row r="830" spans="1:26" ht="15.75" customHeight="1">
      <c r="A830" s="56"/>
      <c r="B830" s="56"/>
      <c r="C830" s="56"/>
      <c r="D830" s="56"/>
      <c r="E830" s="56"/>
      <c r="F830" s="56"/>
      <c r="G830" s="56"/>
      <c r="H830" s="56"/>
      <c r="I830" s="56"/>
      <c r="J830" s="56"/>
      <c r="K830" s="56"/>
      <c r="L830" s="56"/>
      <c r="M830" s="56"/>
      <c r="N830" s="56"/>
      <c r="O830" s="56"/>
      <c r="P830" s="56"/>
      <c r="Q830" s="56"/>
      <c r="R830" s="56"/>
      <c r="S830" s="56"/>
      <c r="T830" s="56"/>
      <c r="U830" s="56"/>
      <c r="V830" s="56"/>
      <c r="W830" s="56"/>
      <c r="X830" s="56"/>
      <c r="Y830" s="56"/>
      <c r="Z830" s="56"/>
    </row>
    <row r="831" spans="1:26" ht="15.75" customHeight="1">
      <c r="A831" s="56"/>
      <c r="B831" s="56"/>
      <c r="C831" s="56"/>
      <c r="D831" s="56"/>
      <c r="E831" s="56"/>
      <c r="F831" s="56"/>
      <c r="G831" s="56"/>
      <c r="H831" s="56"/>
      <c r="I831" s="56"/>
      <c r="J831" s="56"/>
      <c r="K831" s="56"/>
      <c r="L831" s="56"/>
      <c r="M831" s="56"/>
      <c r="N831" s="56"/>
      <c r="O831" s="56"/>
      <c r="P831" s="56"/>
      <c r="Q831" s="56"/>
      <c r="R831" s="56"/>
      <c r="S831" s="56"/>
      <c r="T831" s="56"/>
      <c r="U831" s="56"/>
      <c r="V831" s="56"/>
      <c r="W831" s="56"/>
      <c r="X831" s="56"/>
      <c r="Y831" s="56"/>
      <c r="Z831" s="56"/>
    </row>
    <row r="832" spans="1:26" ht="15.75" customHeight="1">
      <c r="A832" s="56"/>
      <c r="B832" s="56"/>
      <c r="C832" s="56"/>
      <c r="D832" s="56"/>
      <c r="E832" s="56"/>
      <c r="F832" s="56"/>
      <c r="G832" s="56"/>
      <c r="H832" s="56"/>
      <c r="I832" s="56"/>
      <c r="J832" s="56"/>
      <c r="K832" s="56"/>
      <c r="L832" s="56"/>
      <c r="M832" s="56"/>
      <c r="N832" s="56"/>
      <c r="O832" s="56"/>
      <c r="P832" s="56"/>
      <c r="Q832" s="56"/>
      <c r="R832" s="56"/>
      <c r="S832" s="56"/>
      <c r="T832" s="56"/>
      <c r="U832" s="56"/>
      <c r="V832" s="56"/>
      <c r="W832" s="56"/>
      <c r="X832" s="56"/>
      <c r="Y832" s="56"/>
      <c r="Z832" s="56"/>
    </row>
    <row r="833" spans="1:26" ht="15.75" customHeight="1">
      <c r="A833" s="56"/>
      <c r="B833" s="56"/>
      <c r="C833" s="56"/>
      <c r="D833" s="56"/>
      <c r="E833" s="56"/>
      <c r="F833" s="56"/>
      <c r="G833" s="56"/>
      <c r="H833" s="56"/>
      <c r="I833" s="56"/>
      <c r="J833" s="56"/>
      <c r="K833" s="56"/>
      <c r="L833" s="56"/>
      <c r="M833" s="56"/>
      <c r="N833" s="56"/>
      <c r="O833" s="56"/>
      <c r="P833" s="56"/>
      <c r="Q833" s="56"/>
      <c r="R833" s="56"/>
      <c r="S833" s="56"/>
      <c r="T833" s="56"/>
      <c r="U833" s="56"/>
      <c r="V833" s="56"/>
      <c r="W833" s="56"/>
      <c r="X833" s="56"/>
      <c r="Y833" s="56"/>
      <c r="Z833" s="56"/>
    </row>
    <row r="834" spans="1:26" ht="15.75" customHeight="1">
      <c r="A834" s="56"/>
      <c r="B834" s="56"/>
      <c r="C834" s="56"/>
      <c r="D834" s="56"/>
      <c r="E834" s="56"/>
      <c r="F834" s="56"/>
      <c r="G834" s="56"/>
      <c r="H834" s="56"/>
      <c r="I834" s="56"/>
      <c r="J834" s="56"/>
      <c r="K834" s="56"/>
      <c r="L834" s="56"/>
      <c r="M834" s="56"/>
      <c r="N834" s="56"/>
      <c r="O834" s="56"/>
      <c r="P834" s="56"/>
      <c r="Q834" s="56"/>
      <c r="R834" s="56"/>
      <c r="S834" s="56"/>
      <c r="T834" s="56"/>
      <c r="U834" s="56"/>
      <c r="V834" s="56"/>
      <c r="W834" s="56"/>
      <c r="X834" s="56"/>
      <c r="Y834" s="56"/>
      <c r="Z834" s="56"/>
    </row>
    <row r="835" spans="1:26" ht="15.75" customHeight="1">
      <c r="A835" s="56"/>
      <c r="B835" s="56"/>
      <c r="C835" s="56"/>
      <c r="D835" s="56"/>
      <c r="E835" s="56"/>
      <c r="F835" s="56"/>
      <c r="G835" s="56"/>
      <c r="H835" s="56"/>
      <c r="I835" s="56"/>
      <c r="J835" s="56"/>
      <c r="K835" s="56"/>
      <c r="L835" s="56"/>
      <c r="M835" s="56"/>
      <c r="N835" s="56"/>
      <c r="O835" s="56"/>
      <c r="P835" s="56"/>
      <c r="Q835" s="56"/>
      <c r="R835" s="56"/>
      <c r="S835" s="56"/>
      <c r="T835" s="56"/>
      <c r="U835" s="56"/>
      <c r="V835" s="56"/>
      <c r="W835" s="56"/>
      <c r="X835" s="56"/>
      <c r="Y835" s="56"/>
      <c r="Z835" s="56"/>
    </row>
    <row r="836" spans="1:26" ht="15.75" customHeight="1">
      <c r="A836" s="56"/>
      <c r="B836" s="56"/>
      <c r="C836" s="56"/>
      <c r="D836" s="56"/>
      <c r="E836" s="56"/>
      <c r="F836" s="56"/>
      <c r="G836" s="56"/>
      <c r="H836" s="56"/>
      <c r="I836" s="56"/>
      <c r="J836" s="56"/>
      <c r="K836" s="56"/>
      <c r="L836" s="56"/>
      <c r="M836" s="56"/>
      <c r="N836" s="56"/>
      <c r="O836" s="56"/>
      <c r="P836" s="56"/>
      <c r="Q836" s="56"/>
      <c r="R836" s="56"/>
      <c r="S836" s="56"/>
      <c r="T836" s="56"/>
      <c r="U836" s="56"/>
      <c r="V836" s="56"/>
      <c r="W836" s="56"/>
      <c r="X836" s="56"/>
      <c r="Y836" s="56"/>
      <c r="Z836" s="56"/>
    </row>
    <row r="837" spans="1:26" ht="15.75" customHeight="1">
      <c r="A837" s="56"/>
      <c r="B837" s="56"/>
      <c r="C837" s="56"/>
      <c r="D837" s="56"/>
      <c r="E837" s="56"/>
      <c r="F837" s="56"/>
      <c r="G837" s="56"/>
      <c r="H837" s="56"/>
      <c r="I837" s="56"/>
      <c r="J837" s="56"/>
      <c r="K837" s="56"/>
      <c r="L837" s="56"/>
      <c r="M837" s="56"/>
      <c r="N837" s="56"/>
      <c r="O837" s="56"/>
      <c r="P837" s="56"/>
      <c r="Q837" s="56"/>
      <c r="R837" s="56"/>
      <c r="S837" s="56"/>
      <c r="T837" s="56"/>
      <c r="U837" s="56"/>
      <c r="V837" s="56"/>
      <c r="W837" s="56"/>
      <c r="X837" s="56"/>
      <c r="Y837" s="56"/>
      <c r="Z837" s="56"/>
    </row>
    <row r="838" spans="1:26" ht="15.75" customHeight="1">
      <c r="A838" s="56"/>
      <c r="B838" s="56"/>
      <c r="C838" s="56"/>
      <c r="D838" s="56"/>
      <c r="E838" s="56"/>
      <c r="F838" s="56"/>
      <c r="G838" s="56"/>
      <c r="H838" s="56"/>
      <c r="I838" s="56"/>
      <c r="J838" s="56"/>
      <c r="K838" s="56"/>
      <c r="L838" s="56"/>
      <c r="M838" s="56"/>
      <c r="N838" s="56"/>
      <c r="O838" s="56"/>
      <c r="P838" s="56"/>
      <c r="Q838" s="56"/>
      <c r="R838" s="56"/>
      <c r="S838" s="56"/>
      <c r="T838" s="56"/>
      <c r="U838" s="56"/>
      <c r="V838" s="56"/>
      <c r="W838" s="56"/>
      <c r="X838" s="56"/>
      <c r="Y838" s="56"/>
      <c r="Z838" s="56"/>
    </row>
    <row r="839" spans="1:26" ht="15.75" customHeight="1">
      <c r="A839" s="56"/>
      <c r="B839" s="56"/>
      <c r="C839" s="56"/>
      <c r="D839" s="56"/>
      <c r="E839" s="56"/>
      <c r="F839" s="56"/>
      <c r="G839" s="56"/>
      <c r="H839" s="56"/>
      <c r="I839" s="56"/>
      <c r="J839" s="56"/>
      <c r="K839" s="56"/>
      <c r="L839" s="56"/>
      <c r="M839" s="56"/>
      <c r="N839" s="56"/>
      <c r="O839" s="56"/>
      <c r="P839" s="56"/>
      <c r="Q839" s="56"/>
      <c r="R839" s="56"/>
      <c r="S839" s="56"/>
      <c r="T839" s="56"/>
      <c r="U839" s="56"/>
      <c r="V839" s="56"/>
      <c r="W839" s="56"/>
      <c r="X839" s="56"/>
      <c r="Y839" s="56"/>
      <c r="Z839" s="56"/>
    </row>
    <row r="840" spans="1:26" ht="15.75" customHeight="1">
      <c r="A840" s="56"/>
      <c r="B840" s="56"/>
      <c r="C840" s="56"/>
      <c r="D840" s="56"/>
      <c r="E840" s="56"/>
      <c r="F840" s="56"/>
      <c r="G840" s="56"/>
      <c r="H840" s="56"/>
      <c r="I840" s="56"/>
      <c r="J840" s="56"/>
      <c r="K840" s="56"/>
      <c r="L840" s="56"/>
      <c r="M840" s="56"/>
      <c r="N840" s="56"/>
      <c r="O840" s="56"/>
      <c r="P840" s="56"/>
      <c r="Q840" s="56"/>
      <c r="R840" s="56"/>
      <c r="S840" s="56"/>
      <c r="T840" s="56"/>
      <c r="U840" s="56"/>
      <c r="V840" s="56"/>
      <c r="W840" s="56"/>
      <c r="X840" s="56"/>
      <c r="Y840" s="56"/>
      <c r="Z840" s="56"/>
    </row>
    <row r="841" spans="1:26" ht="15.75" customHeight="1">
      <c r="A841" s="56"/>
      <c r="B841" s="56"/>
      <c r="C841" s="56"/>
      <c r="D841" s="56"/>
      <c r="E841" s="56"/>
      <c r="F841" s="56"/>
      <c r="G841" s="56"/>
      <c r="H841" s="56"/>
      <c r="I841" s="56"/>
      <c r="J841" s="56"/>
      <c r="K841" s="56"/>
      <c r="L841" s="56"/>
      <c r="M841" s="56"/>
      <c r="N841" s="56"/>
      <c r="O841" s="56"/>
      <c r="P841" s="56"/>
      <c r="Q841" s="56"/>
      <c r="R841" s="56"/>
      <c r="S841" s="56"/>
      <c r="T841" s="56"/>
      <c r="U841" s="56"/>
      <c r="V841" s="56"/>
      <c r="W841" s="56"/>
      <c r="X841" s="56"/>
      <c r="Y841" s="56"/>
      <c r="Z841" s="56"/>
    </row>
    <row r="842" spans="1:26" ht="15.75" customHeight="1">
      <c r="A842" s="56"/>
      <c r="B842" s="56"/>
      <c r="C842" s="56"/>
      <c r="D842" s="56"/>
      <c r="E842" s="56"/>
      <c r="F842" s="56"/>
      <c r="G842" s="56"/>
      <c r="H842" s="56"/>
      <c r="I842" s="56"/>
      <c r="J842" s="56"/>
      <c r="K842" s="56"/>
      <c r="L842" s="56"/>
      <c r="M842" s="56"/>
      <c r="N842" s="56"/>
      <c r="O842" s="56"/>
      <c r="P842" s="56"/>
      <c r="Q842" s="56"/>
      <c r="R842" s="56"/>
      <c r="S842" s="56"/>
      <c r="T842" s="56"/>
      <c r="U842" s="56"/>
      <c r="V842" s="56"/>
      <c r="W842" s="56"/>
      <c r="X842" s="56"/>
      <c r="Y842" s="56"/>
      <c r="Z842" s="56"/>
    </row>
    <row r="843" spans="1:26" ht="15.75" customHeight="1">
      <c r="A843" s="56"/>
      <c r="B843" s="56"/>
      <c r="C843" s="56"/>
      <c r="D843" s="56"/>
      <c r="E843" s="56"/>
      <c r="F843" s="56"/>
      <c r="G843" s="56"/>
      <c r="H843" s="56"/>
      <c r="I843" s="56"/>
      <c r="J843" s="56"/>
      <c r="K843" s="56"/>
      <c r="L843" s="56"/>
      <c r="M843" s="56"/>
      <c r="N843" s="56"/>
      <c r="O843" s="56"/>
      <c r="P843" s="56"/>
      <c r="Q843" s="56"/>
      <c r="R843" s="56"/>
      <c r="S843" s="56"/>
      <c r="T843" s="56"/>
      <c r="U843" s="56"/>
      <c r="V843" s="56"/>
      <c r="W843" s="56"/>
      <c r="X843" s="56"/>
      <c r="Y843" s="56"/>
      <c r="Z843" s="56"/>
    </row>
    <row r="844" spans="1:26" ht="15.75" customHeight="1">
      <c r="A844" s="56"/>
      <c r="B844" s="56"/>
      <c r="C844" s="56"/>
      <c r="D844" s="56"/>
      <c r="E844" s="56"/>
      <c r="F844" s="56"/>
      <c r="G844" s="56"/>
      <c r="H844" s="56"/>
      <c r="I844" s="56"/>
      <c r="J844" s="56"/>
      <c r="K844" s="56"/>
      <c r="L844" s="56"/>
      <c r="M844" s="56"/>
      <c r="N844" s="56"/>
      <c r="O844" s="56"/>
      <c r="P844" s="56"/>
      <c r="Q844" s="56"/>
      <c r="R844" s="56"/>
      <c r="S844" s="56"/>
      <c r="T844" s="56"/>
      <c r="U844" s="56"/>
      <c r="V844" s="56"/>
      <c r="W844" s="56"/>
      <c r="X844" s="56"/>
      <c r="Y844" s="56"/>
      <c r="Z844" s="56"/>
    </row>
    <row r="845" spans="1:26" ht="15.75" customHeight="1">
      <c r="A845" s="56"/>
      <c r="B845" s="56"/>
      <c r="C845" s="56"/>
      <c r="D845" s="56"/>
      <c r="E845" s="56"/>
      <c r="F845" s="56"/>
      <c r="G845" s="56"/>
      <c r="H845" s="56"/>
      <c r="I845" s="56"/>
      <c r="J845" s="56"/>
      <c r="K845" s="56"/>
      <c r="L845" s="56"/>
      <c r="M845" s="56"/>
      <c r="N845" s="56"/>
      <c r="O845" s="56"/>
      <c r="P845" s="56"/>
      <c r="Q845" s="56"/>
      <c r="R845" s="56"/>
      <c r="S845" s="56"/>
      <c r="T845" s="56"/>
      <c r="U845" s="56"/>
      <c r="V845" s="56"/>
      <c r="W845" s="56"/>
      <c r="X845" s="56"/>
      <c r="Y845" s="56"/>
      <c r="Z845" s="56"/>
    </row>
    <row r="846" spans="1:26" ht="15.75" customHeight="1">
      <c r="A846" s="56"/>
      <c r="B846" s="56"/>
      <c r="C846" s="56"/>
      <c r="D846" s="56"/>
      <c r="E846" s="56"/>
      <c r="F846" s="56"/>
      <c r="G846" s="56"/>
      <c r="H846" s="56"/>
      <c r="I846" s="56"/>
      <c r="J846" s="56"/>
      <c r="K846" s="56"/>
      <c r="L846" s="56"/>
      <c r="M846" s="56"/>
      <c r="N846" s="56"/>
      <c r="O846" s="56"/>
      <c r="P846" s="56"/>
      <c r="Q846" s="56"/>
      <c r="R846" s="56"/>
      <c r="S846" s="56"/>
      <c r="T846" s="56"/>
      <c r="U846" s="56"/>
      <c r="V846" s="56"/>
      <c r="W846" s="56"/>
      <c r="X846" s="56"/>
      <c r="Y846" s="56"/>
      <c r="Z846" s="56"/>
    </row>
    <row r="847" spans="1:26" ht="15.75" customHeight="1">
      <c r="A847" s="56"/>
      <c r="B847" s="56"/>
      <c r="C847" s="56"/>
      <c r="D847" s="56"/>
      <c r="E847" s="56"/>
      <c r="F847" s="56"/>
      <c r="G847" s="56"/>
      <c r="H847" s="56"/>
      <c r="I847" s="56"/>
      <c r="J847" s="56"/>
      <c r="K847" s="56"/>
      <c r="L847" s="56"/>
      <c r="M847" s="56"/>
      <c r="N847" s="56"/>
      <c r="O847" s="56"/>
      <c r="P847" s="56"/>
      <c r="Q847" s="56"/>
      <c r="R847" s="56"/>
      <c r="S847" s="56"/>
      <c r="T847" s="56"/>
      <c r="U847" s="56"/>
      <c r="V847" s="56"/>
      <c r="W847" s="56"/>
      <c r="X847" s="56"/>
      <c r="Y847" s="56"/>
      <c r="Z847" s="56"/>
    </row>
    <row r="848" spans="1:26" ht="15.75" customHeight="1">
      <c r="A848" s="56"/>
      <c r="B848" s="56"/>
      <c r="C848" s="56"/>
      <c r="D848" s="56"/>
      <c r="E848" s="56"/>
      <c r="F848" s="56"/>
      <c r="G848" s="56"/>
      <c r="H848" s="56"/>
      <c r="I848" s="56"/>
      <c r="J848" s="56"/>
      <c r="K848" s="56"/>
      <c r="L848" s="56"/>
      <c r="M848" s="56"/>
      <c r="N848" s="56"/>
      <c r="O848" s="56"/>
      <c r="P848" s="56"/>
      <c r="Q848" s="56"/>
      <c r="R848" s="56"/>
      <c r="S848" s="56"/>
      <c r="T848" s="56"/>
      <c r="U848" s="56"/>
      <c r="V848" s="56"/>
      <c r="W848" s="56"/>
      <c r="X848" s="56"/>
      <c r="Y848" s="56"/>
      <c r="Z848" s="56"/>
    </row>
    <row r="849" spans="1:26" ht="15.75" customHeight="1">
      <c r="A849" s="56"/>
      <c r="B849" s="56"/>
      <c r="C849" s="56"/>
      <c r="D849" s="56"/>
      <c r="E849" s="56"/>
      <c r="F849" s="56"/>
      <c r="G849" s="56"/>
      <c r="H849" s="56"/>
      <c r="I849" s="56"/>
      <c r="J849" s="56"/>
      <c r="K849" s="56"/>
      <c r="L849" s="56"/>
      <c r="M849" s="56"/>
      <c r="N849" s="56"/>
      <c r="O849" s="56"/>
      <c r="P849" s="56"/>
      <c r="Q849" s="56"/>
      <c r="R849" s="56"/>
      <c r="S849" s="56"/>
      <c r="T849" s="56"/>
      <c r="U849" s="56"/>
      <c r="V849" s="56"/>
      <c r="W849" s="56"/>
      <c r="X849" s="56"/>
      <c r="Y849" s="56"/>
      <c r="Z849" s="56"/>
    </row>
    <row r="850" spans="1:26" ht="15.75" customHeight="1">
      <c r="A850" s="56"/>
      <c r="B850" s="56"/>
      <c r="C850" s="56"/>
      <c r="D850" s="56"/>
      <c r="E850" s="56"/>
      <c r="F850" s="56"/>
      <c r="G850" s="56"/>
      <c r="H850" s="56"/>
      <c r="I850" s="56"/>
      <c r="J850" s="56"/>
      <c r="K850" s="56"/>
      <c r="L850" s="56"/>
      <c r="M850" s="56"/>
      <c r="N850" s="56"/>
      <c r="O850" s="56"/>
      <c r="P850" s="56"/>
      <c r="Q850" s="56"/>
      <c r="R850" s="56"/>
      <c r="S850" s="56"/>
      <c r="T850" s="56"/>
      <c r="U850" s="56"/>
      <c r="V850" s="56"/>
      <c r="W850" s="56"/>
      <c r="X850" s="56"/>
      <c r="Y850" s="56"/>
      <c r="Z850" s="56"/>
    </row>
    <row r="851" spans="1:26" ht="15.75" customHeight="1">
      <c r="A851" s="56"/>
      <c r="B851" s="56"/>
      <c r="C851" s="56"/>
      <c r="D851" s="56"/>
      <c r="E851" s="56"/>
      <c r="F851" s="56"/>
      <c r="G851" s="56"/>
      <c r="H851" s="56"/>
      <c r="I851" s="56"/>
      <c r="J851" s="56"/>
      <c r="K851" s="56"/>
      <c r="L851" s="56"/>
      <c r="M851" s="56"/>
      <c r="N851" s="56"/>
      <c r="O851" s="56"/>
      <c r="P851" s="56"/>
      <c r="Q851" s="56"/>
      <c r="R851" s="56"/>
      <c r="S851" s="56"/>
      <c r="T851" s="56"/>
      <c r="U851" s="56"/>
      <c r="V851" s="56"/>
      <c r="W851" s="56"/>
      <c r="X851" s="56"/>
      <c r="Y851" s="56"/>
      <c r="Z851" s="56"/>
    </row>
    <row r="852" spans="1:26" ht="15.75" customHeight="1">
      <c r="A852" s="56"/>
      <c r="B852" s="56"/>
      <c r="C852" s="56"/>
      <c r="D852" s="56"/>
      <c r="E852" s="56"/>
      <c r="F852" s="56"/>
      <c r="G852" s="56"/>
      <c r="H852" s="56"/>
      <c r="I852" s="56"/>
      <c r="J852" s="56"/>
      <c r="K852" s="56"/>
      <c r="L852" s="56"/>
      <c r="M852" s="56"/>
      <c r="N852" s="56"/>
      <c r="O852" s="56"/>
      <c r="P852" s="56"/>
      <c r="Q852" s="56"/>
      <c r="R852" s="56"/>
      <c r="S852" s="56"/>
      <c r="T852" s="56"/>
      <c r="U852" s="56"/>
      <c r="V852" s="56"/>
      <c r="W852" s="56"/>
      <c r="X852" s="56"/>
      <c r="Y852" s="56"/>
      <c r="Z852" s="56"/>
    </row>
    <row r="853" spans="1:26" ht="15.75" customHeight="1">
      <c r="A853" s="56"/>
      <c r="B853" s="56"/>
      <c r="C853" s="56"/>
      <c r="D853" s="56"/>
      <c r="E853" s="56"/>
      <c r="F853" s="56"/>
      <c r="G853" s="56"/>
      <c r="H853" s="56"/>
      <c r="I853" s="56"/>
      <c r="J853" s="56"/>
      <c r="K853" s="56"/>
      <c r="L853" s="56"/>
      <c r="M853" s="56"/>
      <c r="N853" s="56"/>
      <c r="O853" s="56"/>
      <c r="P853" s="56"/>
      <c r="Q853" s="56"/>
      <c r="R853" s="56"/>
      <c r="S853" s="56"/>
      <c r="T853" s="56"/>
      <c r="U853" s="56"/>
      <c r="V853" s="56"/>
      <c r="W853" s="56"/>
      <c r="X853" s="56"/>
      <c r="Y853" s="56"/>
      <c r="Z853" s="56"/>
    </row>
    <row r="854" spans="1:26" ht="15.75" customHeight="1">
      <c r="A854" s="56"/>
      <c r="B854" s="56"/>
      <c r="C854" s="56"/>
      <c r="D854" s="56"/>
      <c r="E854" s="56"/>
      <c r="F854" s="56"/>
      <c r="G854" s="56"/>
      <c r="H854" s="56"/>
      <c r="I854" s="56"/>
      <c r="J854" s="56"/>
      <c r="K854" s="56"/>
      <c r="L854" s="56"/>
      <c r="M854" s="56"/>
      <c r="N854" s="56"/>
      <c r="O854" s="56"/>
      <c r="P854" s="56"/>
      <c r="Q854" s="56"/>
      <c r="R854" s="56"/>
      <c r="S854" s="56"/>
      <c r="T854" s="56"/>
      <c r="U854" s="56"/>
      <c r="V854" s="56"/>
      <c r="W854" s="56"/>
      <c r="X854" s="56"/>
      <c r="Y854" s="56"/>
      <c r="Z854" s="56"/>
    </row>
    <row r="855" spans="1:26" ht="15.75" customHeight="1">
      <c r="A855" s="56"/>
      <c r="B855" s="56"/>
      <c r="C855" s="56"/>
      <c r="D855" s="56"/>
      <c r="E855" s="56"/>
      <c r="F855" s="56"/>
      <c r="G855" s="56"/>
      <c r="H855" s="56"/>
      <c r="I855" s="56"/>
      <c r="J855" s="56"/>
      <c r="K855" s="56"/>
      <c r="L855" s="56"/>
      <c r="M855" s="56"/>
      <c r="N855" s="56"/>
      <c r="O855" s="56"/>
      <c r="P855" s="56"/>
      <c r="Q855" s="56"/>
      <c r="R855" s="56"/>
      <c r="S855" s="56"/>
      <c r="T855" s="56"/>
      <c r="U855" s="56"/>
      <c r="V855" s="56"/>
      <c r="W855" s="56"/>
      <c r="X855" s="56"/>
      <c r="Y855" s="56"/>
      <c r="Z855" s="56"/>
    </row>
    <row r="856" spans="1:26" ht="15.75" customHeight="1">
      <c r="A856" s="56"/>
      <c r="B856" s="56"/>
      <c r="C856" s="56"/>
      <c r="D856" s="56"/>
      <c r="E856" s="56"/>
      <c r="F856" s="56"/>
      <c r="G856" s="56"/>
      <c r="H856" s="56"/>
      <c r="I856" s="56"/>
      <c r="J856" s="56"/>
      <c r="K856" s="56"/>
      <c r="L856" s="56"/>
      <c r="M856" s="56"/>
      <c r="N856" s="56"/>
      <c r="O856" s="56"/>
      <c r="P856" s="56"/>
      <c r="Q856" s="56"/>
      <c r="R856" s="56"/>
      <c r="S856" s="56"/>
      <c r="T856" s="56"/>
      <c r="U856" s="56"/>
      <c r="V856" s="56"/>
      <c r="W856" s="56"/>
      <c r="X856" s="56"/>
      <c r="Y856" s="56"/>
      <c r="Z856" s="56"/>
    </row>
    <row r="857" spans="1:26" ht="15.75" customHeight="1">
      <c r="A857" s="56"/>
      <c r="B857" s="56"/>
      <c r="C857" s="56"/>
      <c r="D857" s="56"/>
      <c r="E857" s="56"/>
      <c r="F857" s="56"/>
      <c r="G857" s="56"/>
      <c r="H857" s="56"/>
      <c r="I857" s="56"/>
      <c r="J857" s="56"/>
      <c r="K857" s="56"/>
      <c r="L857" s="56"/>
      <c r="M857" s="56"/>
      <c r="N857" s="56"/>
      <c r="O857" s="56"/>
      <c r="P857" s="56"/>
      <c r="Q857" s="56"/>
      <c r="R857" s="56"/>
      <c r="S857" s="56"/>
      <c r="T857" s="56"/>
      <c r="U857" s="56"/>
      <c r="V857" s="56"/>
      <c r="W857" s="56"/>
      <c r="X857" s="56"/>
      <c r="Y857" s="56"/>
      <c r="Z857" s="56"/>
    </row>
    <row r="858" spans="1:26" ht="15.75" customHeight="1">
      <c r="A858" s="56"/>
      <c r="B858" s="56"/>
      <c r="C858" s="56"/>
      <c r="D858" s="56"/>
      <c r="E858" s="56"/>
      <c r="F858" s="56"/>
      <c r="G858" s="56"/>
      <c r="H858" s="56"/>
      <c r="I858" s="56"/>
      <c r="J858" s="56"/>
      <c r="K858" s="56"/>
      <c r="L858" s="56"/>
      <c r="M858" s="56"/>
      <c r="N858" s="56"/>
      <c r="O858" s="56"/>
      <c r="P858" s="56"/>
      <c r="Q858" s="56"/>
      <c r="R858" s="56"/>
      <c r="S858" s="56"/>
      <c r="T858" s="56"/>
      <c r="U858" s="56"/>
      <c r="V858" s="56"/>
      <c r="W858" s="56"/>
      <c r="X858" s="56"/>
      <c r="Y858" s="56"/>
      <c r="Z858" s="56"/>
    </row>
    <row r="859" spans="1:26" ht="15.75" customHeight="1">
      <c r="A859" s="56"/>
      <c r="B859" s="56"/>
      <c r="C859" s="56"/>
      <c r="D859" s="56"/>
      <c r="E859" s="56"/>
      <c r="F859" s="56"/>
      <c r="G859" s="56"/>
      <c r="H859" s="56"/>
      <c r="I859" s="56"/>
      <c r="J859" s="56"/>
      <c r="K859" s="56"/>
      <c r="L859" s="56"/>
      <c r="M859" s="56"/>
      <c r="N859" s="56"/>
      <c r="O859" s="56"/>
      <c r="P859" s="56"/>
      <c r="Q859" s="56"/>
      <c r="R859" s="56"/>
      <c r="S859" s="56"/>
      <c r="T859" s="56"/>
      <c r="U859" s="56"/>
      <c r="V859" s="56"/>
      <c r="W859" s="56"/>
      <c r="X859" s="56"/>
      <c r="Y859" s="56"/>
      <c r="Z859" s="56"/>
    </row>
    <row r="860" spans="1:26" ht="15.75" customHeight="1">
      <c r="A860" s="56"/>
      <c r="B860" s="56"/>
      <c r="C860" s="56"/>
      <c r="D860" s="56"/>
      <c r="E860" s="56"/>
      <c r="F860" s="56"/>
      <c r="G860" s="56"/>
      <c r="H860" s="56"/>
      <c r="I860" s="56"/>
      <c r="J860" s="56"/>
      <c r="K860" s="56"/>
      <c r="L860" s="56"/>
      <c r="M860" s="56"/>
      <c r="N860" s="56"/>
      <c r="O860" s="56"/>
      <c r="P860" s="56"/>
      <c r="Q860" s="56"/>
      <c r="R860" s="56"/>
      <c r="S860" s="56"/>
      <c r="T860" s="56"/>
      <c r="U860" s="56"/>
      <c r="V860" s="56"/>
      <c r="W860" s="56"/>
      <c r="X860" s="56"/>
      <c r="Y860" s="56"/>
      <c r="Z860" s="56"/>
    </row>
    <row r="861" spans="1:26" ht="15.75" customHeight="1">
      <c r="A861" s="56"/>
      <c r="B861" s="56"/>
      <c r="C861" s="56"/>
      <c r="D861" s="56"/>
      <c r="E861" s="56"/>
      <c r="F861" s="56"/>
      <c r="G861" s="56"/>
      <c r="H861" s="56"/>
      <c r="I861" s="56"/>
      <c r="J861" s="56"/>
      <c r="K861" s="56"/>
      <c r="L861" s="56"/>
      <c r="M861" s="56"/>
      <c r="N861" s="56"/>
      <c r="O861" s="56"/>
      <c r="P861" s="56"/>
      <c r="Q861" s="56"/>
      <c r="R861" s="56"/>
      <c r="S861" s="56"/>
      <c r="T861" s="56"/>
      <c r="U861" s="56"/>
      <c r="V861" s="56"/>
      <c r="W861" s="56"/>
      <c r="X861" s="56"/>
      <c r="Y861" s="56"/>
      <c r="Z861" s="56"/>
    </row>
    <row r="862" spans="1:26" ht="15.75" customHeight="1">
      <c r="A862" s="56"/>
      <c r="B862" s="56"/>
      <c r="C862" s="56"/>
      <c r="D862" s="56"/>
      <c r="E862" s="56"/>
      <c r="F862" s="56"/>
      <c r="G862" s="56"/>
      <c r="H862" s="56"/>
      <c r="I862" s="56"/>
      <c r="J862" s="56"/>
      <c r="K862" s="56"/>
      <c r="L862" s="56"/>
      <c r="M862" s="56"/>
      <c r="N862" s="56"/>
      <c r="O862" s="56"/>
      <c r="P862" s="56"/>
      <c r="Q862" s="56"/>
      <c r="R862" s="56"/>
      <c r="S862" s="56"/>
      <c r="T862" s="56"/>
      <c r="U862" s="56"/>
      <c r="V862" s="56"/>
      <c r="W862" s="56"/>
      <c r="X862" s="56"/>
      <c r="Y862" s="56"/>
      <c r="Z862" s="56"/>
    </row>
    <row r="863" spans="1:26" ht="15.75" customHeight="1">
      <c r="A863" s="56"/>
      <c r="B863" s="56"/>
      <c r="C863" s="56"/>
      <c r="D863" s="56"/>
      <c r="E863" s="56"/>
      <c r="F863" s="56"/>
      <c r="G863" s="56"/>
      <c r="H863" s="56"/>
      <c r="I863" s="56"/>
      <c r="J863" s="56"/>
      <c r="K863" s="56"/>
      <c r="L863" s="56"/>
      <c r="M863" s="56"/>
      <c r="N863" s="56"/>
      <c r="O863" s="56"/>
      <c r="P863" s="56"/>
      <c r="Q863" s="56"/>
      <c r="R863" s="56"/>
      <c r="S863" s="56"/>
      <c r="T863" s="56"/>
      <c r="U863" s="56"/>
      <c r="V863" s="56"/>
      <c r="W863" s="56"/>
      <c r="X863" s="56"/>
      <c r="Y863" s="56"/>
      <c r="Z863" s="56"/>
    </row>
    <row r="864" spans="1:26" ht="15.75" customHeight="1">
      <c r="A864" s="56"/>
      <c r="B864" s="56"/>
      <c r="C864" s="56"/>
      <c r="D864" s="56"/>
      <c r="E864" s="56"/>
      <c r="F864" s="56"/>
      <c r="G864" s="56"/>
      <c r="H864" s="56"/>
      <c r="I864" s="56"/>
      <c r="J864" s="56"/>
      <c r="K864" s="56"/>
      <c r="L864" s="56"/>
      <c r="M864" s="56"/>
      <c r="N864" s="56"/>
      <c r="O864" s="56"/>
      <c r="P864" s="56"/>
      <c r="Q864" s="56"/>
      <c r="R864" s="56"/>
      <c r="S864" s="56"/>
      <c r="T864" s="56"/>
      <c r="U864" s="56"/>
      <c r="V864" s="56"/>
      <c r="W864" s="56"/>
      <c r="X864" s="56"/>
      <c r="Y864" s="56"/>
      <c r="Z864" s="56"/>
    </row>
    <row r="865" spans="1:26" ht="15.75" customHeight="1">
      <c r="A865" s="56"/>
      <c r="B865" s="56"/>
      <c r="C865" s="56"/>
      <c r="D865" s="56"/>
      <c r="E865" s="56"/>
      <c r="F865" s="56"/>
      <c r="G865" s="56"/>
      <c r="H865" s="56"/>
      <c r="I865" s="56"/>
      <c r="J865" s="56"/>
      <c r="K865" s="56"/>
      <c r="L865" s="56"/>
      <c r="M865" s="56"/>
      <c r="N865" s="56"/>
      <c r="O865" s="56"/>
      <c r="P865" s="56"/>
      <c r="Q865" s="56"/>
      <c r="R865" s="56"/>
      <c r="S865" s="56"/>
      <c r="T865" s="56"/>
      <c r="U865" s="56"/>
      <c r="V865" s="56"/>
      <c r="W865" s="56"/>
      <c r="X865" s="56"/>
      <c r="Y865" s="56"/>
      <c r="Z865" s="56"/>
    </row>
    <row r="866" spans="1:26" ht="15.75" customHeight="1">
      <c r="A866" s="56"/>
      <c r="B866" s="56"/>
      <c r="C866" s="56"/>
      <c r="D866" s="56"/>
      <c r="E866" s="56"/>
      <c r="F866" s="56"/>
      <c r="G866" s="56"/>
      <c r="H866" s="56"/>
      <c r="I866" s="56"/>
      <c r="J866" s="56"/>
      <c r="K866" s="56"/>
      <c r="L866" s="56"/>
      <c r="M866" s="56"/>
      <c r="N866" s="56"/>
      <c r="O866" s="56"/>
      <c r="P866" s="56"/>
      <c r="Q866" s="56"/>
      <c r="R866" s="56"/>
      <c r="S866" s="56"/>
      <c r="T866" s="56"/>
      <c r="U866" s="56"/>
      <c r="V866" s="56"/>
      <c r="W866" s="56"/>
      <c r="X866" s="56"/>
      <c r="Y866" s="56"/>
      <c r="Z866" s="56"/>
    </row>
    <row r="867" spans="1:26" ht="15.75" customHeight="1">
      <c r="A867" s="56"/>
      <c r="B867" s="56"/>
      <c r="C867" s="56"/>
      <c r="D867" s="56"/>
      <c r="E867" s="56"/>
      <c r="F867" s="56"/>
      <c r="G867" s="56"/>
      <c r="H867" s="56"/>
      <c r="I867" s="56"/>
      <c r="J867" s="56"/>
      <c r="K867" s="56"/>
      <c r="L867" s="56"/>
      <c r="M867" s="56"/>
      <c r="N867" s="56"/>
      <c r="O867" s="56"/>
      <c r="P867" s="56"/>
      <c r="Q867" s="56"/>
      <c r="R867" s="56"/>
      <c r="S867" s="56"/>
      <c r="T867" s="56"/>
      <c r="U867" s="56"/>
      <c r="V867" s="56"/>
      <c r="W867" s="56"/>
      <c r="X867" s="56"/>
      <c r="Y867" s="56"/>
      <c r="Z867" s="56"/>
    </row>
    <row r="868" spans="1:26" ht="15.75" customHeight="1">
      <c r="A868" s="56"/>
      <c r="B868" s="56"/>
      <c r="C868" s="56"/>
      <c r="D868" s="56"/>
      <c r="E868" s="56"/>
      <c r="F868" s="56"/>
      <c r="G868" s="56"/>
      <c r="H868" s="56"/>
      <c r="I868" s="56"/>
      <c r="J868" s="56"/>
      <c r="K868" s="56"/>
      <c r="L868" s="56"/>
      <c r="M868" s="56"/>
      <c r="N868" s="56"/>
      <c r="O868" s="56"/>
      <c r="P868" s="56"/>
      <c r="Q868" s="56"/>
      <c r="R868" s="56"/>
      <c r="S868" s="56"/>
      <c r="T868" s="56"/>
      <c r="U868" s="56"/>
      <c r="V868" s="56"/>
      <c r="W868" s="56"/>
      <c r="X868" s="56"/>
      <c r="Y868" s="56"/>
      <c r="Z868" s="56"/>
    </row>
    <row r="869" spans="1:26" ht="15.75" customHeight="1">
      <c r="A869" s="56"/>
      <c r="B869" s="56"/>
      <c r="C869" s="56"/>
      <c r="D869" s="56"/>
      <c r="E869" s="56"/>
      <c r="F869" s="56"/>
      <c r="G869" s="56"/>
      <c r="H869" s="56"/>
      <c r="I869" s="56"/>
      <c r="J869" s="56"/>
      <c r="K869" s="56"/>
      <c r="L869" s="56"/>
      <c r="M869" s="56"/>
      <c r="N869" s="56"/>
      <c r="O869" s="56"/>
      <c r="P869" s="56"/>
      <c r="Q869" s="56"/>
      <c r="R869" s="56"/>
      <c r="S869" s="56"/>
      <c r="T869" s="56"/>
      <c r="U869" s="56"/>
      <c r="V869" s="56"/>
      <c r="W869" s="56"/>
      <c r="X869" s="56"/>
      <c r="Y869" s="56"/>
      <c r="Z869" s="56"/>
    </row>
    <row r="870" spans="1:26" ht="15.75" customHeight="1">
      <c r="A870" s="56"/>
      <c r="B870" s="56"/>
      <c r="C870" s="56"/>
      <c r="D870" s="56"/>
      <c r="E870" s="56"/>
      <c r="F870" s="56"/>
      <c r="G870" s="56"/>
      <c r="H870" s="56"/>
      <c r="I870" s="56"/>
      <c r="J870" s="56"/>
      <c r="K870" s="56"/>
      <c r="L870" s="56"/>
      <c r="M870" s="56"/>
      <c r="N870" s="56"/>
      <c r="O870" s="56"/>
      <c r="P870" s="56"/>
      <c r="Q870" s="56"/>
      <c r="R870" s="56"/>
      <c r="S870" s="56"/>
      <c r="T870" s="56"/>
      <c r="U870" s="56"/>
      <c r="V870" s="56"/>
      <c r="W870" s="56"/>
      <c r="X870" s="56"/>
      <c r="Y870" s="56"/>
      <c r="Z870" s="56"/>
    </row>
    <row r="871" spans="1:26" ht="15.75" customHeight="1">
      <c r="A871" s="56"/>
      <c r="B871" s="56"/>
      <c r="C871" s="56"/>
      <c r="D871" s="56"/>
      <c r="E871" s="56"/>
      <c r="F871" s="56"/>
      <c r="G871" s="56"/>
      <c r="H871" s="56"/>
      <c r="I871" s="56"/>
      <c r="J871" s="56"/>
      <c r="K871" s="56"/>
      <c r="L871" s="56"/>
      <c r="M871" s="56"/>
      <c r="N871" s="56"/>
      <c r="O871" s="56"/>
      <c r="P871" s="56"/>
      <c r="Q871" s="56"/>
      <c r="R871" s="56"/>
      <c r="S871" s="56"/>
      <c r="T871" s="56"/>
      <c r="U871" s="56"/>
      <c r="V871" s="56"/>
      <c r="W871" s="56"/>
      <c r="X871" s="56"/>
      <c r="Y871" s="56"/>
      <c r="Z871" s="56"/>
    </row>
    <row r="872" spans="1:26" ht="15.75" customHeight="1">
      <c r="A872" s="56"/>
      <c r="B872" s="56"/>
      <c r="C872" s="56"/>
      <c r="D872" s="56"/>
      <c r="E872" s="56"/>
      <c r="F872" s="56"/>
      <c r="G872" s="56"/>
      <c r="H872" s="56"/>
      <c r="I872" s="56"/>
      <c r="J872" s="56"/>
      <c r="K872" s="56"/>
      <c r="L872" s="56"/>
      <c r="M872" s="56"/>
      <c r="N872" s="56"/>
      <c r="O872" s="56"/>
      <c r="P872" s="56"/>
      <c r="Q872" s="56"/>
      <c r="R872" s="56"/>
      <c r="S872" s="56"/>
      <c r="T872" s="56"/>
      <c r="U872" s="56"/>
      <c r="V872" s="56"/>
      <c r="W872" s="56"/>
      <c r="X872" s="56"/>
      <c r="Y872" s="56"/>
      <c r="Z872" s="56"/>
    </row>
    <row r="873" spans="1:26" ht="15.75" customHeight="1">
      <c r="A873" s="56"/>
      <c r="B873" s="56"/>
      <c r="C873" s="56"/>
      <c r="D873" s="56"/>
      <c r="E873" s="56"/>
      <c r="F873" s="56"/>
      <c r="G873" s="56"/>
      <c r="H873" s="56"/>
      <c r="I873" s="56"/>
      <c r="J873" s="56"/>
      <c r="K873" s="56"/>
      <c r="L873" s="56"/>
      <c r="M873" s="56"/>
      <c r="N873" s="56"/>
      <c r="O873" s="56"/>
      <c r="P873" s="56"/>
      <c r="Q873" s="56"/>
      <c r="R873" s="56"/>
      <c r="S873" s="56"/>
      <c r="T873" s="56"/>
      <c r="U873" s="56"/>
      <c r="V873" s="56"/>
      <c r="W873" s="56"/>
      <c r="X873" s="56"/>
      <c r="Y873" s="56"/>
      <c r="Z873" s="56"/>
    </row>
    <row r="874" spans="1:26" ht="15.75" customHeight="1">
      <c r="A874" s="56"/>
      <c r="B874" s="56"/>
      <c r="C874" s="56"/>
      <c r="D874" s="56"/>
      <c r="E874" s="56"/>
      <c r="F874" s="56"/>
      <c r="G874" s="56"/>
      <c r="H874" s="56"/>
      <c r="I874" s="56"/>
      <c r="J874" s="56"/>
      <c r="K874" s="56"/>
      <c r="L874" s="56"/>
      <c r="M874" s="56"/>
      <c r="N874" s="56"/>
      <c r="O874" s="56"/>
      <c r="P874" s="56"/>
      <c r="Q874" s="56"/>
      <c r="R874" s="56"/>
      <c r="S874" s="56"/>
      <c r="T874" s="56"/>
      <c r="U874" s="56"/>
      <c r="V874" s="56"/>
      <c r="W874" s="56"/>
      <c r="X874" s="56"/>
      <c r="Y874" s="56"/>
      <c r="Z874" s="56"/>
    </row>
    <row r="875" spans="1:26" ht="15.75" customHeight="1">
      <c r="A875" s="56"/>
      <c r="B875" s="56"/>
      <c r="C875" s="56"/>
      <c r="D875" s="56"/>
      <c r="E875" s="56"/>
      <c r="F875" s="56"/>
      <c r="G875" s="56"/>
      <c r="H875" s="56"/>
      <c r="I875" s="56"/>
      <c r="J875" s="56"/>
      <c r="K875" s="56"/>
      <c r="L875" s="56"/>
      <c r="M875" s="56"/>
      <c r="N875" s="56"/>
      <c r="O875" s="56"/>
      <c r="P875" s="56"/>
      <c r="Q875" s="56"/>
      <c r="R875" s="56"/>
      <c r="S875" s="56"/>
      <c r="T875" s="56"/>
      <c r="U875" s="56"/>
      <c r="V875" s="56"/>
      <c r="W875" s="56"/>
      <c r="X875" s="56"/>
      <c r="Y875" s="56"/>
      <c r="Z875" s="56"/>
    </row>
    <row r="876" spans="1:26" ht="15.75" customHeight="1">
      <c r="A876" s="56"/>
      <c r="B876" s="56"/>
      <c r="C876" s="56"/>
      <c r="D876" s="56"/>
      <c r="E876" s="56"/>
      <c r="F876" s="56"/>
      <c r="G876" s="56"/>
      <c r="H876" s="56"/>
      <c r="I876" s="56"/>
      <c r="J876" s="56"/>
      <c r="K876" s="56"/>
      <c r="L876" s="56"/>
      <c r="M876" s="56"/>
      <c r="N876" s="56"/>
      <c r="O876" s="56"/>
      <c r="P876" s="56"/>
      <c r="Q876" s="56"/>
      <c r="R876" s="56"/>
      <c r="S876" s="56"/>
      <c r="T876" s="56"/>
      <c r="U876" s="56"/>
      <c r="V876" s="56"/>
      <c r="W876" s="56"/>
      <c r="X876" s="56"/>
      <c r="Y876" s="56"/>
      <c r="Z876" s="56"/>
    </row>
    <row r="877" spans="1:26" ht="15.75" customHeight="1">
      <c r="A877" s="56"/>
      <c r="B877" s="56"/>
      <c r="C877" s="56"/>
      <c r="D877" s="56"/>
      <c r="E877" s="56"/>
      <c r="F877" s="56"/>
      <c r="G877" s="56"/>
      <c r="H877" s="56"/>
      <c r="I877" s="56"/>
      <c r="J877" s="56"/>
      <c r="K877" s="56"/>
      <c r="L877" s="56"/>
      <c r="M877" s="56"/>
      <c r="N877" s="56"/>
      <c r="O877" s="56"/>
      <c r="P877" s="56"/>
      <c r="Q877" s="56"/>
      <c r="R877" s="56"/>
      <c r="S877" s="56"/>
      <c r="T877" s="56"/>
      <c r="U877" s="56"/>
      <c r="V877" s="56"/>
      <c r="W877" s="56"/>
      <c r="X877" s="56"/>
      <c r="Y877" s="56"/>
      <c r="Z877" s="56"/>
    </row>
    <row r="878" spans="1:26" ht="15.75" customHeight="1">
      <c r="A878" s="56"/>
      <c r="B878" s="56"/>
      <c r="C878" s="56"/>
      <c r="D878" s="56"/>
      <c r="E878" s="56"/>
      <c r="F878" s="56"/>
      <c r="G878" s="56"/>
      <c r="H878" s="56"/>
      <c r="I878" s="56"/>
      <c r="J878" s="56"/>
      <c r="K878" s="56"/>
      <c r="L878" s="56"/>
      <c r="M878" s="56"/>
      <c r="N878" s="56"/>
      <c r="O878" s="56"/>
      <c r="P878" s="56"/>
      <c r="Q878" s="56"/>
      <c r="R878" s="56"/>
      <c r="S878" s="56"/>
      <c r="T878" s="56"/>
      <c r="U878" s="56"/>
      <c r="V878" s="56"/>
      <c r="W878" s="56"/>
      <c r="X878" s="56"/>
      <c r="Y878" s="56"/>
      <c r="Z878" s="56"/>
    </row>
    <row r="879" spans="1:26" ht="15.75" customHeight="1">
      <c r="A879" s="56"/>
      <c r="B879" s="56"/>
      <c r="C879" s="56"/>
      <c r="D879" s="56"/>
      <c r="E879" s="56"/>
      <c r="F879" s="56"/>
      <c r="G879" s="56"/>
      <c r="H879" s="56"/>
      <c r="I879" s="56"/>
      <c r="J879" s="56"/>
      <c r="K879" s="56"/>
      <c r="L879" s="56"/>
      <c r="M879" s="56"/>
      <c r="N879" s="56"/>
      <c r="O879" s="56"/>
      <c r="P879" s="56"/>
      <c r="Q879" s="56"/>
      <c r="R879" s="56"/>
      <c r="S879" s="56"/>
      <c r="T879" s="56"/>
      <c r="U879" s="56"/>
      <c r="V879" s="56"/>
      <c r="W879" s="56"/>
      <c r="X879" s="56"/>
      <c r="Y879" s="56"/>
      <c r="Z879" s="56"/>
    </row>
    <row r="880" spans="1:26" ht="15.75" customHeight="1">
      <c r="A880" s="56"/>
      <c r="B880" s="56"/>
      <c r="C880" s="56"/>
      <c r="D880" s="56"/>
      <c r="E880" s="56"/>
      <c r="F880" s="56"/>
      <c r="G880" s="56"/>
      <c r="H880" s="56"/>
      <c r="I880" s="56"/>
      <c r="J880" s="56"/>
      <c r="K880" s="56"/>
      <c r="L880" s="56"/>
      <c r="M880" s="56"/>
      <c r="N880" s="56"/>
      <c r="O880" s="56"/>
      <c r="P880" s="56"/>
      <c r="Q880" s="56"/>
      <c r="R880" s="56"/>
      <c r="S880" s="56"/>
      <c r="T880" s="56"/>
      <c r="U880" s="56"/>
      <c r="V880" s="56"/>
      <c r="W880" s="56"/>
      <c r="X880" s="56"/>
      <c r="Y880" s="56"/>
      <c r="Z880" s="56"/>
    </row>
    <row r="881" spans="1:26" ht="15.75" customHeight="1">
      <c r="A881" s="56"/>
      <c r="B881" s="56"/>
      <c r="C881" s="56"/>
      <c r="D881" s="56"/>
      <c r="E881" s="56"/>
      <c r="F881" s="56"/>
      <c r="G881" s="56"/>
      <c r="H881" s="56"/>
      <c r="I881" s="56"/>
      <c r="J881" s="56"/>
      <c r="K881" s="56"/>
      <c r="L881" s="56"/>
      <c r="M881" s="56"/>
      <c r="N881" s="56"/>
      <c r="O881" s="56"/>
      <c r="P881" s="56"/>
      <c r="Q881" s="56"/>
      <c r="R881" s="56"/>
      <c r="S881" s="56"/>
      <c r="T881" s="56"/>
      <c r="U881" s="56"/>
      <c r="V881" s="56"/>
      <c r="W881" s="56"/>
      <c r="X881" s="56"/>
      <c r="Y881" s="56"/>
      <c r="Z881" s="56"/>
    </row>
    <row r="882" spans="1:26" ht="15.75" customHeight="1">
      <c r="A882" s="56"/>
      <c r="B882" s="56"/>
      <c r="C882" s="56"/>
      <c r="D882" s="56"/>
      <c r="E882" s="56"/>
      <c r="F882" s="56"/>
      <c r="G882" s="56"/>
      <c r="H882" s="56"/>
      <c r="I882" s="56"/>
      <c r="J882" s="56"/>
      <c r="K882" s="56"/>
      <c r="L882" s="56"/>
      <c r="M882" s="56"/>
      <c r="N882" s="56"/>
      <c r="O882" s="56"/>
      <c r="P882" s="56"/>
      <c r="Q882" s="56"/>
      <c r="R882" s="56"/>
      <c r="S882" s="56"/>
      <c r="T882" s="56"/>
      <c r="U882" s="56"/>
      <c r="V882" s="56"/>
      <c r="W882" s="56"/>
      <c r="X882" s="56"/>
      <c r="Y882" s="56"/>
      <c r="Z882" s="56"/>
    </row>
    <row r="883" spans="1:26" ht="15.75" customHeight="1">
      <c r="A883" s="56"/>
      <c r="B883" s="56"/>
      <c r="C883" s="56"/>
      <c r="D883" s="56"/>
      <c r="E883" s="56"/>
      <c r="F883" s="56"/>
      <c r="G883" s="56"/>
      <c r="H883" s="56"/>
      <c r="I883" s="56"/>
      <c r="J883" s="56"/>
      <c r="K883" s="56"/>
      <c r="L883" s="56"/>
      <c r="M883" s="56"/>
      <c r="N883" s="56"/>
      <c r="O883" s="56"/>
      <c r="P883" s="56"/>
      <c r="Q883" s="56"/>
      <c r="R883" s="56"/>
      <c r="S883" s="56"/>
      <c r="T883" s="56"/>
      <c r="U883" s="56"/>
      <c r="V883" s="56"/>
      <c r="W883" s="56"/>
      <c r="X883" s="56"/>
      <c r="Y883" s="56"/>
      <c r="Z883" s="56"/>
    </row>
    <row r="884" spans="1:26" ht="15.75" customHeight="1">
      <c r="A884" s="56"/>
      <c r="B884" s="56"/>
      <c r="C884" s="56"/>
      <c r="D884" s="56"/>
      <c r="E884" s="56"/>
      <c r="F884" s="56"/>
      <c r="G884" s="56"/>
      <c r="H884" s="56"/>
      <c r="I884" s="56"/>
      <c r="J884" s="56"/>
      <c r="K884" s="56"/>
      <c r="L884" s="56"/>
      <c r="M884" s="56"/>
      <c r="N884" s="56"/>
      <c r="O884" s="56"/>
      <c r="P884" s="56"/>
      <c r="Q884" s="56"/>
      <c r="R884" s="56"/>
      <c r="S884" s="56"/>
      <c r="T884" s="56"/>
      <c r="U884" s="56"/>
      <c r="V884" s="56"/>
      <c r="W884" s="56"/>
      <c r="X884" s="56"/>
      <c r="Y884" s="56"/>
      <c r="Z884" s="56"/>
    </row>
    <row r="885" spans="1:26" ht="15.75" customHeight="1">
      <c r="A885" s="56"/>
      <c r="B885" s="56"/>
      <c r="C885" s="56"/>
      <c r="D885" s="56"/>
      <c r="E885" s="56"/>
      <c r="F885" s="56"/>
      <c r="G885" s="56"/>
      <c r="H885" s="56"/>
      <c r="I885" s="56"/>
      <c r="J885" s="56"/>
      <c r="K885" s="56"/>
      <c r="L885" s="56"/>
      <c r="M885" s="56"/>
      <c r="N885" s="56"/>
      <c r="O885" s="56"/>
      <c r="P885" s="56"/>
      <c r="Q885" s="56"/>
      <c r="R885" s="56"/>
      <c r="S885" s="56"/>
      <c r="T885" s="56"/>
      <c r="U885" s="56"/>
      <c r="V885" s="56"/>
      <c r="W885" s="56"/>
      <c r="X885" s="56"/>
      <c r="Y885" s="56"/>
      <c r="Z885" s="56"/>
    </row>
    <row r="886" spans="1:26" ht="15.75" customHeight="1">
      <c r="A886" s="56"/>
      <c r="B886" s="56"/>
      <c r="C886" s="56"/>
      <c r="D886" s="56"/>
      <c r="E886" s="56"/>
      <c r="F886" s="56"/>
      <c r="G886" s="56"/>
      <c r="H886" s="56"/>
      <c r="I886" s="56"/>
      <c r="J886" s="56"/>
      <c r="K886" s="56"/>
      <c r="L886" s="56"/>
      <c r="M886" s="56"/>
      <c r="N886" s="56"/>
      <c r="O886" s="56"/>
      <c r="P886" s="56"/>
      <c r="Q886" s="56"/>
      <c r="R886" s="56"/>
      <c r="S886" s="56"/>
      <c r="T886" s="56"/>
      <c r="U886" s="56"/>
      <c r="V886" s="56"/>
      <c r="W886" s="56"/>
      <c r="X886" s="56"/>
      <c r="Y886" s="56"/>
      <c r="Z886" s="56"/>
    </row>
    <row r="887" spans="1:26" ht="15.75" customHeight="1">
      <c r="A887" s="56"/>
      <c r="B887" s="56"/>
      <c r="C887" s="56"/>
      <c r="D887" s="56"/>
      <c r="E887" s="56"/>
      <c r="F887" s="56"/>
      <c r="G887" s="56"/>
      <c r="H887" s="56"/>
      <c r="I887" s="56"/>
      <c r="J887" s="56"/>
      <c r="K887" s="56"/>
      <c r="L887" s="56"/>
      <c r="M887" s="56"/>
      <c r="N887" s="56"/>
      <c r="O887" s="56"/>
      <c r="P887" s="56"/>
      <c r="Q887" s="56"/>
      <c r="R887" s="56"/>
      <c r="S887" s="56"/>
      <c r="T887" s="56"/>
      <c r="U887" s="56"/>
      <c r="V887" s="56"/>
      <c r="W887" s="56"/>
      <c r="X887" s="56"/>
      <c r="Y887" s="56"/>
      <c r="Z887" s="56"/>
    </row>
    <row r="888" spans="1:26" ht="15.75" customHeight="1">
      <c r="A888" s="56"/>
      <c r="B888" s="56"/>
      <c r="C888" s="56"/>
      <c r="D888" s="56"/>
      <c r="E888" s="56"/>
      <c r="F888" s="56"/>
      <c r="G888" s="56"/>
      <c r="H888" s="56"/>
      <c r="I888" s="56"/>
      <c r="J888" s="56"/>
      <c r="K888" s="56"/>
      <c r="L888" s="56"/>
      <c r="M888" s="56"/>
      <c r="N888" s="56"/>
      <c r="O888" s="56"/>
      <c r="P888" s="56"/>
      <c r="Q888" s="56"/>
      <c r="R888" s="56"/>
      <c r="S888" s="56"/>
      <c r="T888" s="56"/>
      <c r="U888" s="56"/>
      <c r="V888" s="56"/>
      <c r="W888" s="56"/>
      <c r="X888" s="56"/>
      <c r="Y888" s="56"/>
      <c r="Z888" s="56"/>
    </row>
    <row r="889" spans="1:26" ht="15.75" customHeight="1">
      <c r="A889" s="56"/>
      <c r="B889" s="56"/>
      <c r="C889" s="56"/>
      <c r="D889" s="56"/>
      <c r="E889" s="56"/>
      <c r="F889" s="56"/>
      <c r="G889" s="56"/>
      <c r="H889" s="56"/>
      <c r="I889" s="56"/>
      <c r="J889" s="56"/>
      <c r="K889" s="56"/>
      <c r="L889" s="56"/>
      <c r="M889" s="56"/>
      <c r="N889" s="56"/>
      <c r="O889" s="56"/>
      <c r="P889" s="56"/>
      <c r="Q889" s="56"/>
      <c r="R889" s="56"/>
      <c r="S889" s="56"/>
      <c r="T889" s="56"/>
      <c r="U889" s="56"/>
      <c r="V889" s="56"/>
      <c r="W889" s="56"/>
      <c r="X889" s="56"/>
      <c r="Y889" s="56"/>
      <c r="Z889" s="56"/>
    </row>
    <row r="890" spans="1:26" ht="15.75" customHeight="1">
      <c r="A890" s="56"/>
      <c r="B890" s="56"/>
      <c r="C890" s="56"/>
      <c r="D890" s="56"/>
      <c r="E890" s="56"/>
      <c r="F890" s="56"/>
      <c r="G890" s="56"/>
      <c r="H890" s="56"/>
      <c r="I890" s="56"/>
      <c r="J890" s="56"/>
      <c r="K890" s="56"/>
      <c r="L890" s="56"/>
      <c r="M890" s="56"/>
      <c r="N890" s="56"/>
      <c r="O890" s="56"/>
      <c r="P890" s="56"/>
      <c r="Q890" s="56"/>
      <c r="R890" s="56"/>
      <c r="S890" s="56"/>
      <c r="T890" s="56"/>
      <c r="U890" s="56"/>
      <c r="V890" s="56"/>
      <c r="W890" s="56"/>
      <c r="X890" s="56"/>
      <c r="Y890" s="56"/>
      <c r="Z890" s="56"/>
    </row>
    <row r="891" spans="1:26" ht="15.75" customHeight="1">
      <c r="A891" s="56"/>
      <c r="B891" s="56"/>
      <c r="C891" s="56"/>
      <c r="D891" s="56"/>
      <c r="E891" s="56"/>
      <c r="F891" s="56"/>
      <c r="G891" s="56"/>
      <c r="H891" s="56"/>
      <c r="I891" s="56"/>
      <c r="J891" s="56"/>
      <c r="K891" s="56"/>
      <c r="L891" s="56"/>
      <c r="M891" s="56"/>
      <c r="N891" s="56"/>
      <c r="O891" s="56"/>
      <c r="P891" s="56"/>
      <c r="Q891" s="56"/>
      <c r="R891" s="56"/>
      <c r="S891" s="56"/>
      <c r="T891" s="56"/>
      <c r="U891" s="56"/>
      <c r="V891" s="56"/>
      <c r="W891" s="56"/>
      <c r="X891" s="56"/>
      <c r="Y891" s="56"/>
      <c r="Z891" s="56"/>
    </row>
    <row r="892" spans="1:26" ht="15.75" customHeight="1">
      <c r="A892" s="56"/>
      <c r="B892" s="56"/>
      <c r="C892" s="56"/>
      <c r="D892" s="56"/>
      <c r="E892" s="56"/>
      <c r="F892" s="56"/>
      <c r="G892" s="56"/>
      <c r="H892" s="56"/>
      <c r="I892" s="56"/>
      <c r="J892" s="56"/>
      <c r="K892" s="56"/>
      <c r="L892" s="56"/>
      <c r="M892" s="56"/>
      <c r="N892" s="56"/>
      <c r="O892" s="56"/>
      <c r="P892" s="56"/>
      <c r="Q892" s="56"/>
      <c r="R892" s="56"/>
      <c r="S892" s="56"/>
      <c r="T892" s="56"/>
      <c r="U892" s="56"/>
      <c r="V892" s="56"/>
      <c r="W892" s="56"/>
      <c r="X892" s="56"/>
      <c r="Y892" s="56"/>
      <c r="Z892" s="56"/>
    </row>
    <row r="893" spans="1:26" ht="15.75" customHeight="1">
      <c r="A893" s="56"/>
      <c r="B893" s="56"/>
      <c r="C893" s="56"/>
      <c r="D893" s="56"/>
      <c r="E893" s="56"/>
      <c r="F893" s="56"/>
      <c r="G893" s="56"/>
      <c r="H893" s="56"/>
      <c r="I893" s="56"/>
      <c r="J893" s="56"/>
      <c r="K893" s="56"/>
      <c r="L893" s="56"/>
      <c r="M893" s="56"/>
      <c r="N893" s="56"/>
      <c r="O893" s="56"/>
      <c r="P893" s="56"/>
      <c r="Q893" s="56"/>
      <c r="R893" s="56"/>
      <c r="S893" s="56"/>
      <c r="T893" s="56"/>
      <c r="U893" s="56"/>
      <c r="V893" s="56"/>
      <c r="W893" s="56"/>
      <c r="X893" s="56"/>
      <c r="Y893" s="56"/>
      <c r="Z893" s="56"/>
    </row>
    <row r="894" spans="1:26" ht="15.75" customHeight="1">
      <c r="A894" s="56"/>
      <c r="B894" s="56"/>
      <c r="C894" s="56"/>
      <c r="D894" s="56"/>
      <c r="E894" s="56"/>
      <c r="F894" s="56"/>
      <c r="G894" s="56"/>
      <c r="H894" s="56"/>
      <c r="I894" s="56"/>
      <c r="J894" s="56"/>
      <c r="K894" s="56"/>
      <c r="L894" s="56"/>
      <c r="M894" s="56"/>
      <c r="N894" s="56"/>
      <c r="O894" s="56"/>
      <c r="P894" s="56"/>
      <c r="Q894" s="56"/>
      <c r="R894" s="56"/>
      <c r="S894" s="56"/>
      <c r="T894" s="56"/>
      <c r="U894" s="56"/>
      <c r="V894" s="56"/>
      <c r="W894" s="56"/>
      <c r="X894" s="56"/>
      <c r="Y894" s="56"/>
      <c r="Z894" s="56"/>
    </row>
    <row r="895" spans="1:26" ht="15.75" customHeight="1">
      <c r="A895" s="56"/>
      <c r="B895" s="56"/>
      <c r="C895" s="56"/>
      <c r="D895" s="56"/>
      <c r="E895" s="56"/>
      <c r="F895" s="56"/>
      <c r="G895" s="56"/>
      <c r="H895" s="56"/>
      <c r="I895" s="56"/>
      <c r="J895" s="56"/>
      <c r="K895" s="56"/>
      <c r="L895" s="56"/>
      <c r="M895" s="56"/>
      <c r="N895" s="56"/>
      <c r="O895" s="56"/>
      <c r="P895" s="56"/>
      <c r="Q895" s="56"/>
      <c r="R895" s="56"/>
      <c r="S895" s="56"/>
      <c r="T895" s="56"/>
      <c r="U895" s="56"/>
      <c r="V895" s="56"/>
      <c r="W895" s="56"/>
      <c r="X895" s="56"/>
      <c r="Y895" s="56"/>
      <c r="Z895" s="56"/>
    </row>
    <row r="896" spans="1:26" ht="15.75" customHeight="1">
      <c r="A896" s="56"/>
      <c r="B896" s="56"/>
      <c r="C896" s="56"/>
      <c r="D896" s="56"/>
      <c r="E896" s="56"/>
      <c r="F896" s="56"/>
      <c r="G896" s="56"/>
      <c r="H896" s="56"/>
      <c r="I896" s="56"/>
      <c r="J896" s="56"/>
      <c r="K896" s="56"/>
      <c r="L896" s="56"/>
      <c r="M896" s="56"/>
      <c r="N896" s="56"/>
      <c r="O896" s="56"/>
      <c r="P896" s="56"/>
      <c r="Q896" s="56"/>
      <c r="R896" s="56"/>
      <c r="S896" s="56"/>
      <c r="T896" s="56"/>
      <c r="U896" s="56"/>
      <c r="V896" s="56"/>
      <c r="W896" s="56"/>
      <c r="X896" s="56"/>
      <c r="Y896" s="56"/>
      <c r="Z896" s="56"/>
    </row>
    <row r="897" spans="1:26" ht="15.75" customHeight="1">
      <c r="A897" s="56"/>
      <c r="B897" s="56"/>
      <c r="C897" s="56"/>
      <c r="D897" s="56"/>
      <c r="E897" s="56"/>
      <c r="F897" s="56"/>
      <c r="G897" s="56"/>
      <c r="H897" s="56"/>
      <c r="I897" s="56"/>
      <c r="J897" s="56"/>
      <c r="K897" s="56"/>
      <c r="L897" s="56"/>
      <c r="M897" s="56"/>
      <c r="N897" s="56"/>
      <c r="O897" s="56"/>
      <c r="P897" s="56"/>
      <c r="Q897" s="56"/>
      <c r="R897" s="56"/>
      <c r="S897" s="56"/>
      <c r="T897" s="56"/>
      <c r="U897" s="56"/>
      <c r="V897" s="56"/>
      <c r="W897" s="56"/>
      <c r="X897" s="56"/>
      <c r="Y897" s="56"/>
      <c r="Z897" s="56"/>
    </row>
    <row r="898" spans="1:26" ht="15.75" customHeight="1">
      <c r="A898" s="56"/>
      <c r="B898" s="56"/>
      <c r="C898" s="56"/>
      <c r="D898" s="56"/>
      <c r="E898" s="56"/>
      <c r="F898" s="56"/>
      <c r="G898" s="56"/>
      <c r="H898" s="56"/>
      <c r="I898" s="56"/>
      <c r="J898" s="56"/>
      <c r="K898" s="56"/>
      <c r="L898" s="56"/>
      <c r="M898" s="56"/>
      <c r="N898" s="56"/>
      <c r="O898" s="56"/>
      <c r="P898" s="56"/>
      <c r="Q898" s="56"/>
      <c r="R898" s="56"/>
      <c r="S898" s="56"/>
      <c r="T898" s="56"/>
      <c r="U898" s="56"/>
      <c r="V898" s="56"/>
      <c r="W898" s="56"/>
      <c r="X898" s="56"/>
      <c r="Y898" s="56"/>
      <c r="Z898" s="56"/>
    </row>
    <row r="899" spans="1:26" ht="15.75" customHeight="1">
      <c r="A899" s="56"/>
      <c r="B899" s="56"/>
      <c r="C899" s="56"/>
      <c r="D899" s="56"/>
      <c r="E899" s="56"/>
      <c r="F899" s="56"/>
      <c r="G899" s="56"/>
      <c r="H899" s="56"/>
      <c r="I899" s="56"/>
      <c r="J899" s="56"/>
      <c r="K899" s="56"/>
      <c r="L899" s="56"/>
      <c r="M899" s="56"/>
      <c r="N899" s="56"/>
      <c r="O899" s="56"/>
      <c r="P899" s="56"/>
      <c r="Q899" s="56"/>
      <c r="R899" s="56"/>
      <c r="S899" s="56"/>
      <c r="T899" s="56"/>
      <c r="U899" s="56"/>
      <c r="V899" s="56"/>
      <c r="W899" s="56"/>
      <c r="X899" s="56"/>
      <c r="Y899" s="56"/>
      <c r="Z899" s="56"/>
    </row>
    <row r="900" spans="1:26" ht="15.75" customHeight="1">
      <c r="A900" s="56"/>
      <c r="B900" s="56"/>
      <c r="C900" s="56"/>
      <c r="D900" s="56"/>
      <c r="E900" s="56"/>
      <c r="F900" s="56"/>
      <c r="G900" s="56"/>
      <c r="H900" s="56"/>
      <c r="I900" s="56"/>
      <c r="J900" s="56"/>
      <c r="K900" s="56"/>
      <c r="L900" s="56"/>
      <c r="M900" s="56"/>
      <c r="N900" s="56"/>
      <c r="O900" s="56"/>
      <c r="P900" s="56"/>
      <c r="Q900" s="56"/>
      <c r="R900" s="56"/>
      <c r="S900" s="56"/>
      <c r="T900" s="56"/>
      <c r="U900" s="56"/>
      <c r="V900" s="56"/>
      <c r="W900" s="56"/>
      <c r="X900" s="56"/>
      <c r="Y900" s="56"/>
      <c r="Z900" s="56"/>
    </row>
    <row r="901" spans="1:26" ht="15.75" customHeight="1">
      <c r="A901" s="56"/>
      <c r="B901" s="56"/>
      <c r="C901" s="56"/>
      <c r="D901" s="56"/>
      <c r="E901" s="56"/>
      <c r="F901" s="56"/>
      <c r="G901" s="56"/>
      <c r="H901" s="56"/>
      <c r="I901" s="56"/>
      <c r="J901" s="56"/>
      <c r="K901" s="56"/>
      <c r="L901" s="56"/>
      <c r="M901" s="56"/>
      <c r="N901" s="56"/>
      <c r="O901" s="56"/>
      <c r="P901" s="56"/>
      <c r="Q901" s="56"/>
      <c r="R901" s="56"/>
      <c r="S901" s="56"/>
      <c r="T901" s="56"/>
      <c r="U901" s="56"/>
      <c r="V901" s="56"/>
      <c r="W901" s="56"/>
      <c r="X901" s="56"/>
      <c r="Y901" s="56"/>
      <c r="Z901" s="56"/>
    </row>
    <row r="902" spans="1:26" ht="15.75" customHeight="1">
      <c r="A902" s="56"/>
      <c r="B902" s="56"/>
      <c r="C902" s="56"/>
      <c r="D902" s="56"/>
      <c r="E902" s="56"/>
      <c r="F902" s="56"/>
      <c r="G902" s="56"/>
      <c r="H902" s="56"/>
      <c r="I902" s="56"/>
      <c r="J902" s="56"/>
      <c r="K902" s="56"/>
      <c r="L902" s="56"/>
      <c r="M902" s="56"/>
      <c r="N902" s="56"/>
      <c r="O902" s="56"/>
      <c r="P902" s="56"/>
      <c r="Q902" s="56"/>
      <c r="R902" s="56"/>
      <c r="S902" s="56"/>
      <c r="T902" s="56"/>
      <c r="U902" s="56"/>
      <c r="V902" s="56"/>
      <c r="W902" s="56"/>
      <c r="X902" s="56"/>
      <c r="Y902" s="56"/>
      <c r="Z902" s="56"/>
    </row>
    <row r="903" spans="1:26" ht="15.75" customHeight="1">
      <c r="A903" s="56"/>
      <c r="B903" s="56"/>
      <c r="C903" s="56"/>
      <c r="D903" s="56"/>
      <c r="E903" s="56"/>
      <c r="F903" s="56"/>
      <c r="G903" s="56"/>
      <c r="H903" s="56"/>
      <c r="I903" s="56"/>
      <c r="J903" s="56"/>
      <c r="K903" s="56"/>
      <c r="L903" s="56"/>
      <c r="M903" s="56"/>
      <c r="N903" s="56"/>
      <c r="O903" s="56"/>
      <c r="P903" s="56"/>
      <c r="Q903" s="56"/>
      <c r="R903" s="56"/>
      <c r="S903" s="56"/>
      <c r="T903" s="56"/>
      <c r="U903" s="56"/>
      <c r="V903" s="56"/>
      <c r="W903" s="56"/>
      <c r="X903" s="56"/>
      <c r="Y903" s="56"/>
      <c r="Z903" s="56"/>
    </row>
    <row r="904" spans="1:26" ht="15.75" customHeight="1">
      <c r="A904" s="56"/>
      <c r="B904" s="56"/>
      <c r="C904" s="56"/>
      <c r="D904" s="56"/>
      <c r="E904" s="56"/>
      <c r="F904" s="56"/>
      <c r="G904" s="56"/>
      <c r="H904" s="56"/>
      <c r="I904" s="56"/>
      <c r="J904" s="56"/>
      <c r="K904" s="56"/>
      <c r="L904" s="56"/>
      <c r="M904" s="56"/>
      <c r="N904" s="56"/>
      <c r="O904" s="56"/>
      <c r="P904" s="56"/>
      <c r="Q904" s="56"/>
      <c r="R904" s="56"/>
      <c r="S904" s="56"/>
      <c r="T904" s="56"/>
      <c r="U904" s="56"/>
      <c r="V904" s="56"/>
      <c r="W904" s="56"/>
      <c r="X904" s="56"/>
      <c r="Y904" s="56"/>
      <c r="Z904" s="56"/>
    </row>
    <row r="905" spans="1:26" ht="15.75" customHeight="1">
      <c r="A905" s="56"/>
      <c r="B905" s="56"/>
      <c r="C905" s="56"/>
      <c r="D905" s="56"/>
      <c r="E905" s="56"/>
      <c r="F905" s="56"/>
      <c r="G905" s="56"/>
      <c r="H905" s="56"/>
      <c r="I905" s="56"/>
      <c r="J905" s="56"/>
      <c r="K905" s="56"/>
      <c r="L905" s="56"/>
      <c r="M905" s="56"/>
      <c r="N905" s="56"/>
      <c r="O905" s="56"/>
      <c r="P905" s="56"/>
      <c r="Q905" s="56"/>
      <c r="R905" s="56"/>
      <c r="S905" s="56"/>
      <c r="T905" s="56"/>
      <c r="U905" s="56"/>
      <c r="V905" s="56"/>
      <c r="W905" s="56"/>
      <c r="X905" s="56"/>
      <c r="Y905" s="56"/>
      <c r="Z905" s="56"/>
    </row>
    <row r="906" spans="1:26" ht="15.75" customHeight="1">
      <c r="A906" s="56"/>
      <c r="B906" s="56"/>
      <c r="C906" s="56"/>
      <c r="D906" s="56"/>
      <c r="E906" s="56"/>
      <c r="F906" s="56"/>
      <c r="G906" s="56"/>
      <c r="H906" s="56"/>
      <c r="I906" s="56"/>
      <c r="J906" s="56"/>
      <c r="K906" s="56"/>
      <c r="L906" s="56"/>
      <c r="M906" s="56"/>
      <c r="N906" s="56"/>
      <c r="O906" s="56"/>
      <c r="P906" s="56"/>
      <c r="Q906" s="56"/>
      <c r="R906" s="56"/>
      <c r="S906" s="56"/>
      <c r="T906" s="56"/>
      <c r="U906" s="56"/>
      <c r="V906" s="56"/>
      <c r="W906" s="56"/>
      <c r="X906" s="56"/>
      <c r="Y906" s="56"/>
      <c r="Z906" s="56"/>
    </row>
    <row r="907" spans="1:26" ht="15.75" customHeight="1">
      <c r="A907" s="56"/>
      <c r="B907" s="56"/>
      <c r="C907" s="56"/>
      <c r="D907" s="56"/>
      <c r="E907" s="56"/>
      <c r="F907" s="56"/>
      <c r="G907" s="56"/>
      <c r="H907" s="56"/>
      <c r="I907" s="56"/>
      <c r="J907" s="56"/>
      <c r="K907" s="56"/>
      <c r="L907" s="56"/>
      <c r="M907" s="56"/>
      <c r="N907" s="56"/>
      <c r="O907" s="56"/>
      <c r="P907" s="56"/>
      <c r="Q907" s="56"/>
      <c r="R907" s="56"/>
      <c r="S907" s="56"/>
      <c r="T907" s="56"/>
      <c r="U907" s="56"/>
      <c r="V907" s="56"/>
      <c r="W907" s="56"/>
      <c r="X907" s="56"/>
      <c r="Y907" s="56"/>
      <c r="Z907" s="56"/>
    </row>
    <row r="908" spans="1:26" ht="15.75" customHeight="1">
      <c r="A908" s="56"/>
      <c r="B908" s="56"/>
      <c r="C908" s="56"/>
      <c r="D908" s="56"/>
      <c r="E908" s="56"/>
      <c r="F908" s="56"/>
      <c r="G908" s="56"/>
      <c r="H908" s="56"/>
      <c r="I908" s="56"/>
      <c r="J908" s="56"/>
      <c r="K908" s="56"/>
      <c r="L908" s="56"/>
      <c r="M908" s="56"/>
      <c r="N908" s="56"/>
      <c r="O908" s="56"/>
      <c r="P908" s="56"/>
      <c r="Q908" s="56"/>
      <c r="R908" s="56"/>
      <c r="S908" s="56"/>
      <c r="T908" s="56"/>
      <c r="U908" s="56"/>
      <c r="V908" s="56"/>
      <c r="W908" s="56"/>
      <c r="X908" s="56"/>
      <c r="Y908" s="56"/>
      <c r="Z908" s="56"/>
    </row>
    <row r="909" spans="1:26" ht="15.75" customHeight="1">
      <c r="A909" s="56"/>
      <c r="B909" s="56"/>
      <c r="C909" s="56"/>
      <c r="D909" s="56"/>
      <c r="E909" s="56"/>
      <c r="F909" s="56"/>
      <c r="G909" s="56"/>
      <c r="H909" s="56"/>
      <c r="I909" s="56"/>
      <c r="J909" s="56"/>
      <c r="K909" s="56"/>
      <c r="L909" s="56"/>
      <c r="M909" s="56"/>
      <c r="N909" s="56"/>
      <c r="O909" s="56"/>
      <c r="P909" s="56"/>
      <c r="Q909" s="56"/>
      <c r="R909" s="56"/>
      <c r="S909" s="56"/>
      <c r="T909" s="56"/>
      <c r="U909" s="56"/>
      <c r="V909" s="56"/>
      <c r="W909" s="56"/>
      <c r="X909" s="56"/>
      <c r="Y909" s="56"/>
      <c r="Z909" s="56"/>
    </row>
    <row r="910" spans="1:26" ht="15.75" customHeight="1">
      <c r="A910" s="56"/>
      <c r="B910" s="56"/>
      <c r="C910" s="56"/>
      <c r="D910" s="56"/>
      <c r="E910" s="56"/>
      <c r="F910" s="56"/>
      <c r="G910" s="56"/>
      <c r="H910" s="56"/>
      <c r="I910" s="56"/>
      <c r="J910" s="56"/>
      <c r="K910" s="56"/>
      <c r="L910" s="56"/>
      <c r="M910" s="56"/>
      <c r="N910" s="56"/>
      <c r="O910" s="56"/>
      <c r="P910" s="56"/>
      <c r="Q910" s="56"/>
      <c r="R910" s="56"/>
      <c r="S910" s="56"/>
      <c r="T910" s="56"/>
      <c r="U910" s="56"/>
      <c r="V910" s="56"/>
      <c r="W910" s="56"/>
      <c r="X910" s="56"/>
      <c r="Y910" s="56"/>
      <c r="Z910" s="56"/>
    </row>
    <row r="911" spans="1:26" ht="15.75" customHeight="1">
      <c r="A911" s="56"/>
      <c r="B911" s="56"/>
      <c r="C911" s="56"/>
      <c r="D911" s="56"/>
      <c r="E911" s="56"/>
      <c r="F911" s="56"/>
      <c r="G911" s="56"/>
      <c r="H911" s="56"/>
      <c r="I911" s="56"/>
      <c r="J911" s="56"/>
      <c r="K911" s="56"/>
      <c r="L911" s="56"/>
      <c r="M911" s="56"/>
      <c r="N911" s="56"/>
      <c r="O911" s="56"/>
      <c r="P911" s="56"/>
      <c r="Q911" s="56"/>
      <c r="R911" s="56"/>
      <c r="S911" s="56"/>
      <c r="T911" s="56"/>
      <c r="U911" s="56"/>
      <c r="V911" s="56"/>
      <c r="W911" s="56"/>
      <c r="X911" s="56"/>
      <c r="Y911" s="56"/>
      <c r="Z911" s="56"/>
    </row>
    <row r="912" spans="1:26" ht="15.75" customHeight="1">
      <c r="A912" s="56"/>
      <c r="B912" s="56"/>
      <c r="C912" s="56"/>
      <c r="D912" s="56"/>
      <c r="E912" s="56"/>
      <c r="F912" s="56"/>
      <c r="G912" s="56"/>
      <c r="H912" s="56"/>
      <c r="I912" s="56"/>
      <c r="J912" s="56"/>
      <c r="K912" s="56"/>
      <c r="L912" s="56"/>
      <c r="M912" s="56"/>
      <c r="N912" s="56"/>
      <c r="O912" s="56"/>
      <c r="P912" s="56"/>
      <c r="Q912" s="56"/>
      <c r="R912" s="56"/>
      <c r="S912" s="56"/>
      <c r="T912" s="56"/>
      <c r="U912" s="56"/>
      <c r="V912" s="56"/>
      <c r="W912" s="56"/>
      <c r="X912" s="56"/>
      <c r="Y912" s="56"/>
      <c r="Z912" s="56"/>
    </row>
    <row r="913" spans="1:26" ht="15.75" customHeight="1">
      <c r="A913" s="56"/>
      <c r="B913" s="56"/>
      <c r="C913" s="56"/>
      <c r="D913" s="56"/>
      <c r="E913" s="56"/>
      <c r="F913" s="56"/>
      <c r="G913" s="56"/>
      <c r="H913" s="56"/>
      <c r="I913" s="56"/>
      <c r="J913" s="56"/>
      <c r="K913" s="56"/>
      <c r="L913" s="56"/>
      <c r="M913" s="56"/>
      <c r="N913" s="56"/>
      <c r="O913" s="56"/>
      <c r="P913" s="56"/>
      <c r="Q913" s="56"/>
      <c r="R913" s="56"/>
      <c r="S913" s="56"/>
      <c r="T913" s="56"/>
      <c r="U913" s="56"/>
      <c r="V913" s="56"/>
      <c r="W913" s="56"/>
      <c r="X913" s="56"/>
      <c r="Y913" s="56"/>
      <c r="Z913" s="56"/>
    </row>
    <row r="914" spans="1:26" ht="15.75" customHeight="1">
      <c r="A914" s="56"/>
      <c r="B914" s="56"/>
      <c r="C914" s="56"/>
      <c r="D914" s="56"/>
      <c r="E914" s="56"/>
      <c r="F914" s="56"/>
      <c r="G914" s="56"/>
      <c r="H914" s="56"/>
      <c r="I914" s="56"/>
      <c r="J914" s="56"/>
      <c r="K914" s="56"/>
      <c r="L914" s="56"/>
      <c r="M914" s="56"/>
      <c r="N914" s="56"/>
      <c r="O914" s="56"/>
      <c r="P914" s="56"/>
      <c r="Q914" s="56"/>
      <c r="R914" s="56"/>
      <c r="S914" s="56"/>
      <c r="T914" s="56"/>
      <c r="U914" s="56"/>
      <c r="V914" s="56"/>
      <c r="W914" s="56"/>
      <c r="X914" s="56"/>
      <c r="Y914" s="56"/>
      <c r="Z914" s="56"/>
    </row>
    <row r="915" spans="1:26" ht="15.75" customHeight="1">
      <c r="A915" s="56"/>
      <c r="B915" s="56"/>
      <c r="C915" s="56"/>
      <c r="D915" s="56"/>
      <c r="E915" s="56"/>
      <c r="F915" s="56"/>
      <c r="G915" s="56"/>
      <c r="H915" s="56"/>
      <c r="I915" s="56"/>
      <c r="J915" s="56"/>
      <c r="K915" s="56"/>
      <c r="L915" s="56"/>
      <c r="M915" s="56"/>
      <c r="N915" s="56"/>
      <c r="O915" s="56"/>
      <c r="P915" s="56"/>
      <c r="Q915" s="56"/>
      <c r="R915" s="56"/>
      <c r="S915" s="56"/>
      <c r="T915" s="56"/>
      <c r="U915" s="56"/>
      <c r="V915" s="56"/>
      <c r="W915" s="56"/>
      <c r="X915" s="56"/>
      <c r="Y915" s="56"/>
      <c r="Z915" s="56"/>
    </row>
    <row r="916" spans="1:26" ht="15.75" customHeight="1">
      <c r="A916" s="56"/>
      <c r="B916" s="56"/>
      <c r="C916" s="56"/>
      <c r="D916" s="56"/>
      <c r="E916" s="56"/>
      <c r="F916" s="56"/>
      <c r="G916" s="56"/>
      <c r="H916" s="56"/>
      <c r="I916" s="56"/>
      <c r="J916" s="56"/>
      <c r="K916" s="56"/>
      <c r="L916" s="56"/>
      <c r="M916" s="56"/>
      <c r="N916" s="56"/>
      <c r="O916" s="56"/>
      <c r="P916" s="56"/>
      <c r="Q916" s="56"/>
      <c r="R916" s="56"/>
      <c r="S916" s="56"/>
      <c r="T916" s="56"/>
      <c r="U916" s="56"/>
      <c r="V916" s="56"/>
      <c r="W916" s="56"/>
      <c r="X916" s="56"/>
      <c r="Y916" s="56"/>
      <c r="Z916" s="56"/>
    </row>
    <row r="917" spans="1:26" ht="15.75" customHeight="1">
      <c r="A917" s="56"/>
      <c r="B917" s="56"/>
      <c r="C917" s="56"/>
      <c r="D917" s="56"/>
      <c r="E917" s="56"/>
      <c r="F917" s="56"/>
      <c r="G917" s="56"/>
      <c r="H917" s="56"/>
      <c r="I917" s="56"/>
      <c r="J917" s="56"/>
      <c r="K917" s="56"/>
      <c r="L917" s="56"/>
      <c r="M917" s="56"/>
      <c r="N917" s="56"/>
      <c r="O917" s="56"/>
      <c r="P917" s="56"/>
      <c r="Q917" s="56"/>
      <c r="R917" s="56"/>
      <c r="S917" s="56"/>
      <c r="T917" s="56"/>
      <c r="U917" s="56"/>
      <c r="V917" s="56"/>
      <c r="W917" s="56"/>
      <c r="X917" s="56"/>
      <c r="Y917" s="56"/>
      <c r="Z917" s="56"/>
    </row>
    <row r="918" spans="1:26" ht="15.75" customHeight="1">
      <c r="A918" s="56"/>
      <c r="B918" s="56"/>
      <c r="C918" s="56"/>
      <c r="D918" s="56"/>
      <c r="E918" s="56"/>
      <c r="F918" s="56"/>
      <c r="G918" s="56"/>
      <c r="H918" s="56"/>
      <c r="I918" s="56"/>
      <c r="J918" s="56"/>
      <c r="K918" s="56"/>
      <c r="L918" s="56"/>
      <c r="M918" s="56"/>
      <c r="N918" s="56"/>
      <c r="O918" s="56"/>
      <c r="P918" s="56"/>
      <c r="Q918" s="56"/>
      <c r="R918" s="56"/>
      <c r="S918" s="56"/>
      <c r="T918" s="56"/>
      <c r="U918" s="56"/>
      <c r="V918" s="56"/>
      <c r="W918" s="56"/>
      <c r="X918" s="56"/>
      <c r="Y918" s="56"/>
      <c r="Z918" s="56"/>
    </row>
    <row r="919" spans="1:26" ht="15.75" customHeight="1">
      <c r="A919" s="56"/>
      <c r="B919" s="56"/>
      <c r="C919" s="56"/>
      <c r="D919" s="56"/>
      <c r="E919" s="56"/>
      <c r="F919" s="56"/>
      <c r="G919" s="56"/>
      <c r="H919" s="56"/>
      <c r="I919" s="56"/>
      <c r="J919" s="56"/>
      <c r="K919" s="56"/>
      <c r="L919" s="56"/>
      <c r="M919" s="56"/>
      <c r="N919" s="56"/>
      <c r="O919" s="56"/>
      <c r="P919" s="56"/>
      <c r="Q919" s="56"/>
      <c r="R919" s="56"/>
      <c r="S919" s="56"/>
      <c r="T919" s="56"/>
      <c r="U919" s="56"/>
      <c r="V919" s="56"/>
      <c r="W919" s="56"/>
      <c r="X919" s="56"/>
      <c r="Y919" s="56"/>
      <c r="Z919" s="56"/>
    </row>
    <row r="920" spans="1:26" ht="15.75" customHeight="1">
      <c r="A920" s="56"/>
      <c r="B920" s="56"/>
      <c r="C920" s="56"/>
      <c r="D920" s="56"/>
      <c r="E920" s="56"/>
      <c r="F920" s="56"/>
      <c r="G920" s="56"/>
      <c r="H920" s="56"/>
      <c r="I920" s="56"/>
      <c r="J920" s="56"/>
      <c r="K920" s="56"/>
      <c r="L920" s="56"/>
      <c r="M920" s="56"/>
      <c r="N920" s="56"/>
      <c r="O920" s="56"/>
      <c r="P920" s="56"/>
      <c r="Q920" s="56"/>
      <c r="R920" s="56"/>
      <c r="S920" s="56"/>
      <c r="T920" s="56"/>
      <c r="U920" s="56"/>
      <c r="V920" s="56"/>
      <c r="W920" s="56"/>
      <c r="X920" s="56"/>
      <c r="Y920" s="56"/>
      <c r="Z920" s="56"/>
    </row>
    <row r="921" spans="1:26" ht="15.75" customHeight="1">
      <c r="A921" s="56"/>
      <c r="B921" s="56"/>
      <c r="C921" s="56"/>
      <c r="D921" s="56"/>
      <c r="E921" s="56"/>
      <c r="F921" s="56"/>
      <c r="G921" s="56"/>
      <c r="H921" s="56"/>
      <c r="I921" s="56"/>
      <c r="J921" s="56"/>
      <c r="K921" s="56"/>
      <c r="L921" s="56"/>
      <c r="M921" s="56"/>
      <c r="N921" s="56"/>
      <c r="O921" s="56"/>
      <c r="P921" s="56"/>
      <c r="Q921" s="56"/>
      <c r="R921" s="56"/>
      <c r="S921" s="56"/>
      <c r="T921" s="56"/>
      <c r="U921" s="56"/>
      <c r="V921" s="56"/>
      <c r="W921" s="56"/>
      <c r="X921" s="56"/>
      <c r="Y921" s="56"/>
      <c r="Z921" s="56"/>
    </row>
    <row r="922" spans="1:26" ht="15.75" customHeight="1">
      <c r="A922" s="56"/>
      <c r="B922" s="56"/>
      <c r="C922" s="56"/>
      <c r="D922" s="56"/>
      <c r="E922" s="56"/>
      <c r="F922" s="56"/>
      <c r="G922" s="56"/>
      <c r="H922" s="56"/>
      <c r="I922" s="56"/>
      <c r="J922" s="56"/>
      <c r="K922" s="56"/>
      <c r="L922" s="56"/>
      <c r="M922" s="56"/>
      <c r="N922" s="56"/>
      <c r="O922" s="56"/>
      <c r="P922" s="56"/>
      <c r="Q922" s="56"/>
      <c r="R922" s="56"/>
      <c r="S922" s="56"/>
      <c r="T922" s="56"/>
      <c r="U922" s="56"/>
      <c r="V922" s="56"/>
      <c r="W922" s="56"/>
      <c r="X922" s="56"/>
      <c r="Y922" s="56"/>
      <c r="Z922" s="56"/>
    </row>
    <row r="923" spans="1:26" ht="15.75" customHeight="1">
      <c r="A923" s="56"/>
      <c r="B923" s="56"/>
      <c r="C923" s="56"/>
      <c r="D923" s="56"/>
      <c r="E923" s="56"/>
      <c r="F923" s="56"/>
      <c r="G923" s="56"/>
      <c r="H923" s="56"/>
      <c r="I923" s="56"/>
      <c r="J923" s="56"/>
      <c r="K923" s="56"/>
      <c r="L923" s="56"/>
      <c r="M923" s="56"/>
      <c r="N923" s="56"/>
      <c r="O923" s="56"/>
      <c r="P923" s="56"/>
      <c r="Q923" s="56"/>
      <c r="R923" s="56"/>
      <c r="S923" s="56"/>
      <c r="T923" s="56"/>
      <c r="U923" s="56"/>
      <c r="V923" s="56"/>
      <c r="W923" s="56"/>
      <c r="X923" s="56"/>
      <c r="Y923" s="56"/>
      <c r="Z923" s="56"/>
    </row>
    <row r="924" spans="1:26" ht="15.75" customHeight="1">
      <c r="A924" s="56"/>
      <c r="B924" s="56"/>
      <c r="C924" s="56"/>
      <c r="D924" s="56"/>
      <c r="E924" s="56"/>
      <c r="F924" s="56"/>
      <c r="G924" s="56"/>
      <c r="H924" s="56"/>
      <c r="I924" s="56"/>
      <c r="J924" s="56"/>
      <c r="K924" s="56"/>
      <c r="L924" s="56"/>
      <c r="M924" s="56"/>
      <c r="N924" s="56"/>
      <c r="O924" s="56"/>
      <c r="P924" s="56"/>
      <c r="Q924" s="56"/>
      <c r="R924" s="56"/>
      <c r="S924" s="56"/>
      <c r="T924" s="56"/>
      <c r="U924" s="56"/>
      <c r="V924" s="56"/>
      <c r="W924" s="56"/>
      <c r="X924" s="56"/>
      <c r="Y924" s="56"/>
      <c r="Z924" s="56"/>
    </row>
    <row r="925" spans="1:26" ht="15.75" customHeight="1">
      <c r="A925" s="56"/>
      <c r="B925" s="56"/>
      <c r="C925" s="56"/>
      <c r="D925" s="56"/>
      <c r="E925" s="56"/>
      <c r="F925" s="56"/>
      <c r="G925" s="56"/>
      <c r="H925" s="56"/>
      <c r="I925" s="56"/>
      <c r="J925" s="56"/>
      <c r="K925" s="56"/>
      <c r="L925" s="56"/>
      <c r="M925" s="56"/>
      <c r="N925" s="56"/>
      <c r="O925" s="56"/>
      <c r="P925" s="56"/>
      <c r="Q925" s="56"/>
      <c r="R925" s="56"/>
      <c r="S925" s="56"/>
      <c r="T925" s="56"/>
      <c r="U925" s="56"/>
      <c r="V925" s="56"/>
      <c r="W925" s="56"/>
      <c r="X925" s="56"/>
      <c r="Y925" s="56"/>
      <c r="Z925" s="56"/>
    </row>
    <row r="926" spans="1:26" ht="15.75" customHeight="1">
      <c r="A926" s="56"/>
      <c r="B926" s="56"/>
      <c r="C926" s="56"/>
      <c r="D926" s="56"/>
      <c r="E926" s="56"/>
      <c r="F926" s="56"/>
      <c r="G926" s="56"/>
      <c r="H926" s="56"/>
      <c r="I926" s="56"/>
      <c r="J926" s="56"/>
      <c r="K926" s="56"/>
      <c r="L926" s="56"/>
      <c r="M926" s="56"/>
      <c r="N926" s="56"/>
      <c r="O926" s="56"/>
      <c r="P926" s="56"/>
      <c r="Q926" s="56"/>
      <c r="R926" s="56"/>
      <c r="S926" s="56"/>
      <c r="T926" s="56"/>
      <c r="U926" s="56"/>
      <c r="V926" s="56"/>
      <c r="W926" s="56"/>
      <c r="X926" s="56"/>
      <c r="Y926" s="56"/>
      <c r="Z926" s="56"/>
    </row>
    <row r="927" spans="1:26" ht="15.75" customHeight="1">
      <c r="A927" s="56"/>
      <c r="B927" s="56"/>
      <c r="C927" s="56"/>
      <c r="D927" s="56"/>
      <c r="E927" s="56"/>
      <c r="F927" s="56"/>
      <c r="G927" s="56"/>
      <c r="H927" s="56"/>
      <c r="I927" s="56"/>
      <c r="J927" s="56"/>
      <c r="K927" s="56"/>
      <c r="L927" s="56"/>
      <c r="M927" s="56"/>
      <c r="N927" s="56"/>
      <c r="O927" s="56"/>
      <c r="P927" s="56"/>
      <c r="Q927" s="56"/>
      <c r="R927" s="56"/>
      <c r="S927" s="56"/>
      <c r="T927" s="56"/>
      <c r="U927" s="56"/>
      <c r="V927" s="56"/>
      <c r="W927" s="56"/>
      <c r="X927" s="56"/>
      <c r="Y927" s="56"/>
      <c r="Z927" s="56"/>
    </row>
    <row r="928" spans="1:26" ht="15.75" customHeight="1">
      <c r="A928" s="56"/>
      <c r="B928" s="56"/>
      <c r="C928" s="56"/>
      <c r="D928" s="56"/>
      <c r="E928" s="56"/>
      <c r="F928" s="56"/>
      <c r="G928" s="56"/>
      <c r="H928" s="56"/>
      <c r="I928" s="56"/>
      <c r="J928" s="56"/>
      <c r="K928" s="56"/>
      <c r="L928" s="56"/>
      <c r="M928" s="56"/>
      <c r="N928" s="56"/>
      <c r="O928" s="56"/>
      <c r="P928" s="56"/>
      <c r="Q928" s="56"/>
      <c r="R928" s="56"/>
      <c r="S928" s="56"/>
      <c r="T928" s="56"/>
      <c r="U928" s="56"/>
      <c r="V928" s="56"/>
      <c r="W928" s="56"/>
      <c r="X928" s="56"/>
      <c r="Y928" s="56"/>
      <c r="Z928" s="56"/>
    </row>
    <row r="929" spans="1:26" ht="15.75" customHeight="1">
      <c r="A929" s="56"/>
      <c r="B929" s="56"/>
      <c r="C929" s="56"/>
      <c r="D929" s="56"/>
      <c r="E929" s="56"/>
      <c r="F929" s="56"/>
      <c r="G929" s="56"/>
      <c r="H929" s="56"/>
      <c r="I929" s="56"/>
      <c r="J929" s="56"/>
      <c r="K929" s="56"/>
      <c r="L929" s="56"/>
      <c r="M929" s="56"/>
      <c r="N929" s="56"/>
      <c r="O929" s="56"/>
      <c r="P929" s="56"/>
      <c r="Q929" s="56"/>
      <c r="R929" s="56"/>
      <c r="S929" s="56"/>
      <c r="T929" s="56"/>
      <c r="U929" s="56"/>
      <c r="V929" s="56"/>
      <c r="W929" s="56"/>
      <c r="X929" s="56"/>
      <c r="Y929" s="56"/>
      <c r="Z929" s="56"/>
    </row>
    <row r="930" spans="1:26" ht="15.75" customHeight="1">
      <c r="A930" s="56"/>
      <c r="B930" s="56"/>
      <c r="C930" s="56"/>
      <c r="D930" s="56"/>
      <c r="E930" s="56"/>
      <c r="F930" s="56"/>
      <c r="G930" s="56"/>
      <c r="H930" s="56"/>
      <c r="I930" s="56"/>
      <c r="J930" s="56"/>
      <c r="K930" s="56"/>
      <c r="L930" s="56"/>
      <c r="M930" s="56"/>
      <c r="N930" s="56"/>
      <c r="O930" s="56"/>
      <c r="P930" s="56"/>
      <c r="Q930" s="56"/>
      <c r="R930" s="56"/>
      <c r="S930" s="56"/>
      <c r="T930" s="56"/>
      <c r="U930" s="56"/>
      <c r="V930" s="56"/>
      <c r="W930" s="56"/>
      <c r="X930" s="56"/>
      <c r="Y930" s="56"/>
      <c r="Z930" s="56"/>
    </row>
    <row r="931" spans="1:26" ht="15.75" customHeight="1">
      <c r="A931" s="56"/>
      <c r="B931" s="56"/>
      <c r="C931" s="56"/>
      <c r="D931" s="56"/>
      <c r="E931" s="56"/>
      <c r="F931" s="56"/>
      <c r="G931" s="56"/>
      <c r="H931" s="56"/>
      <c r="I931" s="56"/>
      <c r="J931" s="56"/>
      <c r="K931" s="56"/>
      <c r="L931" s="56"/>
      <c r="M931" s="56"/>
      <c r="N931" s="56"/>
      <c r="O931" s="56"/>
      <c r="P931" s="56"/>
      <c r="Q931" s="56"/>
      <c r="R931" s="56"/>
      <c r="S931" s="56"/>
      <c r="T931" s="56"/>
      <c r="U931" s="56"/>
      <c r="V931" s="56"/>
      <c r="W931" s="56"/>
      <c r="X931" s="56"/>
      <c r="Y931" s="56"/>
      <c r="Z931" s="56"/>
    </row>
    <row r="932" spans="1:26" ht="15.75" customHeight="1">
      <c r="A932" s="56"/>
      <c r="B932" s="56"/>
      <c r="C932" s="56"/>
      <c r="D932" s="56"/>
      <c r="E932" s="56"/>
      <c r="F932" s="56"/>
      <c r="G932" s="56"/>
      <c r="H932" s="56"/>
      <c r="I932" s="56"/>
      <c r="J932" s="56"/>
      <c r="K932" s="56"/>
      <c r="L932" s="56"/>
      <c r="M932" s="56"/>
      <c r="N932" s="56"/>
      <c r="O932" s="56"/>
      <c r="P932" s="56"/>
      <c r="Q932" s="56"/>
      <c r="R932" s="56"/>
      <c r="S932" s="56"/>
      <c r="T932" s="56"/>
      <c r="U932" s="56"/>
      <c r="V932" s="56"/>
      <c r="W932" s="56"/>
      <c r="X932" s="56"/>
      <c r="Y932" s="56"/>
      <c r="Z932" s="56"/>
    </row>
    <row r="933" spans="1:26" ht="15.75" customHeight="1">
      <c r="A933" s="56"/>
      <c r="B933" s="56"/>
      <c r="C933" s="56"/>
      <c r="D933" s="56"/>
      <c r="E933" s="56"/>
      <c r="F933" s="56"/>
      <c r="G933" s="56"/>
      <c r="H933" s="56"/>
      <c r="I933" s="56"/>
      <c r="J933" s="56"/>
      <c r="K933" s="56"/>
      <c r="L933" s="56"/>
      <c r="M933" s="56"/>
      <c r="N933" s="56"/>
      <c r="O933" s="56"/>
      <c r="P933" s="56"/>
      <c r="Q933" s="56"/>
      <c r="R933" s="56"/>
      <c r="S933" s="56"/>
      <c r="T933" s="56"/>
      <c r="U933" s="56"/>
      <c r="V933" s="56"/>
      <c r="W933" s="56"/>
      <c r="X933" s="56"/>
      <c r="Y933" s="56"/>
      <c r="Z933" s="56"/>
    </row>
    <row r="934" spans="1:26" ht="15.75" customHeight="1">
      <c r="A934" s="56"/>
      <c r="B934" s="56"/>
      <c r="C934" s="56"/>
      <c r="D934" s="56"/>
      <c r="E934" s="56"/>
      <c r="F934" s="56"/>
      <c r="G934" s="56"/>
      <c r="H934" s="56"/>
      <c r="I934" s="56"/>
      <c r="J934" s="56"/>
      <c r="K934" s="56"/>
      <c r="L934" s="56"/>
      <c r="M934" s="56"/>
      <c r="N934" s="56"/>
      <c r="O934" s="56"/>
      <c r="P934" s="56"/>
      <c r="Q934" s="56"/>
      <c r="R934" s="56"/>
      <c r="S934" s="56"/>
      <c r="T934" s="56"/>
      <c r="U934" s="56"/>
      <c r="V934" s="56"/>
      <c r="W934" s="56"/>
      <c r="X934" s="56"/>
      <c r="Y934" s="56"/>
      <c r="Z934" s="56"/>
    </row>
    <row r="935" spans="1:26" ht="15.75" customHeight="1">
      <c r="A935" s="56"/>
      <c r="B935" s="56"/>
      <c r="C935" s="56"/>
      <c r="D935" s="56"/>
      <c r="E935" s="56"/>
      <c r="F935" s="56"/>
      <c r="G935" s="56"/>
      <c r="H935" s="56"/>
      <c r="I935" s="56"/>
      <c r="J935" s="56"/>
      <c r="K935" s="56"/>
      <c r="L935" s="56"/>
      <c r="M935" s="56"/>
      <c r="N935" s="56"/>
      <c r="O935" s="56"/>
      <c r="P935" s="56"/>
      <c r="Q935" s="56"/>
      <c r="R935" s="56"/>
      <c r="S935" s="56"/>
      <c r="T935" s="56"/>
      <c r="U935" s="56"/>
      <c r="V935" s="56"/>
      <c r="W935" s="56"/>
      <c r="X935" s="56"/>
      <c r="Y935" s="56"/>
      <c r="Z935" s="56"/>
    </row>
    <row r="936" spans="1:26" ht="15.75" customHeight="1">
      <c r="A936" s="56"/>
      <c r="B936" s="56"/>
      <c r="C936" s="56"/>
      <c r="D936" s="56"/>
      <c r="E936" s="56"/>
      <c r="F936" s="56"/>
      <c r="G936" s="56"/>
      <c r="H936" s="56"/>
      <c r="I936" s="56"/>
      <c r="J936" s="56"/>
      <c r="K936" s="56"/>
      <c r="L936" s="56"/>
      <c r="M936" s="56"/>
      <c r="N936" s="56"/>
      <c r="O936" s="56"/>
      <c r="P936" s="56"/>
      <c r="Q936" s="56"/>
      <c r="R936" s="56"/>
      <c r="S936" s="56"/>
      <c r="T936" s="56"/>
      <c r="U936" s="56"/>
      <c r="V936" s="56"/>
      <c r="W936" s="56"/>
      <c r="X936" s="56"/>
      <c r="Y936" s="56"/>
      <c r="Z936" s="56"/>
    </row>
    <row r="937" spans="1:26" ht="15.75" customHeight="1">
      <c r="A937" s="56"/>
      <c r="B937" s="56"/>
      <c r="C937" s="56"/>
      <c r="D937" s="56"/>
      <c r="E937" s="56"/>
      <c r="F937" s="56"/>
      <c r="G937" s="56"/>
      <c r="H937" s="56"/>
      <c r="I937" s="56"/>
      <c r="J937" s="56"/>
      <c r="K937" s="56"/>
      <c r="L937" s="56"/>
      <c r="M937" s="56"/>
      <c r="N937" s="56"/>
      <c r="O937" s="56"/>
      <c r="P937" s="56"/>
      <c r="Q937" s="56"/>
      <c r="R937" s="56"/>
      <c r="S937" s="56"/>
      <c r="T937" s="56"/>
      <c r="U937" s="56"/>
      <c r="V937" s="56"/>
      <c r="W937" s="56"/>
      <c r="X937" s="56"/>
      <c r="Y937" s="56"/>
      <c r="Z937" s="56"/>
    </row>
    <row r="938" spans="1:26" ht="15.75" customHeight="1">
      <c r="A938" s="56"/>
      <c r="B938" s="56"/>
      <c r="C938" s="56"/>
      <c r="D938" s="56"/>
      <c r="E938" s="56"/>
      <c r="F938" s="56"/>
      <c r="G938" s="56"/>
      <c r="H938" s="56"/>
      <c r="I938" s="56"/>
      <c r="J938" s="56"/>
      <c r="K938" s="56"/>
      <c r="L938" s="56"/>
      <c r="M938" s="56"/>
      <c r="N938" s="56"/>
      <c r="O938" s="56"/>
      <c r="P938" s="56"/>
      <c r="Q938" s="56"/>
      <c r="R938" s="56"/>
      <c r="S938" s="56"/>
      <c r="T938" s="56"/>
      <c r="U938" s="56"/>
      <c r="V938" s="56"/>
      <c r="W938" s="56"/>
      <c r="X938" s="56"/>
      <c r="Y938" s="56"/>
      <c r="Z938" s="56"/>
    </row>
    <row r="939" spans="1:26" ht="15.75" customHeight="1">
      <c r="A939" s="56"/>
      <c r="B939" s="56"/>
      <c r="C939" s="56"/>
      <c r="D939" s="56"/>
      <c r="E939" s="56"/>
      <c r="F939" s="56"/>
      <c r="G939" s="56"/>
      <c r="H939" s="56"/>
      <c r="I939" s="56"/>
      <c r="J939" s="56"/>
      <c r="K939" s="56"/>
      <c r="L939" s="56"/>
      <c r="M939" s="56"/>
      <c r="N939" s="56"/>
      <c r="O939" s="56"/>
      <c r="P939" s="56"/>
      <c r="Q939" s="56"/>
      <c r="R939" s="56"/>
      <c r="S939" s="56"/>
      <c r="T939" s="56"/>
      <c r="U939" s="56"/>
      <c r="V939" s="56"/>
      <c r="W939" s="56"/>
      <c r="X939" s="56"/>
      <c r="Y939" s="56"/>
      <c r="Z939" s="56"/>
    </row>
    <row r="940" spans="1:26" ht="15.75" customHeight="1">
      <c r="A940" s="56"/>
      <c r="B940" s="56"/>
      <c r="C940" s="56"/>
      <c r="D940" s="56"/>
      <c r="E940" s="56"/>
      <c r="F940" s="56"/>
      <c r="G940" s="56"/>
      <c r="H940" s="56"/>
      <c r="I940" s="56"/>
      <c r="J940" s="56"/>
      <c r="K940" s="56"/>
      <c r="L940" s="56"/>
      <c r="M940" s="56"/>
      <c r="N940" s="56"/>
      <c r="O940" s="56"/>
      <c r="P940" s="56"/>
      <c r="Q940" s="56"/>
      <c r="R940" s="56"/>
      <c r="S940" s="56"/>
      <c r="T940" s="56"/>
      <c r="U940" s="56"/>
      <c r="V940" s="56"/>
      <c r="W940" s="56"/>
      <c r="X940" s="56"/>
      <c r="Y940" s="56"/>
      <c r="Z940" s="56"/>
    </row>
    <row r="941" spans="1:26" ht="15.75" customHeight="1">
      <c r="A941" s="56"/>
      <c r="B941" s="56"/>
      <c r="C941" s="56"/>
      <c r="D941" s="56"/>
      <c r="E941" s="56"/>
      <c r="F941" s="56"/>
      <c r="G941" s="56"/>
      <c r="H941" s="56"/>
      <c r="I941" s="56"/>
      <c r="J941" s="56"/>
      <c r="K941" s="56"/>
      <c r="L941" s="56"/>
      <c r="M941" s="56"/>
      <c r="N941" s="56"/>
      <c r="O941" s="56"/>
      <c r="P941" s="56"/>
      <c r="Q941" s="56"/>
      <c r="R941" s="56"/>
      <c r="S941" s="56"/>
      <c r="T941" s="56"/>
      <c r="U941" s="56"/>
      <c r="V941" s="56"/>
      <c r="W941" s="56"/>
      <c r="X941" s="56"/>
      <c r="Y941" s="56"/>
      <c r="Z941" s="56"/>
    </row>
    <row r="942" spans="1:26" ht="15.75" customHeight="1">
      <c r="A942" s="56"/>
      <c r="B942" s="56"/>
      <c r="C942" s="56"/>
      <c r="D942" s="56"/>
      <c r="E942" s="56"/>
      <c r="F942" s="56"/>
      <c r="G942" s="56"/>
      <c r="H942" s="56"/>
      <c r="I942" s="56"/>
      <c r="J942" s="56"/>
      <c r="K942" s="56"/>
      <c r="L942" s="56"/>
      <c r="M942" s="56"/>
      <c r="N942" s="56"/>
      <c r="O942" s="56"/>
      <c r="P942" s="56"/>
      <c r="Q942" s="56"/>
      <c r="R942" s="56"/>
      <c r="S942" s="56"/>
      <c r="T942" s="56"/>
      <c r="U942" s="56"/>
      <c r="V942" s="56"/>
      <c r="W942" s="56"/>
      <c r="X942" s="56"/>
      <c r="Y942" s="56"/>
      <c r="Z942" s="56"/>
    </row>
    <row r="943" spans="1:26" ht="15.75" customHeight="1">
      <c r="A943" s="56"/>
      <c r="B943" s="56"/>
      <c r="C943" s="56"/>
      <c r="D943" s="56"/>
      <c r="E943" s="56"/>
      <c r="F943" s="56"/>
      <c r="G943" s="56"/>
      <c r="H943" s="56"/>
      <c r="I943" s="56"/>
      <c r="J943" s="56"/>
      <c r="K943" s="56"/>
      <c r="L943" s="56"/>
      <c r="M943" s="56"/>
      <c r="N943" s="56"/>
      <c r="O943" s="56"/>
      <c r="P943" s="56"/>
      <c r="Q943" s="56"/>
      <c r="R943" s="56"/>
      <c r="S943" s="56"/>
      <c r="T943" s="56"/>
      <c r="U943" s="56"/>
      <c r="V943" s="56"/>
      <c r="W943" s="56"/>
      <c r="X943" s="56"/>
      <c r="Y943" s="56"/>
      <c r="Z943" s="56"/>
    </row>
    <row r="944" spans="1:26" ht="15.75" customHeight="1">
      <c r="A944" s="56"/>
      <c r="B944" s="56"/>
      <c r="C944" s="56"/>
      <c r="D944" s="56"/>
      <c r="E944" s="56"/>
      <c r="F944" s="56"/>
      <c r="G944" s="56"/>
      <c r="H944" s="56"/>
      <c r="I944" s="56"/>
      <c r="J944" s="56"/>
      <c r="K944" s="56"/>
      <c r="L944" s="56"/>
      <c r="M944" s="56"/>
      <c r="N944" s="56"/>
      <c r="O944" s="56"/>
      <c r="P944" s="56"/>
      <c r="Q944" s="56"/>
      <c r="R944" s="56"/>
      <c r="S944" s="56"/>
      <c r="T944" s="56"/>
      <c r="U944" s="56"/>
      <c r="V944" s="56"/>
      <c r="W944" s="56"/>
      <c r="X944" s="56"/>
      <c r="Y944" s="56"/>
      <c r="Z944" s="56"/>
    </row>
    <row r="945" spans="1:26" ht="15.75" customHeight="1">
      <c r="A945" s="56"/>
      <c r="B945" s="56"/>
      <c r="C945" s="56"/>
      <c r="D945" s="56"/>
      <c r="E945" s="56"/>
      <c r="F945" s="56"/>
      <c r="G945" s="56"/>
      <c r="H945" s="56"/>
      <c r="I945" s="56"/>
      <c r="J945" s="56"/>
      <c r="K945" s="56"/>
      <c r="L945" s="56"/>
      <c r="M945" s="56"/>
      <c r="N945" s="56"/>
      <c r="O945" s="56"/>
      <c r="P945" s="56"/>
      <c r="Q945" s="56"/>
      <c r="R945" s="56"/>
      <c r="S945" s="56"/>
      <c r="T945" s="56"/>
      <c r="U945" s="56"/>
      <c r="V945" s="56"/>
      <c r="W945" s="56"/>
      <c r="X945" s="56"/>
      <c r="Y945" s="56"/>
      <c r="Z945" s="56"/>
    </row>
    <row r="946" spans="1:26" ht="15.75" customHeight="1">
      <c r="A946" s="56"/>
      <c r="B946" s="56"/>
      <c r="C946" s="56"/>
      <c r="D946" s="56"/>
      <c r="E946" s="56"/>
      <c r="F946" s="56"/>
      <c r="G946" s="56"/>
      <c r="H946" s="56"/>
      <c r="I946" s="56"/>
      <c r="J946" s="56"/>
      <c r="K946" s="56"/>
      <c r="L946" s="56"/>
      <c r="M946" s="56"/>
      <c r="N946" s="56"/>
      <c r="O946" s="56"/>
      <c r="P946" s="56"/>
      <c r="Q946" s="56"/>
      <c r="R946" s="56"/>
      <c r="S946" s="56"/>
      <c r="T946" s="56"/>
      <c r="U946" s="56"/>
      <c r="V946" s="56"/>
      <c r="W946" s="56"/>
      <c r="X946" s="56"/>
      <c r="Y946" s="56"/>
      <c r="Z946" s="56"/>
    </row>
    <row r="947" spans="1:26" ht="15.75" customHeight="1">
      <c r="A947" s="56"/>
      <c r="B947" s="56"/>
      <c r="C947" s="56"/>
      <c r="D947" s="56"/>
      <c r="E947" s="56"/>
      <c r="F947" s="56"/>
      <c r="G947" s="56"/>
      <c r="H947" s="56"/>
      <c r="I947" s="56"/>
      <c r="J947" s="56"/>
      <c r="K947" s="56"/>
      <c r="L947" s="56"/>
      <c r="M947" s="56"/>
      <c r="N947" s="56"/>
      <c r="O947" s="56"/>
      <c r="P947" s="56"/>
      <c r="Q947" s="56"/>
      <c r="R947" s="56"/>
      <c r="S947" s="56"/>
      <c r="T947" s="56"/>
      <c r="U947" s="56"/>
      <c r="V947" s="56"/>
      <c r="W947" s="56"/>
      <c r="X947" s="56"/>
      <c r="Y947" s="56"/>
      <c r="Z947" s="56"/>
    </row>
    <row r="948" spans="1:26" ht="15.75" customHeight="1">
      <c r="A948" s="56"/>
      <c r="B948" s="56"/>
      <c r="C948" s="56"/>
      <c r="D948" s="56"/>
      <c r="E948" s="56"/>
      <c r="F948" s="56"/>
      <c r="G948" s="56"/>
      <c r="H948" s="56"/>
      <c r="I948" s="56"/>
      <c r="J948" s="56"/>
      <c r="K948" s="56"/>
      <c r="L948" s="56"/>
      <c r="M948" s="56"/>
      <c r="N948" s="56"/>
      <c r="O948" s="56"/>
      <c r="P948" s="56"/>
      <c r="Q948" s="56"/>
      <c r="R948" s="56"/>
      <c r="S948" s="56"/>
      <c r="T948" s="56"/>
      <c r="U948" s="56"/>
      <c r="V948" s="56"/>
      <c r="W948" s="56"/>
      <c r="X948" s="56"/>
      <c r="Y948" s="56"/>
      <c r="Z948" s="56"/>
    </row>
    <row r="949" spans="1:26" ht="15.75" customHeight="1">
      <c r="A949" s="56"/>
      <c r="B949" s="56"/>
      <c r="C949" s="56"/>
      <c r="D949" s="56"/>
      <c r="E949" s="56"/>
      <c r="F949" s="56"/>
      <c r="G949" s="56"/>
      <c r="H949" s="56"/>
      <c r="I949" s="56"/>
      <c r="J949" s="56"/>
      <c r="K949" s="56"/>
      <c r="L949" s="56"/>
      <c r="M949" s="56"/>
      <c r="N949" s="56"/>
      <c r="O949" s="56"/>
      <c r="P949" s="56"/>
      <c r="Q949" s="56"/>
      <c r="R949" s="56"/>
      <c r="S949" s="56"/>
      <c r="T949" s="56"/>
      <c r="U949" s="56"/>
      <c r="V949" s="56"/>
      <c r="W949" s="56"/>
      <c r="X949" s="56"/>
      <c r="Y949" s="56"/>
      <c r="Z949" s="56"/>
    </row>
    <row r="950" spans="1:26" ht="15.75" customHeight="1">
      <c r="A950" s="56"/>
      <c r="B950" s="56"/>
      <c r="C950" s="56"/>
      <c r="D950" s="56"/>
      <c r="E950" s="56"/>
      <c r="F950" s="56"/>
      <c r="G950" s="56"/>
      <c r="H950" s="56"/>
      <c r="I950" s="56"/>
      <c r="J950" s="56"/>
      <c r="K950" s="56"/>
      <c r="L950" s="56"/>
      <c r="M950" s="56"/>
      <c r="N950" s="56"/>
      <c r="O950" s="56"/>
      <c r="P950" s="56"/>
      <c r="Q950" s="56"/>
      <c r="R950" s="56"/>
      <c r="S950" s="56"/>
      <c r="T950" s="56"/>
      <c r="U950" s="56"/>
      <c r="V950" s="56"/>
      <c r="W950" s="56"/>
      <c r="X950" s="56"/>
      <c r="Y950" s="56"/>
      <c r="Z950" s="56"/>
    </row>
    <row r="951" spans="1:26" ht="15.75" customHeight="1">
      <c r="A951" s="56"/>
      <c r="B951" s="56"/>
      <c r="C951" s="56"/>
      <c r="D951" s="56"/>
      <c r="E951" s="56"/>
      <c r="F951" s="56"/>
      <c r="G951" s="56"/>
      <c r="H951" s="56"/>
      <c r="I951" s="56"/>
      <c r="J951" s="56"/>
      <c r="K951" s="56"/>
      <c r="L951" s="56"/>
      <c r="M951" s="56"/>
      <c r="N951" s="56"/>
      <c r="O951" s="56"/>
      <c r="P951" s="56"/>
      <c r="Q951" s="56"/>
      <c r="R951" s="56"/>
      <c r="S951" s="56"/>
      <c r="T951" s="56"/>
      <c r="U951" s="56"/>
      <c r="V951" s="56"/>
      <c r="W951" s="56"/>
      <c r="X951" s="56"/>
      <c r="Y951" s="56"/>
      <c r="Z951" s="56"/>
    </row>
    <row r="952" spans="1:26" ht="15.75" customHeight="1">
      <c r="A952" s="56"/>
      <c r="B952" s="56"/>
      <c r="C952" s="56"/>
      <c r="D952" s="56"/>
      <c r="E952" s="56"/>
      <c r="F952" s="56"/>
      <c r="G952" s="56"/>
      <c r="H952" s="56"/>
      <c r="I952" s="56"/>
      <c r="J952" s="56"/>
      <c r="K952" s="56"/>
      <c r="L952" s="56"/>
      <c r="M952" s="56"/>
      <c r="N952" s="56"/>
      <c r="O952" s="56"/>
      <c r="P952" s="56"/>
      <c r="Q952" s="56"/>
      <c r="R952" s="56"/>
      <c r="S952" s="56"/>
      <c r="T952" s="56"/>
      <c r="U952" s="56"/>
      <c r="V952" s="56"/>
      <c r="W952" s="56"/>
      <c r="X952" s="56"/>
      <c r="Y952" s="56"/>
      <c r="Z952" s="56"/>
    </row>
    <row r="953" spans="1:26" ht="15.75" customHeight="1">
      <c r="A953" s="56"/>
      <c r="B953" s="56"/>
      <c r="C953" s="56"/>
      <c r="D953" s="56"/>
      <c r="E953" s="56"/>
      <c r="F953" s="56"/>
      <c r="G953" s="56"/>
      <c r="H953" s="56"/>
      <c r="I953" s="56"/>
      <c r="J953" s="56"/>
      <c r="K953" s="56"/>
      <c r="L953" s="56"/>
      <c r="M953" s="56"/>
      <c r="N953" s="56"/>
      <c r="O953" s="56"/>
      <c r="P953" s="56"/>
      <c r="Q953" s="56"/>
      <c r="R953" s="56"/>
      <c r="S953" s="56"/>
      <c r="T953" s="56"/>
      <c r="U953" s="56"/>
      <c r="V953" s="56"/>
      <c r="W953" s="56"/>
      <c r="X953" s="56"/>
      <c r="Y953" s="56"/>
      <c r="Z953" s="56"/>
    </row>
    <row r="954" spans="1:26" ht="15.75" customHeight="1">
      <c r="A954" s="56"/>
      <c r="B954" s="56"/>
      <c r="C954" s="56"/>
      <c r="D954" s="56"/>
      <c r="E954" s="56"/>
      <c r="F954" s="56"/>
      <c r="G954" s="56"/>
      <c r="H954" s="56"/>
      <c r="I954" s="56"/>
      <c r="J954" s="56"/>
      <c r="K954" s="56"/>
      <c r="L954" s="56"/>
      <c r="M954" s="56"/>
      <c r="N954" s="56"/>
      <c r="O954" s="56"/>
      <c r="P954" s="56"/>
      <c r="Q954" s="56"/>
      <c r="R954" s="56"/>
      <c r="S954" s="56"/>
      <c r="T954" s="56"/>
      <c r="U954" s="56"/>
      <c r="V954" s="56"/>
      <c r="W954" s="56"/>
      <c r="X954" s="56"/>
      <c r="Y954" s="56"/>
      <c r="Z954" s="56"/>
    </row>
    <row r="955" spans="1:26" ht="15.75" customHeight="1">
      <c r="A955" s="56"/>
      <c r="B955" s="56"/>
      <c r="C955" s="56"/>
      <c r="D955" s="56"/>
      <c r="E955" s="56"/>
      <c r="F955" s="56"/>
      <c r="G955" s="56"/>
      <c r="H955" s="56"/>
      <c r="I955" s="56"/>
      <c r="J955" s="56"/>
      <c r="K955" s="56"/>
      <c r="L955" s="56"/>
      <c r="M955" s="56"/>
      <c r="N955" s="56"/>
      <c r="O955" s="56"/>
      <c r="P955" s="56"/>
      <c r="Q955" s="56"/>
      <c r="R955" s="56"/>
      <c r="S955" s="56"/>
      <c r="T955" s="56"/>
      <c r="U955" s="56"/>
      <c r="V955" s="56"/>
      <c r="W955" s="56"/>
      <c r="X955" s="56"/>
      <c r="Y955" s="56"/>
      <c r="Z955" s="56"/>
    </row>
    <row r="956" spans="1:26" ht="15.75" customHeight="1">
      <c r="A956" s="56"/>
      <c r="B956" s="56"/>
      <c r="C956" s="56"/>
      <c r="D956" s="56"/>
      <c r="E956" s="56"/>
      <c r="F956" s="56"/>
      <c r="G956" s="56"/>
      <c r="H956" s="56"/>
      <c r="I956" s="56"/>
      <c r="J956" s="56"/>
      <c r="K956" s="56"/>
      <c r="L956" s="56"/>
      <c r="M956" s="56"/>
      <c r="N956" s="56"/>
      <c r="O956" s="56"/>
      <c r="P956" s="56"/>
      <c r="Q956" s="56"/>
      <c r="R956" s="56"/>
      <c r="S956" s="56"/>
      <c r="T956" s="56"/>
      <c r="U956" s="56"/>
      <c r="V956" s="56"/>
      <c r="W956" s="56"/>
      <c r="X956" s="56"/>
      <c r="Y956" s="56"/>
      <c r="Z956" s="56"/>
    </row>
    <row r="957" spans="1:26" ht="15.75" customHeight="1">
      <c r="A957" s="56"/>
      <c r="B957" s="56"/>
      <c r="C957" s="56"/>
      <c r="D957" s="56"/>
      <c r="E957" s="56"/>
      <c r="F957" s="56"/>
      <c r="G957" s="56"/>
      <c r="H957" s="56"/>
      <c r="I957" s="56"/>
      <c r="J957" s="56"/>
      <c r="K957" s="56"/>
      <c r="L957" s="56"/>
      <c r="M957" s="56"/>
      <c r="N957" s="56"/>
      <c r="O957" s="56"/>
      <c r="P957" s="56"/>
      <c r="Q957" s="56"/>
      <c r="R957" s="56"/>
      <c r="S957" s="56"/>
      <c r="T957" s="56"/>
      <c r="U957" s="56"/>
      <c r="V957" s="56"/>
      <c r="W957" s="56"/>
      <c r="X957" s="56"/>
      <c r="Y957" s="56"/>
      <c r="Z957" s="56"/>
    </row>
    <row r="958" spans="1:26" ht="15.75" customHeight="1">
      <c r="A958" s="56"/>
      <c r="B958" s="56"/>
      <c r="C958" s="56"/>
      <c r="D958" s="56"/>
      <c r="E958" s="56"/>
      <c r="F958" s="56"/>
      <c r="G958" s="56"/>
      <c r="H958" s="56"/>
      <c r="I958" s="56"/>
      <c r="J958" s="56"/>
      <c r="K958" s="56"/>
      <c r="L958" s="56"/>
      <c r="M958" s="56"/>
      <c r="N958" s="56"/>
      <c r="O958" s="56"/>
      <c r="P958" s="56"/>
      <c r="Q958" s="56"/>
      <c r="R958" s="56"/>
      <c r="S958" s="56"/>
      <c r="T958" s="56"/>
      <c r="U958" s="56"/>
      <c r="V958" s="56"/>
      <c r="W958" s="56"/>
      <c r="X958" s="56"/>
      <c r="Y958" s="56"/>
      <c r="Z958" s="56"/>
    </row>
    <row r="959" spans="1:26" ht="15.75" customHeight="1">
      <c r="A959" s="56"/>
      <c r="B959" s="56"/>
      <c r="C959" s="56"/>
      <c r="D959" s="56"/>
      <c r="E959" s="56"/>
      <c r="F959" s="56"/>
      <c r="G959" s="56"/>
      <c r="H959" s="56"/>
      <c r="I959" s="56"/>
      <c r="J959" s="56"/>
      <c r="K959" s="56"/>
      <c r="L959" s="56"/>
      <c r="M959" s="56"/>
      <c r="N959" s="56"/>
      <c r="O959" s="56"/>
      <c r="P959" s="56"/>
      <c r="Q959" s="56"/>
      <c r="R959" s="56"/>
      <c r="S959" s="56"/>
      <c r="T959" s="56"/>
      <c r="U959" s="56"/>
      <c r="V959" s="56"/>
      <c r="W959" s="56"/>
      <c r="X959" s="56"/>
      <c r="Y959" s="56"/>
      <c r="Z959" s="56"/>
    </row>
    <row r="960" spans="1:26" ht="15.75" customHeight="1">
      <c r="A960" s="56"/>
      <c r="B960" s="56"/>
      <c r="C960" s="56"/>
      <c r="D960" s="56"/>
      <c r="E960" s="56"/>
      <c r="F960" s="56"/>
      <c r="G960" s="56"/>
      <c r="H960" s="56"/>
      <c r="I960" s="56"/>
      <c r="J960" s="56"/>
      <c r="K960" s="56"/>
      <c r="L960" s="56"/>
      <c r="M960" s="56"/>
      <c r="N960" s="56"/>
      <c r="O960" s="56"/>
      <c r="P960" s="56"/>
      <c r="Q960" s="56"/>
      <c r="R960" s="56"/>
      <c r="S960" s="56"/>
      <c r="T960" s="56"/>
      <c r="U960" s="56"/>
      <c r="V960" s="56"/>
      <c r="W960" s="56"/>
      <c r="X960" s="56"/>
      <c r="Y960" s="56"/>
      <c r="Z960" s="56"/>
    </row>
    <row r="961" spans="1:26" ht="15.75" customHeight="1">
      <c r="A961" s="56"/>
      <c r="B961" s="56"/>
      <c r="C961" s="56"/>
      <c r="D961" s="56"/>
      <c r="E961" s="56"/>
      <c r="F961" s="56"/>
      <c r="G961" s="56"/>
      <c r="H961" s="56"/>
      <c r="I961" s="56"/>
      <c r="J961" s="56"/>
      <c r="K961" s="56"/>
      <c r="L961" s="56"/>
      <c r="M961" s="56"/>
      <c r="N961" s="56"/>
      <c r="O961" s="56"/>
      <c r="P961" s="56"/>
      <c r="Q961" s="56"/>
      <c r="R961" s="56"/>
      <c r="S961" s="56"/>
      <c r="T961" s="56"/>
      <c r="U961" s="56"/>
      <c r="V961" s="56"/>
      <c r="W961" s="56"/>
      <c r="X961" s="56"/>
      <c r="Y961" s="56"/>
      <c r="Z961" s="56"/>
    </row>
    <row r="962" spans="1:26" ht="15.75" customHeight="1">
      <c r="A962" s="56"/>
      <c r="B962" s="56"/>
      <c r="C962" s="56"/>
      <c r="D962" s="56"/>
      <c r="E962" s="56"/>
      <c r="F962" s="56"/>
      <c r="G962" s="56"/>
      <c r="H962" s="56"/>
      <c r="I962" s="56"/>
      <c r="J962" s="56"/>
      <c r="K962" s="56"/>
      <c r="L962" s="56"/>
      <c r="M962" s="56"/>
      <c r="N962" s="56"/>
      <c r="O962" s="56"/>
      <c r="P962" s="56"/>
      <c r="Q962" s="56"/>
      <c r="R962" s="56"/>
      <c r="S962" s="56"/>
      <c r="T962" s="56"/>
      <c r="U962" s="56"/>
      <c r="V962" s="56"/>
      <c r="W962" s="56"/>
      <c r="X962" s="56"/>
      <c r="Y962" s="56"/>
      <c r="Z962" s="56"/>
    </row>
    <row r="963" spans="1:26" ht="15.75" customHeight="1">
      <c r="A963" s="56"/>
      <c r="B963" s="56"/>
      <c r="C963" s="56"/>
      <c r="D963" s="56"/>
      <c r="E963" s="56"/>
      <c r="F963" s="56"/>
      <c r="G963" s="56"/>
      <c r="H963" s="56"/>
      <c r="I963" s="56"/>
      <c r="J963" s="56"/>
      <c r="K963" s="56"/>
      <c r="L963" s="56"/>
      <c r="M963" s="56"/>
      <c r="N963" s="56"/>
      <c r="O963" s="56"/>
      <c r="P963" s="56"/>
      <c r="Q963" s="56"/>
      <c r="R963" s="56"/>
      <c r="S963" s="56"/>
      <c r="T963" s="56"/>
      <c r="U963" s="56"/>
      <c r="V963" s="56"/>
      <c r="W963" s="56"/>
      <c r="X963" s="56"/>
      <c r="Y963" s="56"/>
      <c r="Z963" s="56"/>
    </row>
    <row r="964" spans="1:26" ht="15.75" customHeight="1">
      <c r="A964" s="56"/>
      <c r="B964" s="56"/>
      <c r="C964" s="56"/>
      <c r="D964" s="56"/>
      <c r="E964" s="56"/>
      <c r="F964" s="56"/>
      <c r="G964" s="56"/>
      <c r="H964" s="56"/>
      <c r="I964" s="56"/>
      <c r="J964" s="56"/>
      <c r="K964" s="56"/>
      <c r="L964" s="56"/>
      <c r="M964" s="56"/>
      <c r="N964" s="56"/>
      <c r="O964" s="56"/>
      <c r="P964" s="56"/>
      <c r="Q964" s="56"/>
      <c r="R964" s="56"/>
      <c r="S964" s="56"/>
      <c r="T964" s="56"/>
      <c r="U964" s="56"/>
      <c r="V964" s="56"/>
      <c r="W964" s="56"/>
      <c r="X964" s="56"/>
      <c r="Y964" s="56"/>
      <c r="Z964" s="56"/>
    </row>
    <row r="965" spans="1:26" ht="15.75" customHeight="1">
      <c r="A965" s="56"/>
      <c r="B965" s="56"/>
      <c r="C965" s="56"/>
      <c r="D965" s="56"/>
      <c r="E965" s="56"/>
      <c r="F965" s="56"/>
      <c r="G965" s="56"/>
      <c r="H965" s="56"/>
      <c r="I965" s="56"/>
      <c r="J965" s="56"/>
      <c r="K965" s="56"/>
      <c r="L965" s="56"/>
      <c r="M965" s="56"/>
      <c r="N965" s="56"/>
      <c r="O965" s="56"/>
      <c r="P965" s="56"/>
      <c r="Q965" s="56"/>
      <c r="R965" s="56"/>
      <c r="S965" s="56"/>
      <c r="T965" s="56"/>
      <c r="U965" s="56"/>
      <c r="V965" s="56"/>
      <c r="W965" s="56"/>
      <c r="X965" s="56"/>
      <c r="Y965" s="56"/>
      <c r="Z965" s="56"/>
    </row>
    <row r="966" spans="1:26" ht="15.75" customHeight="1">
      <c r="A966" s="56"/>
      <c r="B966" s="56"/>
      <c r="C966" s="56"/>
      <c r="D966" s="56"/>
      <c r="E966" s="56"/>
      <c r="F966" s="56"/>
      <c r="G966" s="56"/>
      <c r="H966" s="56"/>
      <c r="I966" s="56"/>
      <c r="J966" s="56"/>
      <c r="K966" s="56"/>
      <c r="L966" s="56"/>
      <c r="M966" s="56"/>
      <c r="N966" s="56"/>
      <c r="O966" s="56"/>
      <c r="P966" s="56"/>
      <c r="Q966" s="56"/>
      <c r="R966" s="56"/>
      <c r="S966" s="56"/>
      <c r="T966" s="56"/>
      <c r="U966" s="56"/>
      <c r="V966" s="56"/>
      <c r="W966" s="56"/>
      <c r="X966" s="56"/>
      <c r="Y966" s="56"/>
      <c r="Z966" s="56"/>
    </row>
    <row r="967" spans="1:26" ht="15.75" customHeight="1">
      <c r="A967" s="56"/>
      <c r="B967" s="56"/>
      <c r="C967" s="56"/>
      <c r="D967" s="56"/>
      <c r="E967" s="56"/>
      <c r="F967" s="56"/>
      <c r="G967" s="56"/>
      <c r="H967" s="56"/>
      <c r="I967" s="56"/>
      <c r="J967" s="56"/>
      <c r="K967" s="56"/>
      <c r="L967" s="56"/>
      <c r="M967" s="56"/>
      <c r="N967" s="56"/>
      <c r="O967" s="56"/>
      <c r="P967" s="56"/>
      <c r="Q967" s="56"/>
      <c r="R967" s="56"/>
      <c r="S967" s="56"/>
      <c r="T967" s="56"/>
      <c r="U967" s="56"/>
      <c r="V967" s="56"/>
      <c r="W967" s="56"/>
      <c r="X967" s="56"/>
      <c r="Y967" s="56"/>
      <c r="Z967" s="56"/>
    </row>
    <row r="968" spans="1:26" ht="15.75" customHeight="1">
      <c r="A968" s="56"/>
      <c r="B968" s="56"/>
      <c r="C968" s="56"/>
      <c r="D968" s="56"/>
      <c r="E968" s="56"/>
      <c r="F968" s="56"/>
      <c r="G968" s="56"/>
      <c r="H968" s="56"/>
      <c r="I968" s="56"/>
      <c r="J968" s="56"/>
      <c r="K968" s="56"/>
      <c r="L968" s="56"/>
      <c r="M968" s="56"/>
      <c r="N968" s="56"/>
      <c r="O968" s="56"/>
      <c r="P968" s="56"/>
      <c r="Q968" s="56"/>
      <c r="R968" s="56"/>
      <c r="S968" s="56"/>
      <c r="T968" s="56"/>
      <c r="U968" s="56"/>
      <c r="V968" s="56"/>
      <c r="W968" s="56"/>
      <c r="X968" s="56"/>
      <c r="Y968" s="56"/>
      <c r="Z968" s="56"/>
    </row>
    <row r="969" spans="1:26" ht="15.75" customHeight="1">
      <c r="A969" s="56"/>
      <c r="B969" s="56"/>
      <c r="C969" s="56"/>
      <c r="D969" s="56"/>
      <c r="E969" s="56"/>
      <c r="F969" s="56"/>
      <c r="G969" s="56"/>
      <c r="H969" s="56"/>
      <c r="I969" s="56"/>
      <c r="J969" s="56"/>
      <c r="K969" s="56"/>
      <c r="L969" s="56"/>
      <c r="M969" s="56"/>
      <c r="N969" s="56"/>
      <c r="O969" s="56"/>
      <c r="P969" s="56"/>
      <c r="Q969" s="56"/>
      <c r="R969" s="56"/>
      <c r="S969" s="56"/>
      <c r="T969" s="56"/>
      <c r="U969" s="56"/>
      <c r="V969" s="56"/>
      <c r="W969" s="56"/>
      <c r="X969" s="56"/>
      <c r="Y969" s="56"/>
      <c r="Z969" s="56"/>
    </row>
    <row r="970" spans="1:26" ht="15.75" customHeight="1">
      <c r="A970" s="56"/>
      <c r="B970" s="56"/>
      <c r="C970" s="56"/>
      <c r="D970" s="56"/>
      <c r="E970" s="56"/>
      <c r="F970" s="56"/>
      <c r="G970" s="56"/>
      <c r="H970" s="56"/>
      <c r="I970" s="56"/>
      <c r="J970" s="56"/>
      <c r="K970" s="56"/>
      <c r="L970" s="56"/>
      <c r="M970" s="56"/>
      <c r="N970" s="56"/>
      <c r="O970" s="56"/>
      <c r="P970" s="56"/>
      <c r="Q970" s="56"/>
      <c r="R970" s="56"/>
      <c r="S970" s="56"/>
      <c r="T970" s="56"/>
      <c r="U970" s="56"/>
      <c r="V970" s="56"/>
      <c r="W970" s="56"/>
      <c r="X970" s="56"/>
      <c r="Y970" s="56"/>
      <c r="Z970" s="56"/>
    </row>
    <row r="971" spans="1:26" ht="15.75" customHeight="1">
      <c r="A971" s="56"/>
      <c r="B971" s="56"/>
      <c r="C971" s="56"/>
      <c r="D971" s="56"/>
      <c r="E971" s="56"/>
      <c r="F971" s="56"/>
      <c r="G971" s="56"/>
      <c r="H971" s="56"/>
      <c r="I971" s="56"/>
      <c r="J971" s="56"/>
      <c r="K971" s="56"/>
      <c r="L971" s="56"/>
      <c r="M971" s="56"/>
      <c r="N971" s="56"/>
      <c r="O971" s="56"/>
      <c r="P971" s="56"/>
      <c r="Q971" s="56"/>
      <c r="R971" s="56"/>
      <c r="S971" s="56"/>
      <c r="T971" s="56"/>
      <c r="U971" s="56"/>
      <c r="V971" s="56"/>
      <c r="W971" s="56"/>
      <c r="X971" s="56"/>
      <c r="Y971" s="56"/>
      <c r="Z971" s="56"/>
    </row>
    <row r="972" spans="1:26" ht="15.75" customHeight="1">
      <c r="A972" s="56"/>
      <c r="B972" s="56"/>
      <c r="C972" s="56"/>
      <c r="D972" s="56"/>
      <c r="E972" s="56"/>
      <c r="F972" s="56"/>
      <c r="G972" s="56"/>
      <c r="H972" s="56"/>
      <c r="I972" s="56"/>
      <c r="J972" s="56"/>
      <c r="K972" s="56"/>
      <c r="L972" s="56"/>
      <c r="M972" s="56"/>
      <c r="N972" s="56"/>
      <c r="O972" s="56"/>
      <c r="P972" s="56"/>
      <c r="Q972" s="56"/>
      <c r="R972" s="56"/>
      <c r="S972" s="56"/>
      <c r="T972" s="56"/>
      <c r="U972" s="56"/>
      <c r="V972" s="56"/>
      <c r="W972" s="56"/>
      <c r="X972" s="56"/>
      <c r="Y972" s="56"/>
      <c r="Z972" s="56"/>
    </row>
    <row r="973" spans="1:26" ht="15.75" customHeight="1">
      <c r="A973" s="56"/>
      <c r="B973" s="56"/>
      <c r="C973" s="56"/>
      <c r="D973" s="56"/>
      <c r="E973" s="56"/>
      <c r="F973" s="56"/>
      <c r="G973" s="56"/>
      <c r="H973" s="56"/>
      <c r="I973" s="56"/>
      <c r="J973" s="56"/>
      <c r="K973" s="56"/>
      <c r="L973" s="56"/>
      <c r="M973" s="56"/>
      <c r="N973" s="56"/>
      <c r="O973" s="56"/>
      <c r="P973" s="56"/>
      <c r="Q973" s="56"/>
      <c r="R973" s="56"/>
      <c r="S973" s="56"/>
      <c r="T973" s="56"/>
      <c r="U973" s="56"/>
      <c r="V973" s="56"/>
      <c r="W973" s="56"/>
      <c r="X973" s="56"/>
      <c r="Y973" s="56"/>
      <c r="Z973" s="56"/>
    </row>
    <row r="974" spans="1:26" ht="15.75" customHeight="1">
      <c r="A974" s="56"/>
      <c r="B974" s="56"/>
      <c r="C974" s="56"/>
      <c r="D974" s="56"/>
      <c r="E974" s="56"/>
      <c r="F974" s="56"/>
      <c r="G974" s="56"/>
      <c r="H974" s="56"/>
      <c r="I974" s="56"/>
      <c r="J974" s="56"/>
      <c r="K974" s="56"/>
      <c r="L974" s="56"/>
      <c r="M974" s="56"/>
      <c r="N974" s="56"/>
      <c r="O974" s="56"/>
      <c r="P974" s="56"/>
      <c r="Q974" s="56"/>
      <c r="R974" s="56"/>
      <c r="S974" s="56"/>
      <c r="T974" s="56"/>
      <c r="U974" s="56"/>
      <c r="V974" s="56"/>
      <c r="W974" s="56"/>
      <c r="X974" s="56"/>
      <c r="Y974" s="56"/>
      <c r="Z974" s="56"/>
    </row>
    <row r="975" spans="1:26" ht="15.75" customHeight="1">
      <c r="A975" s="56"/>
      <c r="B975" s="56"/>
      <c r="C975" s="56"/>
      <c r="D975" s="56"/>
      <c r="E975" s="56"/>
      <c r="F975" s="56"/>
      <c r="G975" s="56"/>
      <c r="H975" s="56"/>
      <c r="I975" s="56"/>
      <c r="J975" s="56"/>
      <c r="K975" s="56"/>
      <c r="L975" s="56"/>
      <c r="M975" s="56"/>
      <c r="N975" s="56"/>
      <c r="O975" s="56"/>
      <c r="P975" s="56"/>
      <c r="Q975" s="56"/>
      <c r="R975" s="56"/>
      <c r="S975" s="56"/>
      <c r="T975" s="56"/>
      <c r="U975" s="56"/>
      <c r="V975" s="56"/>
      <c r="W975" s="56"/>
      <c r="X975" s="56"/>
      <c r="Y975" s="56"/>
      <c r="Z975" s="56"/>
    </row>
    <row r="976" spans="1:26" ht="15.75" customHeight="1">
      <c r="A976" s="56"/>
      <c r="B976" s="56"/>
      <c r="C976" s="56"/>
      <c r="D976" s="56"/>
      <c r="E976" s="56"/>
      <c r="F976" s="56"/>
      <c r="G976" s="56"/>
      <c r="H976" s="56"/>
      <c r="I976" s="56"/>
      <c r="J976" s="56"/>
      <c r="K976" s="56"/>
      <c r="L976" s="56"/>
      <c r="M976" s="56"/>
      <c r="N976" s="56"/>
      <c r="O976" s="56"/>
      <c r="P976" s="56"/>
      <c r="Q976" s="56"/>
      <c r="R976" s="56"/>
      <c r="S976" s="56"/>
      <c r="T976" s="56"/>
      <c r="U976" s="56"/>
      <c r="V976" s="56"/>
      <c r="W976" s="56"/>
      <c r="X976" s="56"/>
      <c r="Y976" s="56"/>
      <c r="Z976" s="56"/>
    </row>
    <row r="977" spans="1:26" ht="15.75" customHeight="1">
      <c r="A977" s="56"/>
      <c r="B977" s="56"/>
      <c r="C977" s="56"/>
      <c r="D977" s="56"/>
      <c r="E977" s="56"/>
      <c r="F977" s="56"/>
      <c r="G977" s="56"/>
      <c r="H977" s="56"/>
      <c r="I977" s="56"/>
      <c r="J977" s="56"/>
      <c r="K977" s="56"/>
      <c r="L977" s="56"/>
      <c r="M977" s="56"/>
      <c r="N977" s="56"/>
      <c r="O977" s="56"/>
      <c r="P977" s="56"/>
      <c r="Q977" s="56"/>
      <c r="R977" s="56"/>
      <c r="S977" s="56"/>
      <c r="T977" s="56"/>
      <c r="U977" s="56"/>
      <c r="V977" s="56"/>
      <c r="W977" s="56"/>
      <c r="X977" s="56"/>
      <c r="Y977" s="56"/>
      <c r="Z977" s="56"/>
    </row>
    <row r="978" spans="1:26" ht="15.75" customHeight="1">
      <c r="A978" s="56"/>
      <c r="B978" s="56"/>
      <c r="C978" s="56"/>
      <c r="D978" s="56"/>
      <c r="E978" s="56"/>
      <c r="F978" s="56"/>
      <c r="G978" s="56"/>
      <c r="H978" s="56"/>
      <c r="I978" s="56"/>
      <c r="J978" s="56"/>
      <c r="K978" s="56"/>
      <c r="L978" s="56"/>
      <c r="M978" s="56"/>
      <c r="N978" s="56"/>
      <c r="O978" s="56"/>
      <c r="P978" s="56"/>
      <c r="Q978" s="56"/>
      <c r="R978" s="56"/>
      <c r="S978" s="56"/>
      <c r="T978" s="56"/>
      <c r="U978" s="56"/>
      <c r="V978" s="56"/>
      <c r="W978" s="56"/>
      <c r="X978" s="56"/>
      <c r="Y978" s="56"/>
      <c r="Z978" s="56"/>
    </row>
    <row r="979" spans="1:26" ht="15.75" customHeight="1">
      <c r="A979" s="56"/>
      <c r="B979" s="56"/>
      <c r="C979" s="56"/>
      <c r="D979" s="56"/>
      <c r="E979" s="56"/>
      <c r="F979" s="56"/>
      <c r="G979" s="56"/>
      <c r="H979" s="56"/>
      <c r="I979" s="56"/>
      <c r="J979" s="56"/>
      <c r="K979" s="56"/>
      <c r="L979" s="56"/>
      <c r="M979" s="56"/>
      <c r="N979" s="56"/>
      <c r="O979" s="56"/>
      <c r="P979" s="56"/>
      <c r="Q979" s="56"/>
      <c r="R979" s="56"/>
      <c r="S979" s="56"/>
      <c r="T979" s="56"/>
      <c r="U979" s="56"/>
      <c r="V979" s="56"/>
      <c r="W979" s="56"/>
      <c r="X979" s="56"/>
      <c r="Y979" s="56"/>
      <c r="Z979" s="56"/>
    </row>
    <row r="980" spans="1:26" ht="15.75" customHeight="1">
      <c r="A980" s="56"/>
      <c r="B980" s="56"/>
      <c r="C980" s="56"/>
      <c r="D980" s="56"/>
      <c r="E980" s="56"/>
      <c r="F980" s="56"/>
      <c r="G980" s="56"/>
      <c r="H980" s="56"/>
      <c r="I980" s="56"/>
      <c r="J980" s="56"/>
      <c r="K980" s="56"/>
      <c r="L980" s="56"/>
      <c r="M980" s="56"/>
      <c r="N980" s="56"/>
      <c r="O980" s="56"/>
      <c r="P980" s="56"/>
      <c r="Q980" s="56"/>
      <c r="R980" s="56"/>
      <c r="S980" s="56"/>
      <c r="T980" s="56"/>
      <c r="U980" s="56"/>
      <c r="V980" s="56"/>
      <c r="W980" s="56"/>
      <c r="X980" s="56"/>
      <c r="Y980" s="56"/>
      <c r="Z980" s="56"/>
    </row>
    <row r="981" spans="1:26" ht="15.75" customHeight="1">
      <c r="A981" s="56"/>
      <c r="B981" s="56"/>
      <c r="C981" s="56"/>
      <c r="D981" s="56"/>
      <c r="E981" s="56"/>
      <c r="F981" s="56"/>
      <c r="G981" s="56"/>
      <c r="H981" s="56"/>
      <c r="I981" s="56"/>
      <c r="J981" s="56"/>
      <c r="K981" s="56"/>
      <c r="L981" s="56"/>
      <c r="M981" s="56"/>
      <c r="N981" s="56"/>
      <c r="O981" s="56"/>
      <c r="P981" s="56"/>
      <c r="Q981" s="56"/>
      <c r="R981" s="56"/>
      <c r="S981" s="56"/>
      <c r="T981" s="56"/>
      <c r="U981" s="56"/>
      <c r="V981" s="56"/>
      <c r="W981" s="56"/>
      <c r="X981" s="56"/>
      <c r="Y981" s="56"/>
      <c r="Z981" s="56"/>
    </row>
    <row r="982" spans="1:26" ht="15.75" customHeight="1">
      <c r="A982" s="56"/>
      <c r="B982" s="56"/>
      <c r="C982" s="56"/>
      <c r="D982" s="56"/>
      <c r="E982" s="56"/>
      <c r="F982" s="56"/>
      <c r="G982" s="56"/>
      <c r="H982" s="56"/>
      <c r="I982" s="56"/>
      <c r="J982" s="56"/>
      <c r="K982" s="56"/>
      <c r="L982" s="56"/>
      <c r="M982" s="56"/>
      <c r="N982" s="56"/>
      <c r="O982" s="56"/>
      <c r="P982" s="56"/>
      <c r="Q982" s="56"/>
      <c r="R982" s="56"/>
      <c r="S982" s="56"/>
      <c r="T982" s="56"/>
      <c r="U982" s="56"/>
      <c r="V982" s="56"/>
      <c r="W982" s="56"/>
      <c r="X982" s="56"/>
      <c r="Y982" s="56"/>
      <c r="Z982" s="56"/>
    </row>
    <row r="983" spans="1:26" ht="15.75" customHeight="1">
      <c r="A983" s="56"/>
      <c r="B983" s="56"/>
      <c r="C983" s="56"/>
      <c r="D983" s="56"/>
      <c r="E983" s="56"/>
      <c r="F983" s="56"/>
      <c r="G983" s="56"/>
      <c r="H983" s="56"/>
      <c r="I983" s="56"/>
      <c r="J983" s="56"/>
      <c r="K983" s="56"/>
      <c r="L983" s="56"/>
      <c r="M983" s="56"/>
      <c r="N983" s="56"/>
      <c r="O983" s="56"/>
      <c r="P983" s="56"/>
      <c r="Q983" s="56"/>
      <c r="R983" s="56"/>
      <c r="S983" s="56"/>
      <c r="T983" s="56"/>
      <c r="U983" s="56"/>
      <c r="V983" s="56"/>
      <c r="W983" s="56"/>
      <c r="X983" s="56"/>
      <c r="Y983" s="56"/>
      <c r="Z983" s="56"/>
    </row>
    <row r="984" spans="1:26" ht="15.75" customHeight="1">
      <c r="A984" s="56"/>
      <c r="B984" s="56"/>
      <c r="C984" s="56"/>
      <c r="D984" s="56"/>
      <c r="E984" s="56"/>
      <c r="F984" s="56"/>
      <c r="G984" s="56"/>
      <c r="H984" s="56"/>
      <c r="I984" s="56"/>
      <c r="J984" s="56"/>
      <c r="K984" s="56"/>
      <c r="L984" s="56"/>
      <c r="M984" s="56"/>
      <c r="N984" s="56"/>
      <c r="O984" s="56"/>
      <c r="P984" s="56"/>
      <c r="Q984" s="56"/>
      <c r="R984" s="56"/>
      <c r="S984" s="56"/>
      <c r="T984" s="56"/>
      <c r="U984" s="56"/>
      <c r="V984" s="56"/>
      <c r="W984" s="56"/>
      <c r="X984" s="56"/>
      <c r="Y984" s="56"/>
      <c r="Z984" s="56"/>
    </row>
    <row r="985" spans="1:26" ht="15.75" customHeight="1">
      <c r="A985" s="56"/>
      <c r="B985" s="56"/>
      <c r="C985" s="56"/>
      <c r="D985" s="56"/>
      <c r="E985" s="56"/>
      <c r="F985" s="56"/>
      <c r="G985" s="56"/>
      <c r="H985" s="56"/>
      <c r="I985" s="56"/>
      <c r="J985" s="56"/>
      <c r="K985" s="56"/>
      <c r="L985" s="56"/>
      <c r="M985" s="56"/>
      <c r="N985" s="56"/>
      <c r="O985" s="56"/>
      <c r="P985" s="56"/>
      <c r="Q985" s="56"/>
      <c r="R985" s="56"/>
      <c r="S985" s="56"/>
      <c r="T985" s="56"/>
      <c r="U985" s="56"/>
      <c r="V985" s="56"/>
      <c r="W985" s="56"/>
      <c r="X985" s="56"/>
      <c r="Y985" s="56"/>
      <c r="Z985" s="56"/>
    </row>
    <row r="986" spans="1:26" ht="15.75" customHeight="1">
      <c r="A986" s="56"/>
      <c r="B986" s="56"/>
      <c r="C986" s="56"/>
      <c r="D986" s="56"/>
      <c r="E986" s="56"/>
      <c r="F986" s="56"/>
      <c r="G986" s="56"/>
      <c r="H986" s="56"/>
      <c r="I986" s="56"/>
      <c r="J986" s="56"/>
      <c r="K986" s="56"/>
      <c r="L986" s="56"/>
      <c r="M986" s="56"/>
      <c r="N986" s="56"/>
      <c r="O986" s="56"/>
      <c r="P986" s="56"/>
      <c r="Q986" s="56"/>
      <c r="R986" s="56"/>
      <c r="S986" s="56"/>
      <c r="T986" s="56"/>
      <c r="U986" s="56"/>
      <c r="V986" s="56"/>
      <c r="W986" s="56"/>
      <c r="X986" s="56"/>
      <c r="Y986" s="56"/>
      <c r="Z986" s="56"/>
    </row>
    <row r="987" spans="1:26" ht="15.75" customHeight="1">
      <c r="A987" s="56"/>
      <c r="B987" s="56"/>
      <c r="C987" s="56"/>
      <c r="D987" s="56"/>
      <c r="E987" s="56"/>
      <c r="F987" s="56"/>
      <c r="G987" s="56"/>
      <c r="I987" s="56"/>
      <c r="J987" s="56"/>
      <c r="K987" s="56"/>
      <c r="L987" s="56"/>
      <c r="M987" s="56"/>
      <c r="N987" s="56"/>
      <c r="O987" s="56"/>
      <c r="P987" s="56"/>
      <c r="Q987" s="56"/>
      <c r="R987" s="56"/>
      <c r="S987" s="56"/>
      <c r="T987" s="56"/>
      <c r="U987" s="56"/>
      <c r="V987" s="56"/>
      <c r="W987" s="56"/>
      <c r="X987" s="56"/>
      <c r="Y987" s="56"/>
      <c r="Z987" s="56"/>
    </row>
    <row r="988" spans="1:26" ht="15.75" customHeight="1">
      <c r="A988" s="56"/>
      <c r="B988" s="56"/>
      <c r="C988" s="56"/>
      <c r="D988" s="56"/>
      <c r="E988" s="56"/>
      <c r="F988" s="56"/>
      <c r="G988" s="56"/>
      <c r="L988" s="56"/>
      <c r="M988" s="56"/>
      <c r="N988" s="56"/>
      <c r="O988" s="56"/>
      <c r="P988" s="56"/>
      <c r="Q988" s="56"/>
      <c r="R988" s="56"/>
      <c r="S988" s="56"/>
      <c r="T988" s="56"/>
      <c r="U988" s="56"/>
      <c r="V988" s="56"/>
      <c r="W988" s="56"/>
      <c r="X988" s="56"/>
      <c r="Y988" s="56"/>
      <c r="Z988" s="56"/>
    </row>
    <row r="989" spans="1:26" ht="15.75" customHeight="1">
      <c r="A989" s="56"/>
      <c r="B989" s="56"/>
      <c r="C989" s="56"/>
      <c r="D989" s="56"/>
      <c r="E989" s="56"/>
      <c r="F989" s="56"/>
      <c r="G989" s="56"/>
      <c r="L989" s="56"/>
      <c r="M989" s="56"/>
      <c r="N989" s="56"/>
      <c r="O989" s="56"/>
      <c r="P989" s="56"/>
      <c r="Q989" s="56"/>
      <c r="R989" s="56"/>
      <c r="S989" s="56"/>
      <c r="T989" s="56"/>
      <c r="U989" s="56"/>
      <c r="V989" s="56"/>
      <c r="W989" s="56"/>
      <c r="X989" s="56"/>
      <c r="Y989" s="56"/>
      <c r="Z989" s="56"/>
    </row>
  </sheetData>
  <autoFilter ref="C4:D17" xr:uid="{00000000-0009-0000-0000-000004000000}"/>
  <mergeCells count="2">
    <mergeCell ref="C3:D3"/>
    <mergeCell ref="H3:K3"/>
  </mergeCells>
  <conditionalFormatting sqref="C20">
    <cfRule type="notContainsBlanks" dxfId="6" priority="1">
      <formula>LEN(TRIM(C20))&gt;0</formula>
    </cfRule>
  </conditionalFormatting>
  <pageMargins left="0.7" right="0.7" top="0.75" bottom="0.75" header="0" footer="0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739"/>
  <sheetViews>
    <sheetView tabSelected="1" workbookViewId="0">
      <pane ySplit="3" topLeftCell="A4" activePane="bottomLeft" state="frozen"/>
      <selection pane="bottomLeft" activeCell="N4" sqref="N4"/>
    </sheetView>
  </sheetViews>
  <sheetFormatPr defaultColWidth="14.42578125" defaultRowHeight="15" customHeight="1"/>
  <cols>
    <col min="1" max="1" width="3.7109375" customWidth="1"/>
    <col min="2" max="2" width="21.140625" customWidth="1"/>
    <col min="3" max="3" width="14.7109375" customWidth="1"/>
    <col min="4" max="4" width="17.42578125" customWidth="1"/>
    <col min="5" max="6" width="11.7109375" customWidth="1"/>
    <col min="7" max="7" width="13.5703125" customWidth="1"/>
    <col min="8" max="8" width="13.140625" customWidth="1"/>
    <col min="9" max="11" width="12.140625" customWidth="1"/>
    <col min="12" max="13" width="15.7109375" customWidth="1"/>
    <col min="14" max="15" width="13" customWidth="1"/>
    <col min="16" max="16" width="14" customWidth="1"/>
    <col min="17" max="17" width="7.5703125" customWidth="1"/>
    <col min="18" max="18" width="16.85546875" customWidth="1"/>
    <col min="19" max="20" width="8.7109375" customWidth="1"/>
    <col min="21" max="21" width="17.28515625" customWidth="1"/>
    <col min="22" max="23" width="15.140625" customWidth="1"/>
    <col min="24" max="24" width="14.42578125" customWidth="1"/>
    <col min="25" max="26" width="8.7109375" customWidth="1"/>
  </cols>
  <sheetData>
    <row r="1" spans="1:26">
      <c r="A1" s="44"/>
      <c r="B1" s="44"/>
      <c r="C1" s="44"/>
      <c r="D1" s="44"/>
      <c r="E1" s="45"/>
      <c r="F1" s="45"/>
      <c r="G1" s="44"/>
      <c r="H1" s="44"/>
      <c r="I1" s="44"/>
      <c r="J1" s="44"/>
      <c r="K1" s="44"/>
      <c r="L1" s="46"/>
      <c r="M1" s="46"/>
      <c r="N1" s="47"/>
      <c r="O1" s="47"/>
      <c r="P1" s="47"/>
      <c r="Q1" s="44"/>
      <c r="R1" s="44"/>
      <c r="S1" s="44"/>
      <c r="T1" s="44"/>
      <c r="U1" s="44"/>
      <c r="V1" s="44"/>
      <c r="W1" s="44"/>
      <c r="X1" s="44"/>
      <c r="Y1" s="44"/>
      <c r="Z1" s="44"/>
    </row>
    <row r="2" spans="1:26" ht="15" customHeight="1">
      <c r="A2" s="48"/>
      <c r="B2" s="142" t="s">
        <v>67</v>
      </c>
      <c r="C2" s="145" t="s">
        <v>68</v>
      </c>
      <c r="D2" s="142" t="s">
        <v>69</v>
      </c>
      <c r="E2" s="145" t="s">
        <v>60</v>
      </c>
      <c r="F2" s="145" t="s">
        <v>70</v>
      </c>
      <c r="G2" s="142" t="s">
        <v>71</v>
      </c>
      <c r="H2" s="142" t="s">
        <v>72</v>
      </c>
      <c r="I2" s="143" t="s">
        <v>73</v>
      </c>
      <c r="J2" s="144" t="s">
        <v>74</v>
      </c>
      <c r="K2" s="137" t="s">
        <v>75</v>
      </c>
      <c r="L2" s="137" t="s">
        <v>76</v>
      </c>
      <c r="M2" s="137" t="s">
        <v>77</v>
      </c>
      <c r="N2" s="138" t="s">
        <v>78</v>
      </c>
      <c r="O2" s="139" t="s">
        <v>79</v>
      </c>
      <c r="P2" s="140" t="s">
        <v>80</v>
      </c>
      <c r="Q2" s="48"/>
      <c r="R2" s="136" t="s">
        <v>81</v>
      </c>
      <c r="S2" s="147"/>
      <c r="T2" s="147"/>
      <c r="U2" s="147"/>
      <c r="V2" s="48"/>
      <c r="W2" s="48"/>
      <c r="X2" s="48"/>
      <c r="Y2" s="48"/>
      <c r="Z2" s="48"/>
    </row>
    <row r="3" spans="1:26">
      <c r="A3" s="44"/>
      <c r="B3" s="148"/>
      <c r="C3" s="148"/>
      <c r="D3" s="148"/>
      <c r="E3" s="148"/>
      <c r="F3" s="148"/>
      <c r="G3" s="148"/>
      <c r="H3" s="148"/>
      <c r="I3" s="149"/>
      <c r="J3" s="147"/>
      <c r="K3" s="149"/>
      <c r="L3" s="149"/>
      <c r="M3" s="149"/>
      <c r="N3" s="149"/>
      <c r="O3" s="150"/>
      <c r="P3" s="148"/>
      <c r="Q3" s="44"/>
      <c r="R3" s="13" t="s">
        <v>82</v>
      </c>
      <c r="S3" s="49" t="s">
        <v>83</v>
      </c>
      <c r="T3" s="50" t="s">
        <v>81</v>
      </c>
      <c r="U3" s="50" t="s">
        <v>84</v>
      </c>
      <c r="V3" s="51"/>
      <c r="W3" s="52"/>
      <c r="X3" s="52"/>
      <c r="Y3" s="44"/>
      <c r="Z3" s="44"/>
    </row>
    <row r="4" spans="1:26">
      <c r="A4" s="44"/>
      <c r="B4" s="14" t="s">
        <v>54</v>
      </c>
      <c r="C4" s="53">
        <v>45506</v>
      </c>
      <c r="D4" s="15"/>
      <c r="E4" s="89" t="s">
        <v>48</v>
      </c>
      <c r="F4" s="16" t="s">
        <v>43</v>
      </c>
      <c r="G4" s="16" t="s">
        <v>5</v>
      </c>
      <c r="H4" s="90">
        <f>IF(G4="Regular",Listas!$K$16,IF(G4="Premium",Listas!$K$17,IF(G4="Diesel",Listas!$K$18,"-")))</f>
        <v>0.45235799999999998</v>
      </c>
      <c r="I4" s="17">
        <v>20000</v>
      </c>
      <c r="J4" s="18">
        <v>23</v>
      </c>
      <c r="K4" s="19">
        <f>+IFERROR(IF(G4="Regular",VLOOKUP(C4,'PRECIO TERMINAL PEMEX'!$B$4:$E$35,2,0),IF(G4="Premium",VLOOKUP(C4,'PRECIO TERMINAL PEMEX'!$B$4:$E$35,3,0),IF(G4="Diesel",VLOOKUP(C4,'PRECIO TERMINAL PEMEX'!$B$4:$E$35,4,0),"Seleccione Terminal"))),"-")</f>
        <v>23.672663849999999</v>
      </c>
      <c r="L4" s="93">
        <f>+IFERROR(IF(F4="VHSA",VLOOKUP(B4,Listas!$C$4:$F$17,2,0),IF(F4="DOS BOCAS",VLOOKUP(B4,Listas!$C$4:$F$17,3,0),IF(F4="GLENCORE",VLOOKUP(B4,Listas!$C$4:$F$17,4,0),"Seleccione TAR"))),"-")</f>
        <v>7.884999999999999E-2</v>
      </c>
      <c r="M4" s="19">
        <f>+IFERROR(IF(G4="Regular",VLOOKUP(C4,'DESCUENTO PROVEEDORES'!$B$4:$E$35,2,0),IF(G4="Premium",VLOOKUP(C4,'DESCUENTO PROVEEDORES'!$B$4:$E$35,3,0),IF(G4="Diesel",VLOOKUP(C4,'DESCUENTO PROVEEDORES'!$B$4:$E$35,4,0),"Seleccione Proveedor"))),"-")</f>
        <v>1.02268</v>
      </c>
      <c r="N4" s="20">
        <f>((K4-H4)/1.16)-M4</f>
        <v>18.994825043103447</v>
      </c>
      <c r="O4" s="21">
        <f>((N4*16%)+N4)+H4+L4</f>
        <v>22.565205049999996</v>
      </c>
      <c r="P4" s="21">
        <f>(((J4-O4)-H4)/1.16)+H4</f>
        <v>0.43721743965517595</v>
      </c>
      <c r="Q4" s="44"/>
      <c r="R4" s="24"/>
      <c r="S4" s="23">
        <f>R4/I4</f>
        <v>0</v>
      </c>
      <c r="T4" s="23">
        <f>(J4-S4)/1.16</f>
        <v>19.827586206896552</v>
      </c>
      <c r="U4" s="22">
        <f>+T4-P4</f>
        <v>19.390368767241377</v>
      </c>
      <c r="V4" s="51"/>
      <c r="W4" s="52"/>
      <c r="X4" s="52"/>
      <c r="Y4" s="44"/>
      <c r="Z4" s="44"/>
    </row>
    <row r="5" spans="1:26">
      <c r="A5" s="44"/>
      <c r="B5" s="14" t="s">
        <v>51</v>
      </c>
      <c r="C5" s="53">
        <v>45510</v>
      </c>
      <c r="D5" s="15"/>
      <c r="E5" s="89"/>
      <c r="F5" s="16" t="s">
        <v>42</v>
      </c>
      <c r="G5" s="16" t="s">
        <v>35</v>
      </c>
      <c r="H5" s="90">
        <f>IF(G5="Regular",Listas!$K$16,IF(G5="Premium",Listas!$K$17,IF(G5="Diesel",Listas!$K$18,"-")))</f>
        <v>0.54505000000000003</v>
      </c>
      <c r="I5" s="17"/>
      <c r="J5" s="18"/>
      <c r="K5" s="19">
        <f>+IFERROR(IF(G5="Regular",VLOOKUP(C5,'PRECIO TERMINAL PEMEX'!$B$4:$E$35,2,0),IF(G5="Premium",VLOOKUP(C5,'PRECIO TERMINAL PEMEX'!$B$4:$E$35,3,0),IF(G5="Diesel",VLOOKUP(C5,'PRECIO TERMINAL PEMEX'!$B$4:$E$35,4,0),"Seleccione Producto"))),"-")</f>
        <v>22.7307576</v>
      </c>
      <c r="L5" s="93">
        <f>+IFERROR(IF(F5="VHSA",VLOOKUP(B5,Listas!$C$4:$F$17,2,0),IF(F5="DOS BOCAS",VLOOKUP(B5,Listas!$C$4:$F$17,3,0),IF(F5="GLENCORE",VLOOKUP(B5,Listas!$C$4:$F$17,4,0),"Seleccione TAR"))),"-")</f>
        <v>7.884999999999999E-2</v>
      </c>
      <c r="M5" s="19">
        <f>+IFERROR(IF(G5="Regular",VLOOKUP(C5,'DESCUENTO PROVEEDORES'!$B$4:$E$35,2,0),IF(G5="Premium",VLOOKUP(C5,'DESCUENTO PROVEEDORES'!$B$4:$E$35,3,0),IF(G5="Diesel",VLOOKUP(C5,'DESCUENTO PROVEEDORES'!$B$4:$E$35,4,0),"Seleccione Proveedor"))),"-")</f>
        <v>0.81280000000000008</v>
      </c>
      <c r="N5" s="20">
        <f>((((K5-H5)/1.16)-M5))</f>
        <v>18.312810000000002</v>
      </c>
      <c r="O5" s="21">
        <f>((N5*16%)+N5)+H5+L5</f>
        <v>21.866759600000002</v>
      </c>
      <c r="P5" s="21">
        <f>(((J5-O5)-H5)/1.16)+H5</f>
        <v>-18.775475517241382</v>
      </c>
      <c r="Q5" s="44"/>
      <c r="R5" s="24"/>
      <c r="S5" s="23" t="e">
        <f t="shared" ref="S5:S68" si="0">R5/I5</f>
        <v>#DIV/0!</v>
      </c>
      <c r="T5" s="23" t="e">
        <f t="shared" ref="T5:T68" si="1">(J5-S5)/1.16</f>
        <v>#DIV/0!</v>
      </c>
      <c r="U5" s="22" t="e">
        <f t="shared" ref="U5:U68" si="2">+T5-P5</f>
        <v>#DIV/0!</v>
      </c>
      <c r="V5" s="51"/>
      <c r="W5" s="52"/>
      <c r="X5" s="52"/>
      <c r="Y5" s="44"/>
      <c r="Z5" s="44"/>
    </row>
    <row r="6" spans="1:26">
      <c r="A6" s="44"/>
      <c r="B6" s="14" t="s">
        <v>49</v>
      </c>
      <c r="C6" s="53">
        <v>45523</v>
      </c>
      <c r="D6" s="15"/>
      <c r="E6" s="89"/>
      <c r="F6" s="16"/>
      <c r="G6" s="16" t="s">
        <v>4</v>
      </c>
      <c r="H6" s="90">
        <f>IF(G6="Regular",Listas!$K$16,IF(G6="Premium",Listas!$K$17,IF(G6="Diesel",Listas!$K$18,"-")))</f>
        <v>0.66506200000000004</v>
      </c>
      <c r="I6" s="17"/>
      <c r="J6" s="18"/>
      <c r="K6" s="19">
        <f>+IFERROR(IF(G6="Regular",VLOOKUP(C6,'PRECIO TERMINAL PEMEX'!$B$4:$E$35,2,0),IF(G6="Premium",VLOOKUP(C6,'PRECIO TERMINAL PEMEX'!$B$4:$E$35,3,0),IF(G6="Diesel",VLOOKUP(C6,'PRECIO TERMINAL PEMEX'!$B$4:$E$35,4,0),"Seleccione Producto"))),"-")</f>
        <v>0</v>
      </c>
      <c r="L6" s="93" t="str">
        <f>+IFERROR(IF(F6="VHSA",VLOOKUP(B6,Listas!$C$4:$F$17,2,0),IF(F6="DOS BOCAS",VLOOKUP(B6,Listas!$C$4:$F$17,3,0),IF(F6="GLENCORE",VLOOKUP(B6,Listas!$C$4:$F$17,4,0),"Seleccione TAR"))),"-")</f>
        <v>Seleccione TAR</v>
      </c>
      <c r="M6" s="19">
        <f>+IFERROR(IF(G6="Regular",VLOOKUP(C6,'DESCUENTO PROVEEDORES'!$B$4:$E$35,2,0),IF(G6="Premium",VLOOKUP(C6,'DESCUENTO PROVEEDORES'!$B$4:$E$35,3,0),IF(G6="Diesel",VLOOKUP(C6,'DESCUENTO PROVEEDORES'!$B$4:$E$35,4,0),"Seleccione Proveedor"))),"-")</f>
        <v>0.76429000000000014</v>
      </c>
      <c r="N6" s="20">
        <f>((((K6-H6)/1.16)-M6))</f>
        <v>-1.3376193103448277</v>
      </c>
      <c r="O6" s="21" t="e">
        <f>((N6*16%)+N6)+H6+L6</f>
        <v>#VALUE!</v>
      </c>
      <c r="P6" s="21" t="e">
        <f>(((J6-O6)-H6)/1.16)+H6</f>
        <v>#VALUE!</v>
      </c>
      <c r="Q6" s="44"/>
      <c r="R6" s="24"/>
      <c r="S6" s="23" t="e">
        <f t="shared" si="0"/>
        <v>#DIV/0!</v>
      </c>
      <c r="T6" s="23" t="e">
        <f t="shared" si="1"/>
        <v>#DIV/0!</v>
      </c>
      <c r="U6" s="22" t="e">
        <f t="shared" si="2"/>
        <v>#DIV/0!</v>
      </c>
      <c r="V6" s="51"/>
      <c r="W6" s="52"/>
      <c r="X6" s="52"/>
      <c r="Y6" s="44"/>
      <c r="Z6" s="44"/>
    </row>
    <row r="7" spans="1:26">
      <c r="A7" s="44"/>
      <c r="B7" s="14" t="s">
        <v>50</v>
      </c>
      <c r="C7" s="53"/>
      <c r="D7" s="15"/>
      <c r="E7" s="89"/>
      <c r="F7" s="16"/>
      <c r="G7" s="16" t="s">
        <v>5</v>
      </c>
      <c r="H7" s="90">
        <f>IF(G7="Regular",Listas!$K$16,IF(G7="Premium",Listas!$K$17,IF(G7="Diesel",Listas!$K$18,"-")))</f>
        <v>0.45235799999999998</v>
      </c>
      <c r="I7" s="17"/>
      <c r="J7" s="18"/>
      <c r="K7" s="19" t="str">
        <f>+IFERROR(IF(G7="Regular",VLOOKUP(C7,'PRECIO TERMINAL PEMEX'!$B$4:$E$35,2,0),IF(G7="Premium",VLOOKUP(C7,'PRECIO TERMINAL PEMEX'!$B$4:$E$35,3,0),IF(G7="Diesel",VLOOKUP(C7,'PRECIO TERMINAL PEMEX'!$B$4:$E$35,4,0),"Seleccione Producto"))),"-")</f>
        <v>-</v>
      </c>
      <c r="L7" s="93" t="str">
        <f>+IFERROR(IF(F7="VHSA",VLOOKUP(B7,Listas!$C$4:$F$17,2,0),IF(F7="DOS BOCAS",VLOOKUP(B7,Listas!$C$4:$F$17,3,0),IF(F7="GLENCORE",VLOOKUP(B7,Listas!$C$4:$F$17,4,0),"Seleccione TAR"))),"-")</f>
        <v>Seleccione TAR</v>
      </c>
      <c r="M7" s="19" t="str">
        <f>+IFERROR(IF(G7="Regular",VLOOKUP(C7,'DESCUENTO PROVEEDORES'!$B$4:$E$35,2,0),IF(G7="Premium",VLOOKUP(C7,'DESCUENTO PROVEEDORES'!$B$4:$E$35,3,0),IF(G7="Diesel",VLOOKUP(C7,'DESCUENTO PROVEEDORES'!$B$4:$E$35,4,0),"Seleccione Proveedor"))),"-")</f>
        <v>-</v>
      </c>
      <c r="N7" s="20" t="e">
        <f>((((K7-H7)/1.16)-M7))</f>
        <v>#VALUE!</v>
      </c>
      <c r="O7" s="21" t="e">
        <f>((N7*16%)+N7)+H7+L7</f>
        <v>#VALUE!</v>
      </c>
      <c r="P7" s="21" t="e">
        <f>(((J7-O7)-H7)/1.16)+H7</f>
        <v>#VALUE!</v>
      </c>
      <c r="Q7" s="44"/>
      <c r="R7" s="24"/>
      <c r="S7" s="23" t="e">
        <f t="shared" si="0"/>
        <v>#DIV/0!</v>
      </c>
      <c r="T7" s="23" t="e">
        <f t="shared" si="1"/>
        <v>#DIV/0!</v>
      </c>
      <c r="U7" s="22" t="e">
        <f t="shared" si="2"/>
        <v>#DIV/0!</v>
      </c>
      <c r="V7" s="51"/>
      <c r="W7" s="52"/>
      <c r="X7" s="52"/>
      <c r="Y7" s="44"/>
      <c r="Z7" s="44"/>
    </row>
    <row r="8" spans="1:26">
      <c r="A8" s="44"/>
      <c r="B8" s="14" t="s">
        <v>52</v>
      </c>
      <c r="C8" s="53"/>
      <c r="D8" s="15"/>
      <c r="E8" s="89"/>
      <c r="F8" s="16"/>
      <c r="G8" s="16" t="s">
        <v>5</v>
      </c>
      <c r="H8" s="90">
        <f>IF(G8="Regular",Listas!$K$16,IF(G8="Premium",Listas!$K$17,IF(G8="Diesel",Listas!$K$18,"-")))</f>
        <v>0.45235799999999998</v>
      </c>
      <c r="I8" s="17"/>
      <c r="J8" s="18"/>
      <c r="K8" s="19" t="str">
        <f>+IFERROR(IF(G8="Regular",VLOOKUP(C8,'PRECIO TERMINAL PEMEX'!$B$4:$E$35,2,0),IF(G8="Premium",VLOOKUP(C8,'PRECIO TERMINAL PEMEX'!$B$4:$E$35,3,0),IF(G8="Diesel",VLOOKUP(C8,'PRECIO TERMINAL PEMEX'!$B$4:$E$35,4,0),"Seleccione Producto"))),"-")</f>
        <v>-</v>
      </c>
      <c r="L8" s="93" t="str">
        <f>+IFERROR(IF(F8="VHSA",VLOOKUP(B8,Listas!$C$4:$F$17,2,0),IF(F8="DOS BOCAS",VLOOKUP(B8,Listas!$C$4:$F$17,3,0),IF(F8="GLENCORE",VLOOKUP(B8,Listas!$C$4:$F$17,4,0),"Seleccione TAR"))),"-")</f>
        <v>Seleccione TAR</v>
      </c>
      <c r="M8" s="19" t="str">
        <f>+IFERROR(IF(G8="Regular",VLOOKUP(C8,'DESCUENTO PROVEEDORES'!$B$4:$E$35,2,0),IF(G8="Premium",VLOOKUP(C8,'DESCUENTO PROVEEDORES'!$B$4:$E$35,3,0),IF(G8="Diesel",VLOOKUP(C8,'DESCUENTO PROVEEDORES'!$B$4:$E$35,4,0),"Seleccione Proveedor"))),"-")</f>
        <v>-</v>
      </c>
      <c r="N8" s="20" t="e">
        <f>((((K8-H8)/1.16)-M8))</f>
        <v>#VALUE!</v>
      </c>
      <c r="O8" s="21" t="e">
        <f>((N8*16%)+N8)+H8+L8</f>
        <v>#VALUE!</v>
      </c>
      <c r="P8" s="21" t="e">
        <f>(((J8-O8)-H8)/1.16)+H8</f>
        <v>#VALUE!</v>
      </c>
      <c r="Q8" s="44"/>
      <c r="R8" s="24"/>
      <c r="S8" s="23" t="e">
        <f t="shared" si="0"/>
        <v>#DIV/0!</v>
      </c>
      <c r="T8" s="23" t="e">
        <f t="shared" si="1"/>
        <v>#DIV/0!</v>
      </c>
      <c r="U8" s="22" t="e">
        <f t="shared" si="2"/>
        <v>#DIV/0!</v>
      </c>
      <c r="V8" s="51"/>
      <c r="W8" s="44"/>
      <c r="X8" s="44"/>
      <c r="Y8" s="44"/>
      <c r="Z8" s="44"/>
    </row>
    <row r="9" spans="1:26">
      <c r="A9" s="44"/>
      <c r="B9" s="14" t="s">
        <v>54</v>
      </c>
      <c r="C9" s="53"/>
      <c r="D9" s="15"/>
      <c r="E9" s="89"/>
      <c r="F9" s="16"/>
      <c r="G9" s="16" t="s">
        <v>5</v>
      </c>
      <c r="H9" s="90">
        <f>IF(G9="Regular",Listas!$K$16,IF(G9="Premium",Listas!$K$17,IF(G9="Diesel",Listas!$K$18,"-")))</f>
        <v>0.45235799999999998</v>
      </c>
      <c r="I9" s="17"/>
      <c r="J9" s="18"/>
      <c r="K9" s="19" t="str">
        <f>+IFERROR(IF(G9="Regular",VLOOKUP(C9,'PRECIO TERMINAL PEMEX'!$B$4:$E$35,2,0),IF(G9="Premium",VLOOKUP(C9,'PRECIO TERMINAL PEMEX'!$B$4:$E$35,3,0),IF(G9="Diesel",VLOOKUP(C9,'PRECIO TERMINAL PEMEX'!$B$4:$E$35,4,0),"Seleccione Producto"))),"-")</f>
        <v>-</v>
      </c>
      <c r="L9" s="93" t="str">
        <f>+IFERROR(IF(F9="VHSA",VLOOKUP(B9,Listas!$C$4:$F$17,2,0),IF(F9="DOS BOCAS",VLOOKUP(B9,Listas!$C$4:$F$17,3,0),IF(F9="GLENCORE",VLOOKUP(B9,Listas!$C$4:$F$17,4,0),"Seleccione TAR"))),"-")</f>
        <v>Seleccione TAR</v>
      </c>
      <c r="M9" s="19" t="str">
        <f>+IFERROR(IF(G9="Regular",VLOOKUP(C9,'DESCUENTO PROVEEDORES'!$B$4:$E$35,2,0),IF(G9="Premium",VLOOKUP(C9,'DESCUENTO PROVEEDORES'!$B$4:$E$35,3,0),IF(G9="Diesel",VLOOKUP(C9,'DESCUENTO PROVEEDORES'!$B$4:$E$35,4,0),"Seleccione Proveedor"))),"-")</f>
        <v>-</v>
      </c>
      <c r="N9" s="20" t="e">
        <f>((((K9-H9)/1.16)-M9))</f>
        <v>#VALUE!</v>
      </c>
      <c r="O9" s="21" t="e">
        <f>((N9*16%)+N9)+H9+L9</f>
        <v>#VALUE!</v>
      </c>
      <c r="P9" s="21" t="e">
        <f>(((J9-O9)-H9)/1.16)+H9</f>
        <v>#VALUE!</v>
      </c>
      <c r="Q9" s="44"/>
      <c r="R9" s="24"/>
      <c r="S9" s="23" t="e">
        <f t="shared" si="0"/>
        <v>#DIV/0!</v>
      </c>
      <c r="T9" s="23" t="e">
        <f t="shared" si="1"/>
        <v>#DIV/0!</v>
      </c>
      <c r="U9" s="22" t="e">
        <f t="shared" si="2"/>
        <v>#DIV/0!</v>
      </c>
      <c r="V9" s="51"/>
      <c r="W9" s="44"/>
      <c r="X9" s="44"/>
      <c r="Y9" s="44"/>
      <c r="Z9" s="44"/>
    </row>
    <row r="10" spans="1:26">
      <c r="A10" s="44"/>
      <c r="B10" s="14" t="s">
        <v>63</v>
      </c>
      <c r="C10" s="53"/>
      <c r="D10" s="15"/>
      <c r="E10" s="89"/>
      <c r="F10" s="16"/>
      <c r="G10" s="16" t="s">
        <v>5</v>
      </c>
      <c r="H10" s="90">
        <f>IF(G10="Regular",Listas!$K$16,IF(G10="Premium",Listas!$K$17,IF(G10="Diesel",Listas!$K$18,"-")))</f>
        <v>0.45235799999999998</v>
      </c>
      <c r="I10" s="17"/>
      <c r="J10" s="18"/>
      <c r="K10" s="19" t="str">
        <f>+IFERROR(IF(G10="Regular",VLOOKUP(C10,'PRECIO TERMINAL PEMEX'!$B$4:$E$35,2,0),IF(G10="Premium",VLOOKUP(C10,'PRECIO TERMINAL PEMEX'!$B$4:$E$35,3,0),IF(G10="Diesel",VLOOKUP(C10,'PRECIO TERMINAL PEMEX'!$B$4:$E$35,4,0),"Seleccione Producto"))),"-")</f>
        <v>-</v>
      </c>
      <c r="L10" s="93" t="str">
        <f>+IFERROR(IF(F10="VHSA",VLOOKUP(B10,Listas!$C$4:$F$17,2,0),IF(F10="DOS BOCAS",VLOOKUP(B10,Listas!$C$4:$F$17,3,0),IF(F10="GLENCORE",VLOOKUP(B10,Listas!$C$4:$F$17,4,0),"Seleccione TAR"))),"-")</f>
        <v>Seleccione TAR</v>
      </c>
      <c r="M10" s="19" t="str">
        <f>+IFERROR(IF(G10="Regular",VLOOKUP(C10,'DESCUENTO PROVEEDORES'!$B$4:$E$35,2,0),IF(G10="Premium",VLOOKUP(C10,'DESCUENTO PROVEEDORES'!$B$4:$E$35,3,0),IF(G10="Diesel",VLOOKUP(C10,'DESCUENTO PROVEEDORES'!$B$4:$E$35,4,0),"Seleccione Proveedor"))),"-")</f>
        <v>-</v>
      </c>
      <c r="N10" s="20" t="e">
        <f>((((K10-H10)/1.16)-M10))</f>
        <v>#VALUE!</v>
      </c>
      <c r="O10" s="21" t="e">
        <f>((N10*16%)+N10)+H10+L10</f>
        <v>#VALUE!</v>
      </c>
      <c r="P10" s="21" t="e">
        <f>(((J10-O10)-H10)/1.16)+H10</f>
        <v>#VALUE!</v>
      </c>
      <c r="Q10" s="44"/>
      <c r="R10" s="24"/>
      <c r="S10" s="23" t="e">
        <f t="shared" si="0"/>
        <v>#DIV/0!</v>
      </c>
      <c r="T10" s="23" t="e">
        <f t="shared" si="1"/>
        <v>#DIV/0!</v>
      </c>
      <c r="U10" s="22" t="e">
        <f t="shared" si="2"/>
        <v>#DIV/0!</v>
      </c>
      <c r="V10" s="51"/>
      <c r="W10" s="44"/>
      <c r="X10" s="44"/>
      <c r="Y10" s="44"/>
      <c r="Z10" s="44"/>
    </row>
    <row r="11" spans="1:26">
      <c r="A11" s="44"/>
      <c r="B11" s="14" t="s">
        <v>56</v>
      </c>
      <c r="C11" s="53"/>
      <c r="D11" s="15"/>
      <c r="E11" s="89"/>
      <c r="F11" s="16"/>
      <c r="G11" s="16" t="s">
        <v>5</v>
      </c>
      <c r="H11" s="90">
        <f>IF(G11="Regular",Listas!$K$16,IF(G11="Premium",Listas!$K$17,IF(G11="Diesel",Listas!$K$18,"-")))</f>
        <v>0.45235799999999998</v>
      </c>
      <c r="I11" s="17"/>
      <c r="J11" s="18"/>
      <c r="K11" s="19" t="str">
        <f>+IFERROR(IF(G11="Regular",VLOOKUP(C11,'PRECIO TERMINAL PEMEX'!$B$4:$E$35,2,0),IF(G11="Premium",VLOOKUP(C11,'PRECIO TERMINAL PEMEX'!$B$4:$E$35,3,0),IF(G11="Diesel",VLOOKUP(C11,'PRECIO TERMINAL PEMEX'!$B$4:$E$35,4,0),"Seleccione Producto"))),"-")</f>
        <v>-</v>
      </c>
      <c r="L11" s="93" t="str">
        <f>+IFERROR(IF(F11="VHSA",VLOOKUP(B11,Listas!$C$4:$F$17,2,0),IF(F11="DOS BOCAS",VLOOKUP(B11,Listas!$C$4:$F$17,3,0),IF(F11="GLENCORE",VLOOKUP(B11,Listas!$C$4:$F$17,4,0),"Seleccione TAR"))),"-")</f>
        <v>Seleccione TAR</v>
      </c>
      <c r="M11" s="19" t="str">
        <f>+IFERROR(IF(G11="Regular",VLOOKUP(C11,'DESCUENTO PROVEEDORES'!$B$4:$E$35,2,0),IF(G11="Premium",VLOOKUP(C11,'DESCUENTO PROVEEDORES'!$B$4:$E$35,3,0),IF(G11="Diesel",VLOOKUP(C11,'DESCUENTO PROVEEDORES'!$B$4:$E$35,4,0),"Seleccione Proveedor"))),"-")</f>
        <v>-</v>
      </c>
      <c r="N11" s="20" t="e">
        <f>((((K11-H11)/1.16)-M11))</f>
        <v>#VALUE!</v>
      </c>
      <c r="O11" s="21" t="e">
        <f>((N11*16%)+N11)+H11+L11</f>
        <v>#VALUE!</v>
      </c>
      <c r="P11" s="21" t="e">
        <f>(((J11-O11)-H11)/1.16)+H11</f>
        <v>#VALUE!</v>
      </c>
      <c r="Q11" s="44"/>
      <c r="R11" s="24"/>
      <c r="S11" s="23" t="e">
        <f t="shared" si="0"/>
        <v>#DIV/0!</v>
      </c>
      <c r="T11" s="23" t="e">
        <f t="shared" si="1"/>
        <v>#DIV/0!</v>
      </c>
      <c r="U11" s="22" t="e">
        <f t="shared" si="2"/>
        <v>#DIV/0!</v>
      </c>
      <c r="V11" s="51"/>
      <c r="W11" s="44"/>
      <c r="X11" s="44"/>
      <c r="Y11" s="44"/>
      <c r="Z11" s="44"/>
    </row>
    <row r="12" spans="1:26">
      <c r="A12" s="44"/>
      <c r="B12" s="14" t="s">
        <v>55</v>
      </c>
      <c r="C12" s="53"/>
      <c r="D12" s="15"/>
      <c r="E12" s="89"/>
      <c r="F12" s="16"/>
      <c r="G12" s="16" t="s">
        <v>5</v>
      </c>
      <c r="H12" s="90">
        <f>IF(G12="Regular",Listas!$K$16,IF(G12="Premium",Listas!$K$17,IF(G12="Diesel",Listas!$K$18,"-")))</f>
        <v>0.45235799999999998</v>
      </c>
      <c r="I12" s="17"/>
      <c r="J12" s="18"/>
      <c r="K12" s="19" t="str">
        <f>+IFERROR(IF(G12="Regular",VLOOKUP(C12,'PRECIO TERMINAL PEMEX'!$B$4:$E$35,2,0),IF(G12="Premium",VLOOKUP(C12,'PRECIO TERMINAL PEMEX'!$B$4:$E$35,3,0),IF(G12="Diesel",VLOOKUP(C12,'PRECIO TERMINAL PEMEX'!$B$4:$E$35,4,0),"Seleccione Producto"))),"-")</f>
        <v>-</v>
      </c>
      <c r="L12" s="93" t="str">
        <f>+IFERROR(IF(F12="VHSA",VLOOKUP(B12,Listas!$C$4:$F$17,2,0),IF(F12="DOS BOCAS",VLOOKUP(B12,Listas!$C$4:$F$17,3,0),IF(F12="GLENCORE",VLOOKUP(B12,Listas!$C$4:$F$17,4,0),"Seleccione TAR"))),"-")</f>
        <v>Seleccione TAR</v>
      </c>
      <c r="M12" s="19" t="str">
        <f>+IFERROR(IF(G12="Regular",VLOOKUP(C12,'DESCUENTO PROVEEDORES'!$B$4:$E$35,2,0),IF(G12="Premium",VLOOKUP(C12,'DESCUENTO PROVEEDORES'!$B$4:$E$35,3,0),IF(G12="Diesel",VLOOKUP(C12,'DESCUENTO PROVEEDORES'!$B$4:$E$35,4,0),"Seleccione Proveedor"))),"-")</f>
        <v>-</v>
      </c>
      <c r="N12" s="20" t="e">
        <f>((((K12-H12)/1.16)-M12))</f>
        <v>#VALUE!</v>
      </c>
      <c r="O12" s="21" t="e">
        <f>((N12*16%)+N12)+H12+L12</f>
        <v>#VALUE!</v>
      </c>
      <c r="P12" s="21" t="e">
        <f>(((J12-O12)-H12)/1.16)+H12</f>
        <v>#VALUE!</v>
      </c>
      <c r="Q12" s="44"/>
      <c r="R12" s="24"/>
      <c r="S12" s="23" t="e">
        <f t="shared" si="0"/>
        <v>#DIV/0!</v>
      </c>
      <c r="T12" s="23" t="e">
        <f t="shared" si="1"/>
        <v>#DIV/0!</v>
      </c>
      <c r="U12" s="22" t="e">
        <f t="shared" si="2"/>
        <v>#DIV/0!</v>
      </c>
      <c r="V12" s="51"/>
      <c r="W12" s="54"/>
      <c r="X12" s="44"/>
      <c r="Y12" s="44"/>
      <c r="Z12" s="44"/>
    </row>
    <row r="13" spans="1:26">
      <c r="A13" s="44"/>
      <c r="B13" s="14" t="s">
        <v>59</v>
      </c>
      <c r="C13" s="53"/>
      <c r="D13" s="15"/>
      <c r="E13" s="89"/>
      <c r="F13" s="16"/>
      <c r="G13" s="16" t="s">
        <v>5</v>
      </c>
      <c r="H13" s="90">
        <f>IF(G13="Regular",Listas!$K$16,IF(G13="Premium",Listas!$K$17,IF(G13="Diesel",Listas!$K$18,"-")))</f>
        <v>0.45235799999999998</v>
      </c>
      <c r="I13" s="17"/>
      <c r="J13" s="18"/>
      <c r="K13" s="19" t="str">
        <f>+IFERROR(IF(G13="Regular",VLOOKUP(C13,'PRECIO TERMINAL PEMEX'!$B$4:$E$35,2,0),IF(G13="Premium",VLOOKUP(C13,'PRECIO TERMINAL PEMEX'!$B$4:$E$35,3,0),IF(G13="Diesel",VLOOKUP(C13,'PRECIO TERMINAL PEMEX'!$B$4:$E$35,4,0),"Seleccione Producto"))),"-")</f>
        <v>-</v>
      </c>
      <c r="L13" s="93" t="str">
        <f>+IFERROR(IF(F13="VHSA",VLOOKUP(B13,Listas!$C$4:$F$17,2,0),IF(F13="DOS BOCAS",VLOOKUP(B13,Listas!$C$4:$F$17,3,0),IF(F13="GLENCORE",VLOOKUP(B13,Listas!$C$4:$F$17,4,0),"Seleccione TAR"))),"-")</f>
        <v>Seleccione TAR</v>
      </c>
      <c r="M13" s="19" t="str">
        <f>+IFERROR(IF(G13="Regular",VLOOKUP(C13,'DESCUENTO PROVEEDORES'!$B$4:$E$35,2,0),IF(G13="Premium",VLOOKUP(C13,'DESCUENTO PROVEEDORES'!$B$4:$E$35,3,0),IF(G13="Diesel",VLOOKUP(C13,'DESCUENTO PROVEEDORES'!$B$4:$E$35,4,0),"Seleccione Proveedor"))),"-")</f>
        <v>-</v>
      </c>
      <c r="N13" s="20" t="e">
        <f>((((K13-H13)/1.16)-M13))</f>
        <v>#VALUE!</v>
      </c>
      <c r="O13" s="21" t="e">
        <f>((N13*16%)+N13)+H13+L13</f>
        <v>#VALUE!</v>
      </c>
      <c r="P13" s="21" t="e">
        <f>(((J13-O13)-H13)/1.16)+H13</f>
        <v>#VALUE!</v>
      </c>
      <c r="Q13" s="44"/>
      <c r="R13" s="24"/>
      <c r="S13" s="23" t="e">
        <f t="shared" si="0"/>
        <v>#DIV/0!</v>
      </c>
      <c r="T13" s="23" t="e">
        <f t="shared" si="1"/>
        <v>#DIV/0!</v>
      </c>
      <c r="U13" s="22" t="e">
        <f t="shared" si="2"/>
        <v>#DIV/0!</v>
      </c>
      <c r="V13" s="51"/>
      <c r="W13" s="44"/>
      <c r="X13" s="44"/>
      <c r="Y13" s="44"/>
      <c r="Z13" s="44"/>
    </row>
    <row r="14" spans="1:26">
      <c r="A14" s="44"/>
      <c r="B14" s="14" t="s">
        <v>58</v>
      </c>
      <c r="C14" s="53"/>
      <c r="D14" s="15"/>
      <c r="E14" s="89"/>
      <c r="F14" s="16"/>
      <c r="G14" s="16" t="s">
        <v>5</v>
      </c>
      <c r="H14" s="90">
        <f>IF(G14="Regular",Listas!$K$16,IF(G14="Premium",Listas!$K$17,IF(G14="Diesel",Listas!$K$18,"-")))</f>
        <v>0.45235799999999998</v>
      </c>
      <c r="I14" s="17"/>
      <c r="J14" s="18"/>
      <c r="K14" s="19" t="str">
        <f>+IFERROR(IF(G14="Regular",VLOOKUP(C14,'PRECIO TERMINAL PEMEX'!$B$4:$E$35,2,0),IF(G14="Premium",VLOOKUP(C14,'PRECIO TERMINAL PEMEX'!$B$4:$E$35,3,0),IF(G14="Diesel",VLOOKUP(C14,'PRECIO TERMINAL PEMEX'!$B$4:$E$35,4,0),"Seleccione Producto"))),"-")</f>
        <v>-</v>
      </c>
      <c r="L14" s="93" t="str">
        <f>+IFERROR(IF(F14="VHSA",VLOOKUP(B14,Listas!$C$4:$F$17,2,0),IF(F14="DOS BOCAS",VLOOKUP(B14,Listas!$C$4:$F$17,3,0),IF(F14="GLENCORE",VLOOKUP(B14,Listas!$C$4:$F$17,4,0),"Seleccione TAR"))),"-")</f>
        <v>Seleccione TAR</v>
      </c>
      <c r="M14" s="19" t="str">
        <f>+IFERROR(IF(G14="Regular",VLOOKUP(C14,'DESCUENTO PROVEEDORES'!$B$4:$E$35,2,0),IF(G14="Premium",VLOOKUP(C14,'DESCUENTO PROVEEDORES'!$B$4:$E$35,3,0),IF(G14="Diesel",VLOOKUP(C14,'DESCUENTO PROVEEDORES'!$B$4:$E$35,4,0),"Seleccione Proveedor"))),"-")</f>
        <v>-</v>
      </c>
      <c r="N14" s="20" t="e">
        <f>((((K14-H14)/1.16)-M14))</f>
        <v>#VALUE!</v>
      </c>
      <c r="O14" s="21" t="e">
        <f>((N14*16%)+N14)+H14+L14</f>
        <v>#VALUE!</v>
      </c>
      <c r="P14" s="21" t="e">
        <f>(((J14-O14)-H14)/1.16)+H14</f>
        <v>#VALUE!</v>
      </c>
      <c r="Q14" s="44"/>
      <c r="R14" s="24"/>
      <c r="S14" s="23" t="e">
        <f t="shared" si="0"/>
        <v>#DIV/0!</v>
      </c>
      <c r="T14" s="23" t="e">
        <f t="shared" si="1"/>
        <v>#DIV/0!</v>
      </c>
      <c r="U14" s="22" t="e">
        <f t="shared" si="2"/>
        <v>#DIV/0!</v>
      </c>
      <c r="V14" s="51"/>
      <c r="W14" s="44"/>
      <c r="X14" s="44"/>
      <c r="Y14" s="44"/>
      <c r="Z14" s="44"/>
    </row>
    <row r="15" spans="1:26">
      <c r="A15" s="44"/>
      <c r="B15" s="14" t="s">
        <v>57</v>
      </c>
      <c r="C15" s="53"/>
      <c r="D15" s="15"/>
      <c r="E15" s="89"/>
      <c r="F15" s="16"/>
      <c r="G15" s="16" t="s">
        <v>5</v>
      </c>
      <c r="H15" s="90">
        <f>IF(G15="Regular",Listas!$K$16,IF(G15="Premium",Listas!$K$17,IF(G15="Diesel",Listas!$K$18,"-")))</f>
        <v>0.45235799999999998</v>
      </c>
      <c r="I15" s="17"/>
      <c r="J15" s="18"/>
      <c r="K15" s="19" t="str">
        <f>+IFERROR(IF(G15="Regular",VLOOKUP(C15,'PRECIO TERMINAL PEMEX'!$B$4:$E$35,2,0),IF(G15="Premium",VLOOKUP(C15,'PRECIO TERMINAL PEMEX'!$B$4:$E$35,3,0),IF(G15="Diesel",VLOOKUP(C15,'PRECIO TERMINAL PEMEX'!$B$4:$E$35,4,0),"Seleccione Producto"))),"-")</f>
        <v>-</v>
      </c>
      <c r="L15" s="93" t="str">
        <f>+IFERROR(IF(F15="VHSA",VLOOKUP(B15,Listas!$C$4:$F$17,2,0),IF(F15="DOS BOCAS",VLOOKUP(B15,Listas!$C$4:$F$17,3,0),IF(F15="GLENCORE",VLOOKUP(B15,Listas!$C$4:$F$17,4,0),"Seleccione TAR"))),"-")</f>
        <v>Seleccione TAR</v>
      </c>
      <c r="M15" s="19" t="str">
        <f>+IFERROR(IF(G15="Regular",VLOOKUP(C15,'DESCUENTO PROVEEDORES'!$B$4:$E$35,2,0),IF(G15="Premium",VLOOKUP(C15,'DESCUENTO PROVEEDORES'!$B$4:$E$35,3,0),IF(G15="Diesel",VLOOKUP(C15,'DESCUENTO PROVEEDORES'!$B$4:$E$35,4,0),"Seleccione Proveedor"))),"-")</f>
        <v>-</v>
      </c>
      <c r="N15" s="20" t="e">
        <f>((((K15-H15)/1.16)-M15))</f>
        <v>#VALUE!</v>
      </c>
      <c r="O15" s="21" t="e">
        <f>((N15*16%)+N15)+H15+L15</f>
        <v>#VALUE!</v>
      </c>
      <c r="P15" s="21" t="e">
        <f>(((J15-O15)-H15)/1.16)+H15</f>
        <v>#VALUE!</v>
      </c>
      <c r="Q15" s="44"/>
      <c r="R15" s="24"/>
      <c r="S15" s="23" t="e">
        <f t="shared" si="0"/>
        <v>#DIV/0!</v>
      </c>
      <c r="T15" s="23" t="e">
        <f t="shared" si="1"/>
        <v>#DIV/0!</v>
      </c>
      <c r="U15" s="22" t="e">
        <f t="shared" si="2"/>
        <v>#DIV/0!</v>
      </c>
      <c r="V15" s="51"/>
      <c r="W15" s="44"/>
      <c r="X15" s="44"/>
      <c r="Y15" s="44"/>
      <c r="Z15" s="44"/>
    </row>
    <row r="16" spans="1:26">
      <c r="A16" s="44"/>
      <c r="B16" s="14" t="s">
        <v>64</v>
      </c>
      <c r="C16" s="53"/>
      <c r="D16" s="15"/>
      <c r="E16" s="89"/>
      <c r="F16" s="16"/>
      <c r="G16" s="16" t="s">
        <v>5</v>
      </c>
      <c r="H16" s="90">
        <f>IF(G16="Regular",Listas!$K$16,IF(G16="Premium",Listas!$K$17,IF(G16="Diesel",Listas!$K$18,"-")))</f>
        <v>0.45235799999999998</v>
      </c>
      <c r="I16" s="17"/>
      <c r="J16" s="18"/>
      <c r="K16" s="19" t="str">
        <f>+IFERROR(IF(G16="Regular",VLOOKUP(C16,'PRECIO TERMINAL PEMEX'!$B$4:$E$35,2,0),IF(G16="Premium",VLOOKUP(C16,'PRECIO TERMINAL PEMEX'!$B$4:$E$35,3,0),IF(G16="Diesel",VLOOKUP(C16,'PRECIO TERMINAL PEMEX'!$B$4:$E$35,4,0),"Seleccione Producto"))),"-")</f>
        <v>-</v>
      </c>
      <c r="L16" s="93" t="str">
        <f>+IFERROR(IF(F16="VHSA",VLOOKUP(B16,Listas!$C$4:$F$17,2,0),IF(F16="DOS BOCAS",VLOOKUP(B16,Listas!$C$4:$F$17,3,0),IF(F16="GLENCORE",VLOOKUP(B16,Listas!$C$4:$F$17,4,0),"Seleccione TAR"))),"-")</f>
        <v>Seleccione TAR</v>
      </c>
      <c r="M16" s="19" t="str">
        <f>+IFERROR(IF(G16="Regular",VLOOKUP(C16,'DESCUENTO PROVEEDORES'!$B$4:$E$35,2,0),IF(G16="Premium",VLOOKUP(C16,'DESCUENTO PROVEEDORES'!$B$4:$E$35,3,0),IF(G16="Diesel",VLOOKUP(C16,'DESCUENTO PROVEEDORES'!$B$4:$E$35,4,0),"Seleccione Proveedor"))),"-")</f>
        <v>-</v>
      </c>
      <c r="N16" s="20" t="e">
        <f>((((K16-H16)/1.16)-M16))</f>
        <v>#VALUE!</v>
      </c>
      <c r="O16" s="21" t="e">
        <f>((N16*16%)+N16)+H16+L16</f>
        <v>#VALUE!</v>
      </c>
      <c r="P16" s="21" t="e">
        <f>(((J16-O16)-H16)/1.16)+H16</f>
        <v>#VALUE!</v>
      </c>
      <c r="Q16" s="44"/>
      <c r="R16" s="24"/>
      <c r="S16" s="23" t="e">
        <f t="shared" si="0"/>
        <v>#DIV/0!</v>
      </c>
      <c r="T16" s="23" t="e">
        <f t="shared" si="1"/>
        <v>#DIV/0!</v>
      </c>
      <c r="U16" s="22" t="e">
        <f t="shared" si="2"/>
        <v>#DIV/0!</v>
      </c>
      <c r="V16" s="51"/>
      <c r="W16" s="44"/>
      <c r="X16" s="44"/>
      <c r="Y16" s="44"/>
      <c r="Z16" s="44"/>
    </row>
    <row r="17" spans="1:26">
      <c r="A17" s="44"/>
      <c r="B17" s="14"/>
      <c r="C17" s="53"/>
      <c r="D17" s="15"/>
      <c r="E17" s="89"/>
      <c r="F17" s="16"/>
      <c r="G17" s="16"/>
      <c r="H17" s="90" t="str">
        <f>IF(G17="Regular",Listas!$K$16,IF(G17="Premium",Listas!$K$17,IF(G17="Diesel",Listas!$K$18,"-")))</f>
        <v>-</v>
      </c>
      <c r="I17" s="17"/>
      <c r="J17" s="18"/>
      <c r="K17" s="19" t="str">
        <f>+IFERROR(IF(G17="Regular",VLOOKUP(C17,'PRECIO TERMINAL PEMEX'!$B$4:$E$35,2,0),IF(G17="Premium",VLOOKUP(C17,'PRECIO TERMINAL PEMEX'!$B$4:$E$35,3,0),IF(G17="Diesel",VLOOKUP(C17,'PRECIO TERMINAL PEMEX'!$B$4:$E$35,4,0),"Seleccione Producto"))),"-")</f>
        <v>Seleccione Producto</v>
      </c>
      <c r="L17" s="93" t="str">
        <f>+IFERROR(IF(F17="VHSA",VLOOKUP(B17,Listas!$C$4:$F$17,2,0),IF(F17="DOS BOCAS",VLOOKUP(B17,Listas!$C$4:$F$17,3,0),IF(F17="GLENCORE",VLOOKUP(B17,Listas!$C$4:$F$17,4,0),"Seleccione TAR"))),"-")</f>
        <v>Seleccione TAR</v>
      </c>
      <c r="M17" s="19" t="str">
        <f>+IFERROR(IF(G17="Regular",VLOOKUP(C17,'DESCUENTO PROVEEDORES'!$B$4:$E$35,2,0),IF(G17="Premium",VLOOKUP(C17,'DESCUENTO PROVEEDORES'!$B$4:$E$35,3,0),IF(G17="Diesel",VLOOKUP(C17,'DESCUENTO PROVEEDORES'!$B$4:$E$35,4,0),"Seleccione Proveedor"))),"-")</f>
        <v>Seleccione Proveedor</v>
      </c>
      <c r="N17" s="20" t="e">
        <f>((((K17-H17)/1.16)-M17))</f>
        <v>#VALUE!</v>
      </c>
      <c r="O17" s="21" t="e">
        <f>((N17*16%)+N17)+H17+L17</f>
        <v>#VALUE!</v>
      </c>
      <c r="P17" s="21" t="e">
        <f>(((J17-O17)-H17)/1.16)+H17</f>
        <v>#VALUE!</v>
      </c>
      <c r="Q17" s="44"/>
      <c r="R17" s="24"/>
      <c r="S17" s="23" t="e">
        <f t="shared" si="0"/>
        <v>#DIV/0!</v>
      </c>
      <c r="T17" s="23" t="e">
        <f t="shared" si="1"/>
        <v>#DIV/0!</v>
      </c>
      <c r="U17" s="22" t="e">
        <f t="shared" si="2"/>
        <v>#DIV/0!</v>
      </c>
      <c r="V17" s="51"/>
      <c r="W17" s="44"/>
      <c r="X17" s="44"/>
      <c r="Y17" s="44"/>
      <c r="Z17" s="44"/>
    </row>
    <row r="18" spans="1:26">
      <c r="A18" s="44"/>
      <c r="B18" s="14"/>
      <c r="C18" s="53"/>
      <c r="D18" s="15"/>
      <c r="E18" s="89"/>
      <c r="F18" s="16"/>
      <c r="G18" s="16"/>
      <c r="H18" s="90" t="str">
        <f>IF(G18="Regular",Listas!$K$16,IF(G18="Premium",Listas!$K$17,IF(G18="Diesel",Listas!$K$18,"-")))</f>
        <v>-</v>
      </c>
      <c r="I18" s="17"/>
      <c r="J18" s="18"/>
      <c r="K18" s="19" t="str">
        <f>+IFERROR(IF(G18="Regular",VLOOKUP(C18,'PRECIO TERMINAL PEMEX'!$B$4:$E$35,2,0),IF(G18="Premium",VLOOKUP(C18,'PRECIO TERMINAL PEMEX'!$B$4:$E$35,3,0),IF(G18="Diesel",VLOOKUP(C18,'PRECIO TERMINAL PEMEX'!$B$4:$E$35,4,0),"Seleccione Producto"))),"-")</f>
        <v>Seleccione Producto</v>
      </c>
      <c r="L18" s="93" t="str">
        <f>+IFERROR(IF(F18="VHSA",VLOOKUP(B18,Listas!$C$4:$F$17,2,0),IF(F18="DOS BOCAS",VLOOKUP(B18,Listas!$C$4:$F$17,3,0),IF(F18="GLENCORE",VLOOKUP(B18,Listas!$C$4:$F$17,4,0),"Seleccione TAR"))),"-")</f>
        <v>Seleccione TAR</v>
      </c>
      <c r="M18" s="19" t="str">
        <f>+IFERROR(IF(G18="Regular",VLOOKUP(C18,'DESCUENTO PROVEEDORES'!$B$4:$E$35,2,0),IF(G18="Premium",VLOOKUP(C18,'DESCUENTO PROVEEDORES'!$B$4:$E$35,3,0),IF(G18="Diesel",VLOOKUP(C18,'DESCUENTO PROVEEDORES'!$B$4:$E$35,4,0),"Seleccione Proveedor"))),"-")</f>
        <v>Seleccione Proveedor</v>
      </c>
      <c r="N18" s="20" t="e">
        <f>((((K18-H18)/1.16)-M18))</f>
        <v>#VALUE!</v>
      </c>
      <c r="O18" s="21" t="e">
        <f>((N18*16%)+N18)+H18+L18</f>
        <v>#VALUE!</v>
      </c>
      <c r="P18" s="21" t="e">
        <f>(((J18-O18)-H18)/1.16)+H18</f>
        <v>#VALUE!</v>
      </c>
      <c r="Q18" s="44"/>
      <c r="R18" s="24"/>
      <c r="S18" s="23" t="e">
        <f t="shared" si="0"/>
        <v>#DIV/0!</v>
      </c>
      <c r="T18" s="23" t="e">
        <f t="shared" si="1"/>
        <v>#DIV/0!</v>
      </c>
      <c r="U18" s="22" t="e">
        <f t="shared" si="2"/>
        <v>#DIV/0!</v>
      </c>
      <c r="V18" s="51"/>
      <c r="W18" s="44"/>
      <c r="X18" s="44"/>
      <c r="Y18" s="44"/>
      <c r="Z18" s="44"/>
    </row>
    <row r="19" spans="1:26">
      <c r="A19" s="44"/>
      <c r="B19" s="14"/>
      <c r="C19" s="53"/>
      <c r="D19" s="15"/>
      <c r="E19" s="89"/>
      <c r="F19" s="16"/>
      <c r="G19" s="16"/>
      <c r="H19" s="90" t="str">
        <f>IF(G19="Regular",Listas!$K$16,IF(G19="Premium",Listas!$K$17,IF(G19="Diesel",Listas!$K$18,"-")))</f>
        <v>-</v>
      </c>
      <c r="I19" s="17"/>
      <c r="J19" s="18"/>
      <c r="K19" s="19" t="str">
        <f>+IFERROR(IF(G19="Regular",VLOOKUP(C19,'PRECIO TERMINAL PEMEX'!$B$4:$E$35,2,0),IF(G19="Premium",VLOOKUP(C19,'PRECIO TERMINAL PEMEX'!$B$4:$E$35,3,0),IF(G19="Diesel",VLOOKUP(C19,'PRECIO TERMINAL PEMEX'!$B$4:$E$35,4,0),"Seleccione Producto"))),"-")</f>
        <v>Seleccione Producto</v>
      </c>
      <c r="L19" s="93" t="str">
        <f>+IFERROR(IF(F19="VHSA",VLOOKUP(B19,Listas!$C$4:$F$17,2,0),IF(F19="DOS BOCAS",VLOOKUP(B19,Listas!$C$4:$F$17,3,0),IF(F19="GLENCORE",VLOOKUP(B19,Listas!$C$4:$F$17,4,0),"Seleccione TAR"))),"-")</f>
        <v>Seleccione TAR</v>
      </c>
      <c r="M19" s="19" t="str">
        <f>+IFERROR(IF(G19="Regular",VLOOKUP(C19,'DESCUENTO PROVEEDORES'!$B$4:$E$35,2,0),IF(G19="Premium",VLOOKUP(C19,'DESCUENTO PROVEEDORES'!$B$4:$E$35,3,0),IF(G19="Diesel",VLOOKUP(C19,'DESCUENTO PROVEEDORES'!$B$4:$E$35,4,0),"Seleccione Proveedor"))),"-")</f>
        <v>Seleccione Proveedor</v>
      </c>
      <c r="N19" s="20" t="e">
        <f>((((K19-H19)/1.16)-M19))</f>
        <v>#VALUE!</v>
      </c>
      <c r="O19" s="21" t="e">
        <f>((N19*16%)+N19)+H19+L19</f>
        <v>#VALUE!</v>
      </c>
      <c r="P19" s="21" t="e">
        <f>(((J19-O19)-H19)/1.16)+H19</f>
        <v>#VALUE!</v>
      </c>
      <c r="Q19" s="44"/>
      <c r="R19" s="24"/>
      <c r="S19" s="23" t="e">
        <f t="shared" si="0"/>
        <v>#DIV/0!</v>
      </c>
      <c r="T19" s="23" t="e">
        <f t="shared" si="1"/>
        <v>#DIV/0!</v>
      </c>
      <c r="U19" s="22" t="e">
        <f t="shared" si="2"/>
        <v>#DIV/0!</v>
      </c>
      <c r="V19" s="51"/>
      <c r="W19" s="44"/>
      <c r="X19" s="44"/>
      <c r="Y19" s="44"/>
      <c r="Z19" s="44"/>
    </row>
    <row r="20" spans="1:26">
      <c r="A20" s="44"/>
      <c r="B20" s="14"/>
      <c r="C20" s="53"/>
      <c r="D20" s="15"/>
      <c r="E20" s="89"/>
      <c r="F20" s="16"/>
      <c r="G20" s="16"/>
      <c r="H20" s="90" t="str">
        <f>IF(G20="Regular",Listas!$K$16,IF(G20="Premium",Listas!$K$17,IF(G20="Diesel",Listas!$K$18,"-")))</f>
        <v>-</v>
      </c>
      <c r="I20" s="17"/>
      <c r="J20" s="18"/>
      <c r="K20" s="19" t="str">
        <f>+IFERROR(IF(G20="Regular",VLOOKUP(C20,'PRECIO TERMINAL PEMEX'!$B$4:$E$35,2,0),IF(G20="Premium",VLOOKUP(C20,'PRECIO TERMINAL PEMEX'!$B$4:$E$35,3,0),IF(G20="Diesel",VLOOKUP(C20,'PRECIO TERMINAL PEMEX'!$B$4:$E$35,4,0),"Seleccione Producto"))),"-")</f>
        <v>Seleccione Producto</v>
      </c>
      <c r="L20" s="93" t="str">
        <f>+IFERROR(IF(F20="VHSA",VLOOKUP(B20,Listas!$C$4:$F$17,2,0),IF(F20="DOS BOCAS",VLOOKUP(B20,Listas!$C$4:$F$17,3,0),IF(F20="GLENCORE",VLOOKUP(B20,Listas!$C$4:$F$17,4,0),"Seleccione TAR"))),"-")</f>
        <v>Seleccione TAR</v>
      </c>
      <c r="M20" s="19" t="str">
        <f>+IFERROR(IF(G20="Regular",VLOOKUP(C20,'DESCUENTO PROVEEDORES'!$B$4:$E$35,2,0),IF(G20="Premium",VLOOKUP(C20,'DESCUENTO PROVEEDORES'!$B$4:$E$35,3,0),IF(G20="Diesel",VLOOKUP(C20,'DESCUENTO PROVEEDORES'!$B$4:$E$35,4,0),"Seleccione Proveedor"))),"-")</f>
        <v>Seleccione Proveedor</v>
      </c>
      <c r="N20" s="20" t="e">
        <f>((((K20-H20)/1.16)-M20))</f>
        <v>#VALUE!</v>
      </c>
      <c r="O20" s="21" t="e">
        <f>((N20*16%)+N20)+H20+L20</f>
        <v>#VALUE!</v>
      </c>
      <c r="P20" s="21" t="e">
        <f>(((J20-O20)-H20)/1.16)+H20</f>
        <v>#VALUE!</v>
      </c>
      <c r="Q20" s="44"/>
      <c r="R20" s="24"/>
      <c r="S20" s="23" t="e">
        <f t="shared" si="0"/>
        <v>#DIV/0!</v>
      </c>
      <c r="T20" s="23" t="e">
        <f t="shared" si="1"/>
        <v>#DIV/0!</v>
      </c>
      <c r="U20" s="22" t="e">
        <f t="shared" si="2"/>
        <v>#DIV/0!</v>
      </c>
      <c r="V20" s="51"/>
      <c r="W20" s="44"/>
      <c r="X20" s="44"/>
      <c r="Y20" s="44"/>
      <c r="Z20" s="44"/>
    </row>
    <row r="21" spans="1:26">
      <c r="A21" s="44"/>
      <c r="B21" s="14"/>
      <c r="C21" s="53"/>
      <c r="D21" s="15"/>
      <c r="E21" s="89"/>
      <c r="F21" s="16"/>
      <c r="G21" s="16"/>
      <c r="H21" s="90" t="str">
        <f>IF(G21="Regular",Listas!$K$16,IF(G21="Premium",Listas!$K$17,IF(G21="Diesel",Listas!$K$18,"-")))</f>
        <v>-</v>
      </c>
      <c r="I21" s="17"/>
      <c r="J21" s="18"/>
      <c r="K21" s="19" t="str">
        <f>+IFERROR(IF(G21="Regular",VLOOKUP(C21,'PRECIO TERMINAL PEMEX'!$B$4:$E$35,2,0),IF(G21="Premium",VLOOKUP(C21,'PRECIO TERMINAL PEMEX'!$B$4:$E$35,3,0),IF(G21="Diesel",VLOOKUP(C21,'PRECIO TERMINAL PEMEX'!$B$4:$E$35,4,0),"Seleccione Producto"))),"-")</f>
        <v>Seleccione Producto</v>
      </c>
      <c r="L21" s="93" t="str">
        <f>+IFERROR(IF(F21="VHSA",VLOOKUP(B21,Listas!$C$4:$F$17,2,0),IF(F21="DOS BOCAS",VLOOKUP(B21,Listas!$C$4:$F$17,3,0),IF(F21="GLENCORE",VLOOKUP(B21,Listas!$C$4:$F$17,4,0),"Seleccione TAR"))),"-")</f>
        <v>Seleccione TAR</v>
      </c>
      <c r="M21" s="19" t="str">
        <f>+IFERROR(IF(G21="Regular",VLOOKUP(C21,'DESCUENTO PROVEEDORES'!$B$4:$E$35,2,0),IF(G21="Premium",VLOOKUP(C21,'DESCUENTO PROVEEDORES'!$B$4:$E$35,3,0),IF(G21="Diesel",VLOOKUP(C21,'DESCUENTO PROVEEDORES'!$B$4:$E$35,4,0),"Seleccione Proveedor"))),"-")</f>
        <v>Seleccione Proveedor</v>
      </c>
      <c r="N21" s="20" t="e">
        <f>((((K21-H21)/1.16)-M21))</f>
        <v>#VALUE!</v>
      </c>
      <c r="O21" s="21" t="e">
        <f>((N21*16%)+N21)+H21+L21</f>
        <v>#VALUE!</v>
      </c>
      <c r="P21" s="21" t="e">
        <f>(((J21-O21)-H21)/1.16)+H21</f>
        <v>#VALUE!</v>
      </c>
      <c r="Q21" s="44"/>
      <c r="R21" s="24"/>
      <c r="S21" s="23" t="e">
        <f t="shared" si="0"/>
        <v>#DIV/0!</v>
      </c>
      <c r="T21" s="23" t="e">
        <f t="shared" si="1"/>
        <v>#DIV/0!</v>
      </c>
      <c r="U21" s="22" t="e">
        <f t="shared" si="2"/>
        <v>#DIV/0!</v>
      </c>
      <c r="V21" s="51"/>
      <c r="W21" s="44"/>
      <c r="X21" s="44"/>
      <c r="Y21" s="44"/>
      <c r="Z21" s="44"/>
    </row>
    <row r="22" spans="1:26">
      <c r="A22" s="44"/>
      <c r="B22" s="14"/>
      <c r="C22" s="53"/>
      <c r="D22" s="15"/>
      <c r="E22" s="89"/>
      <c r="F22" s="16"/>
      <c r="G22" s="16"/>
      <c r="H22" s="90" t="str">
        <f>IF(G22="Regular",Listas!$K$16,IF(G22="Premium",Listas!$K$17,IF(G22="Diesel",Listas!$K$18,"-")))</f>
        <v>-</v>
      </c>
      <c r="I22" s="17"/>
      <c r="J22" s="18"/>
      <c r="K22" s="19" t="str">
        <f>+IFERROR(IF(G22="Regular",VLOOKUP(C22,'PRECIO TERMINAL PEMEX'!$B$4:$E$35,2,0),IF(G22="Premium",VLOOKUP(C22,'PRECIO TERMINAL PEMEX'!$B$4:$E$35,3,0),IF(G22="Diesel",VLOOKUP(C22,'PRECIO TERMINAL PEMEX'!$B$4:$E$35,4,0),"Seleccione Producto"))),"-")</f>
        <v>Seleccione Producto</v>
      </c>
      <c r="L22" s="93" t="str">
        <f>+IFERROR(IF(F22="VHSA",VLOOKUP(B22,Listas!$C$4:$F$17,2,0),IF(F22="DOS BOCAS",VLOOKUP(B22,Listas!$C$4:$F$17,3,0),IF(F22="GLENCORE",VLOOKUP(B22,Listas!$C$4:$F$17,4,0),"Seleccione TAR"))),"-")</f>
        <v>Seleccione TAR</v>
      </c>
      <c r="M22" s="19" t="str">
        <f>+IFERROR(IF(G22="Regular",VLOOKUP(C22,'DESCUENTO PROVEEDORES'!$B$4:$E$35,2,0),IF(G22="Premium",VLOOKUP(C22,'DESCUENTO PROVEEDORES'!$B$4:$E$35,3,0),IF(G22="Diesel",VLOOKUP(C22,'DESCUENTO PROVEEDORES'!$B$4:$E$35,4,0),"Seleccione Proveedor"))),"-")</f>
        <v>Seleccione Proveedor</v>
      </c>
      <c r="N22" s="20" t="e">
        <f>((((K22-H22)/1.16)-M22))</f>
        <v>#VALUE!</v>
      </c>
      <c r="O22" s="21" t="e">
        <f>((N22*16%)+N22)+H22+L22</f>
        <v>#VALUE!</v>
      </c>
      <c r="P22" s="21" t="e">
        <f>(((J22-O22)-H22)/1.16)+H22</f>
        <v>#VALUE!</v>
      </c>
      <c r="Q22" s="44"/>
      <c r="R22" s="24"/>
      <c r="S22" s="23" t="e">
        <f t="shared" si="0"/>
        <v>#DIV/0!</v>
      </c>
      <c r="T22" s="23" t="e">
        <f t="shared" si="1"/>
        <v>#DIV/0!</v>
      </c>
      <c r="U22" s="22" t="e">
        <f t="shared" si="2"/>
        <v>#DIV/0!</v>
      </c>
      <c r="V22" s="51"/>
      <c r="W22" s="44"/>
      <c r="X22" s="44"/>
      <c r="Y22" s="44"/>
      <c r="Z22" s="44"/>
    </row>
    <row r="23" spans="1:26" ht="18" customHeight="1">
      <c r="A23" s="44"/>
      <c r="B23" s="14"/>
      <c r="C23" s="53"/>
      <c r="D23" s="15"/>
      <c r="E23" s="89"/>
      <c r="F23" s="16"/>
      <c r="G23" s="16"/>
      <c r="H23" s="90" t="str">
        <f>IF(G23="Regular",Listas!$K$16,IF(G23="Premium",Listas!$K$17,IF(G23="Diesel",Listas!$K$18,"-")))</f>
        <v>-</v>
      </c>
      <c r="I23" s="17"/>
      <c r="J23" s="18"/>
      <c r="K23" s="19" t="str">
        <f>+IFERROR(IF(G23="Regular",VLOOKUP(C23,'PRECIO TERMINAL PEMEX'!$B$4:$E$35,2,0),IF(G23="Premium",VLOOKUP(C23,'PRECIO TERMINAL PEMEX'!$B$4:$E$35,3,0),IF(G23="Diesel",VLOOKUP(C23,'PRECIO TERMINAL PEMEX'!$B$4:$E$35,4,0),"Seleccione Producto"))),"-")</f>
        <v>Seleccione Producto</v>
      </c>
      <c r="L23" s="93" t="str">
        <f>+IFERROR(IF(F23="VHSA",VLOOKUP(B23,Listas!$C$4:$F$17,2,0),IF(F23="DOS BOCAS",VLOOKUP(B23,Listas!$C$4:$F$17,3,0),IF(F23="GLENCORE",VLOOKUP(B23,Listas!$C$4:$F$17,4,0),"Seleccione TAR"))),"-")</f>
        <v>Seleccione TAR</v>
      </c>
      <c r="M23" s="19" t="str">
        <f>+IFERROR(IF(G23="Regular",VLOOKUP(C23,'DESCUENTO PROVEEDORES'!$B$4:$E$35,2,0),IF(G23="Premium",VLOOKUP(C23,'DESCUENTO PROVEEDORES'!$B$4:$E$35,3,0),IF(G23="Diesel",VLOOKUP(C23,'DESCUENTO PROVEEDORES'!$B$4:$E$35,4,0),"Seleccione Proveedor"))),"-")</f>
        <v>Seleccione Proveedor</v>
      </c>
      <c r="N23" s="20" t="e">
        <f>((((K23-H23)/1.16)-M23))</f>
        <v>#VALUE!</v>
      </c>
      <c r="O23" s="21" t="e">
        <f>((N23*16%)+N23)+H23+L23</f>
        <v>#VALUE!</v>
      </c>
      <c r="P23" s="21" t="e">
        <f>(((J23-O23)-H23)/1.16)+H23</f>
        <v>#VALUE!</v>
      </c>
      <c r="Q23" s="44"/>
      <c r="R23" s="24"/>
      <c r="S23" s="23" t="e">
        <f t="shared" si="0"/>
        <v>#DIV/0!</v>
      </c>
      <c r="T23" s="23" t="e">
        <f t="shared" si="1"/>
        <v>#DIV/0!</v>
      </c>
      <c r="U23" s="22" t="e">
        <f t="shared" si="2"/>
        <v>#DIV/0!</v>
      </c>
      <c r="V23" s="51"/>
      <c r="W23" s="44"/>
      <c r="X23" s="44"/>
      <c r="Y23" s="44"/>
      <c r="Z23" s="44"/>
    </row>
    <row r="24" spans="1:26" ht="15.75" customHeight="1">
      <c r="A24" s="44"/>
      <c r="B24" s="14"/>
      <c r="C24" s="53"/>
      <c r="D24" s="15"/>
      <c r="E24" s="89"/>
      <c r="F24" s="16"/>
      <c r="G24" s="16"/>
      <c r="H24" s="90" t="str">
        <f>IF(G24="Regular",Listas!$K$16,IF(G24="Premium",Listas!$K$17,IF(G24="Diesel",Listas!$K$18,"-")))</f>
        <v>-</v>
      </c>
      <c r="I24" s="17"/>
      <c r="J24" s="18"/>
      <c r="K24" s="19" t="str">
        <f>+IFERROR(IF(G24="Regular",VLOOKUP(C24,'PRECIO TERMINAL PEMEX'!$B$4:$E$35,2,0),IF(G24="Premium",VLOOKUP(C24,'PRECIO TERMINAL PEMEX'!$B$4:$E$35,3,0),IF(G24="Diesel",VLOOKUP(C24,'PRECIO TERMINAL PEMEX'!$B$4:$E$35,4,0),"Seleccione Producto"))),"-")</f>
        <v>Seleccione Producto</v>
      </c>
      <c r="L24" s="93" t="str">
        <f>+IFERROR(IF(F24="VHSA",VLOOKUP(B24,Listas!$C$4:$F$17,2,0),IF(F24="DOS BOCAS",VLOOKUP(B24,Listas!$C$4:$F$17,3,0),IF(F24="GLENCORE",VLOOKUP(B24,Listas!$C$4:$F$17,4,0),"Seleccione TAR"))),"-")</f>
        <v>Seleccione TAR</v>
      </c>
      <c r="M24" s="19" t="str">
        <f>+IFERROR(IF(G24="Regular",VLOOKUP(C24,'DESCUENTO PROVEEDORES'!$B$4:$E$35,2,0),IF(G24="Premium",VLOOKUP(C24,'DESCUENTO PROVEEDORES'!$B$4:$E$35,3,0),IF(G24="Diesel",VLOOKUP(C24,'DESCUENTO PROVEEDORES'!$B$4:$E$35,4,0),"Seleccione Proveedor"))),"-")</f>
        <v>Seleccione Proveedor</v>
      </c>
      <c r="N24" s="20" t="e">
        <f>((((K24-H24)/1.16)-M24))</f>
        <v>#VALUE!</v>
      </c>
      <c r="O24" s="21" t="e">
        <f>((N24*16%)+N24)+H24+L24</f>
        <v>#VALUE!</v>
      </c>
      <c r="P24" s="21" t="e">
        <f>(((J24-O24)-H24)/1.16)+H24</f>
        <v>#VALUE!</v>
      </c>
      <c r="Q24" s="44"/>
      <c r="R24" s="24"/>
      <c r="S24" s="23" t="e">
        <f t="shared" si="0"/>
        <v>#DIV/0!</v>
      </c>
      <c r="T24" s="23" t="e">
        <f t="shared" si="1"/>
        <v>#DIV/0!</v>
      </c>
      <c r="U24" s="22" t="e">
        <f t="shared" si="2"/>
        <v>#DIV/0!</v>
      </c>
      <c r="V24" s="51"/>
      <c r="W24" s="44"/>
      <c r="X24" s="44"/>
      <c r="Y24" s="44"/>
      <c r="Z24" s="44"/>
    </row>
    <row r="25" spans="1:26" ht="15.75" customHeight="1">
      <c r="A25" s="44"/>
      <c r="B25" s="14"/>
      <c r="C25" s="53"/>
      <c r="D25" s="15"/>
      <c r="E25" s="89"/>
      <c r="F25" s="16"/>
      <c r="G25" s="16"/>
      <c r="H25" s="90" t="str">
        <f>IF(G25="Regular",Listas!$K$16,IF(G25="Premium",Listas!$K$17,IF(G25="Diesel",Listas!$K$18,"-")))</f>
        <v>-</v>
      </c>
      <c r="I25" s="17"/>
      <c r="J25" s="18"/>
      <c r="K25" s="19" t="str">
        <f>+IFERROR(IF(G25="Regular",VLOOKUP(C25,'PRECIO TERMINAL PEMEX'!$B$4:$E$35,2,0),IF(G25="Premium",VLOOKUP(C25,'PRECIO TERMINAL PEMEX'!$B$4:$E$35,3,0),IF(G25="Diesel",VLOOKUP(C25,'PRECIO TERMINAL PEMEX'!$B$4:$E$35,4,0),"Seleccione Producto"))),"-")</f>
        <v>Seleccione Producto</v>
      </c>
      <c r="L25" s="93" t="str">
        <f>+IFERROR(IF(F25="VHSA",VLOOKUP(B25,Listas!$C$4:$F$17,2,0),IF(F25="DOS BOCAS",VLOOKUP(B25,Listas!$C$4:$F$17,3,0),IF(F25="GLENCORE",VLOOKUP(B25,Listas!$C$4:$F$17,4,0),"Seleccione TAR"))),"-")</f>
        <v>Seleccione TAR</v>
      </c>
      <c r="M25" s="19" t="str">
        <f>+IFERROR(IF(G25="Regular",VLOOKUP(C25,'DESCUENTO PROVEEDORES'!$B$4:$E$35,2,0),IF(G25="Premium",VLOOKUP(C25,'DESCUENTO PROVEEDORES'!$B$4:$E$35,3,0),IF(G25="Diesel",VLOOKUP(C25,'DESCUENTO PROVEEDORES'!$B$4:$E$35,4,0),"Seleccione Proveedor"))),"-")</f>
        <v>Seleccione Proveedor</v>
      </c>
      <c r="N25" s="20" t="e">
        <f>((((K25-H25)/1.16)-M25))</f>
        <v>#VALUE!</v>
      </c>
      <c r="O25" s="21" t="e">
        <f>((N25*16%)+N25)+H25+L25</f>
        <v>#VALUE!</v>
      </c>
      <c r="P25" s="21" t="e">
        <f>(((J25-O25)-H25)/1.16)+H25</f>
        <v>#VALUE!</v>
      </c>
      <c r="Q25" s="44"/>
      <c r="R25" s="24"/>
      <c r="S25" s="23" t="e">
        <f t="shared" si="0"/>
        <v>#DIV/0!</v>
      </c>
      <c r="T25" s="23" t="e">
        <f t="shared" si="1"/>
        <v>#DIV/0!</v>
      </c>
      <c r="U25" s="22" t="e">
        <f t="shared" si="2"/>
        <v>#DIV/0!</v>
      </c>
      <c r="V25" s="51"/>
      <c r="W25" s="44"/>
      <c r="X25" s="44"/>
      <c r="Y25" s="44"/>
      <c r="Z25" s="44"/>
    </row>
    <row r="26" spans="1:26" ht="15.75" customHeight="1">
      <c r="A26" s="44"/>
      <c r="B26" s="14"/>
      <c r="C26" s="53"/>
      <c r="D26" s="15"/>
      <c r="E26" s="89"/>
      <c r="F26" s="16"/>
      <c r="G26" s="16"/>
      <c r="H26" s="90" t="str">
        <f>IF(G26="Regular",Listas!$K$16,IF(G26="Premium",Listas!$K$17,IF(G26="Diesel",Listas!$K$18,"-")))</f>
        <v>-</v>
      </c>
      <c r="I26" s="17"/>
      <c r="J26" s="18"/>
      <c r="K26" s="19" t="str">
        <f>+IFERROR(IF(G26="Regular",VLOOKUP(C26,'PRECIO TERMINAL PEMEX'!$B$4:$E$35,2,0),IF(G26="Premium",VLOOKUP(C26,'PRECIO TERMINAL PEMEX'!$B$4:$E$35,3,0),IF(G26="Diesel",VLOOKUP(C26,'PRECIO TERMINAL PEMEX'!$B$4:$E$35,4,0),"Seleccione Producto"))),"-")</f>
        <v>Seleccione Producto</v>
      </c>
      <c r="L26" s="93" t="str">
        <f>+IFERROR(IF(F26="VHSA",VLOOKUP(B26,Listas!$C$4:$F$17,2,0),IF(F26="DOS BOCAS",VLOOKUP(B26,Listas!$C$4:$F$17,3,0),IF(F26="GLENCORE",VLOOKUP(B26,Listas!$C$4:$F$17,4,0),"Seleccione TAR"))),"-")</f>
        <v>Seleccione TAR</v>
      </c>
      <c r="M26" s="19" t="str">
        <f>+IFERROR(IF(G26="Regular",VLOOKUP(C26,'DESCUENTO PROVEEDORES'!$B$4:$E$35,2,0),IF(G26="Premium",VLOOKUP(C26,'DESCUENTO PROVEEDORES'!$B$4:$E$35,3,0),IF(G26="Diesel",VLOOKUP(C26,'DESCUENTO PROVEEDORES'!$B$4:$E$35,4,0),"Seleccione Proveedor"))),"-")</f>
        <v>Seleccione Proveedor</v>
      </c>
      <c r="N26" s="20" t="e">
        <f>((((K26-H26)/1.16)-M26))</f>
        <v>#VALUE!</v>
      </c>
      <c r="O26" s="21" t="e">
        <f>((N26*16%)+N26)+H26+L26</f>
        <v>#VALUE!</v>
      </c>
      <c r="P26" s="21" t="e">
        <f>(((J26-O26)-H26)/1.16)+H26</f>
        <v>#VALUE!</v>
      </c>
      <c r="Q26" s="44"/>
      <c r="R26" s="24"/>
      <c r="S26" s="23" t="e">
        <f t="shared" si="0"/>
        <v>#DIV/0!</v>
      </c>
      <c r="T26" s="23" t="e">
        <f t="shared" si="1"/>
        <v>#DIV/0!</v>
      </c>
      <c r="U26" s="22" t="e">
        <f t="shared" si="2"/>
        <v>#DIV/0!</v>
      </c>
      <c r="V26" s="51"/>
      <c r="W26" s="44"/>
      <c r="X26" s="44"/>
      <c r="Y26" s="44"/>
      <c r="Z26" s="44"/>
    </row>
    <row r="27" spans="1:26" ht="15.75" customHeight="1">
      <c r="A27" s="44"/>
      <c r="B27" s="14"/>
      <c r="C27" s="53"/>
      <c r="D27" s="15"/>
      <c r="E27" s="89"/>
      <c r="F27" s="16"/>
      <c r="G27" s="16"/>
      <c r="H27" s="90" t="str">
        <f>IF(G27="Regular",Listas!$K$16,IF(G27="Premium",Listas!$K$17,IF(G27="Diesel",Listas!$K$18,"-")))</f>
        <v>-</v>
      </c>
      <c r="I27" s="17"/>
      <c r="J27" s="18"/>
      <c r="K27" s="19" t="str">
        <f>+IFERROR(IF(G27="Regular",VLOOKUP(C27,'PRECIO TERMINAL PEMEX'!$B$4:$E$35,2,0),IF(G27="Premium",VLOOKUP(C27,'PRECIO TERMINAL PEMEX'!$B$4:$E$35,3,0),IF(G27="Diesel",VLOOKUP(C27,'PRECIO TERMINAL PEMEX'!$B$4:$E$35,4,0),"Seleccione Producto"))),"-")</f>
        <v>Seleccione Producto</v>
      </c>
      <c r="L27" s="93" t="str">
        <f>+IFERROR(IF(F27="VHSA",VLOOKUP(B27,Listas!$C$4:$F$17,2,0),IF(F27="DOS BOCAS",VLOOKUP(B27,Listas!$C$4:$F$17,3,0),IF(F27="GLENCORE",VLOOKUP(B27,Listas!$C$4:$F$17,4,0),"Seleccione TAR"))),"-")</f>
        <v>Seleccione TAR</v>
      </c>
      <c r="M27" s="19" t="str">
        <f>+IFERROR(IF(G27="Regular",VLOOKUP(C27,'DESCUENTO PROVEEDORES'!$B$4:$E$35,2,0),IF(G27="Premium",VLOOKUP(C27,'DESCUENTO PROVEEDORES'!$B$4:$E$35,3,0),IF(G27="Diesel",VLOOKUP(C27,'DESCUENTO PROVEEDORES'!$B$4:$E$35,4,0),"Seleccione Proveedor"))),"-")</f>
        <v>Seleccione Proveedor</v>
      </c>
      <c r="N27" s="20" t="e">
        <f>((((K27-H27)/1.16)-M27))</f>
        <v>#VALUE!</v>
      </c>
      <c r="O27" s="21" t="e">
        <f>((N27*16%)+N27)+H27+L27</f>
        <v>#VALUE!</v>
      </c>
      <c r="P27" s="21" t="e">
        <f>(((J27-O27)-H27)/1.16)+H27</f>
        <v>#VALUE!</v>
      </c>
      <c r="Q27" s="44"/>
      <c r="R27" s="24"/>
      <c r="S27" s="23" t="e">
        <f t="shared" si="0"/>
        <v>#DIV/0!</v>
      </c>
      <c r="T27" s="23" t="e">
        <f t="shared" si="1"/>
        <v>#DIV/0!</v>
      </c>
      <c r="U27" s="22" t="e">
        <f t="shared" si="2"/>
        <v>#DIV/0!</v>
      </c>
      <c r="V27" s="51"/>
      <c r="W27" s="44"/>
      <c r="X27" s="44"/>
      <c r="Y27" s="44"/>
      <c r="Z27" s="44"/>
    </row>
    <row r="28" spans="1:26" ht="15.75" customHeight="1">
      <c r="A28" s="44"/>
      <c r="B28" s="14"/>
      <c r="C28" s="53"/>
      <c r="D28" s="15"/>
      <c r="E28" s="89"/>
      <c r="F28" s="16"/>
      <c r="G28" s="16"/>
      <c r="H28" s="90" t="str">
        <f>IF(G28="Regular",Listas!$K$16,IF(G28="Premium",Listas!$K$17,IF(G28="Diesel",Listas!$K$18,"-")))</f>
        <v>-</v>
      </c>
      <c r="I28" s="17"/>
      <c r="J28" s="18"/>
      <c r="K28" s="19" t="str">
        <f>+IFERROR(IF(G28="Regular",VLOOKUP(C28,'PRECIO TERMINAL PEMEX'!$B$4:$E$35,2,0),IF(G28="Premium",VLOOKUP(C28,'PRECIO TERMINAL PEMEX'!$B$4:$E$35,3,0),IF(G28="Diesel",VLOOKUP(C28,'PRECIO TERMINAL PEMEX'!$B$4:$E$35,4,0),"Seleccione Producto"))),"-")</f>
        <v>Seleccione Producto</v>
      </c>
      <c r="L28" s="93" t="str">
        <f>+IFERROR(IF(F28="VHSA",VLOOKUP(B28,Listas!$C$4:$F$17,2,0),IF(F28="DOS BOCAS",VLOOKUP(B28,Listas!$C$4:$F$17,3,0),IF(F28="GLENCORE",VLOOKUP(B28,Listas!$C$4:$F$17,4,0),"Seleccione TAR"))),"-")</f>
        <v>Seleccione TAR</v>
      </c>
      <c r="M28" s="19" t="str">
        <f>+IFERROR(IF(G28="Regular",VLOOKUP(C28,'DESCUENTO PROVEEDORES'!$B$4:$E$35,2,0),IF(G28="Premium",VLOOKUP(C28,'DESCUENTO PROVEEDORES'!$B$4:$E$35,3,0),IF(G28="Diesel",VLOOKUP(C28,'DESCUENTO PROVEEDORES'!$B$4:$E$35,4,0),"Seleccione Proveedor"))),"-")</f>
        <v>Seleccione Proveedor</v>
      </c>
      <c r="N28" s="20" t="e">
        <f>((((K28-H28)/1.16)-M28))</f>
        <v>#VALUE!</v>
      </c>
      <c r="O28" s="21" t="e">
        <f>((N28*16%)+N28)+H28+L28</f>
        <v>#VALUE!</v>
      </c>
      <c r="P28" s="21" t="e">
        <f>(((J28-O28)-H28)/1.16)+H28</f>
        <v>#VALUE!</v>
      </c>
      <c r="Q28" s="44"/>
      <c r="R28" s="24"/>
      <c r="S28" s="23" t="e">
        <f t="shared" si="0"/>
        <v>#DIV/0!</v>
      </c>
      <c r="T28" s="23" t="e">
        <f t="shared" si="1"/>
        <v>#DIV/0!</v>
      </c>
      <c r="U28" s="22" t="e">
        <f t="shared" si="2"/>
        <v>#DIV/0!</v>
      </c>
      <c r="V28" s="51"/>
      <c r="W28" s="44"/>
      <c r="X28" s="44"/>
      <c r="Y28" s="44"/>
      <c r="Z28" s="44"/>
    </row>
    <row r="29" spans="1:26" ht="15.75" customHeight="1">
      <c r="A29" s="44"/>
      <c r="B29" s="14"/>
      <c r="C29" s="53"/>
      <c r="D29" s="15"/>
      <c r="E29" s="89"/>
      <c r="F29" s="16"/>
      <c r="G29" s="16"/>
      <c r="H29" s="90" t="str">
        <f>IF(G29="Regular",Listas!$K$16,IF(G29="Premium",Listas!$K$17,IF(G29="Diesel",Listas!$K$18,"-")))</f>
        <v>-</v>
      </c>
      <c r="I29" s="17"/>
      <c r="J29" s="18"/>
      <c r="K29" s="19" t="str">
        <f>+IFERROR(IF(G29="Regular",VLOOKUP(C29,'PRECIO TERMINAL PEMEX'!$B$4:$E$35,2,0),IF(G29="Premium",VLOOKUP(C29,'PRECIO TERMINAL PEMEX'!$B$4:$E$35,3,0),IF(G29="Diesel",VLOOKUP(C29,'PRECIO TERMINAL PEMEX'!$B$4:$E$35,4,0),"Seleccione Producto"))),"-")</f>
        <v>Seleccione Producto</v>
      </c>
      <c r="L29" s="93" t="str">
        <f>+IFERROR(IF(F29="VHSA",VLOOKUP(B29,Listas!$C$4:$F$17,2,0),IF(F29="DOS BOCAS",VLOOKUP(B29,Listas!$C$4:$F$17,3,0),IF(F29="GLENCORE",VLOOKUP(B29,Listas!$C$4:$F$17,4,0),"Seleccione TAR"))),"-")</f>
        <v>Seleccione TAR</v>
      </c>
      <c r="M29" s="19" t="str">
        <f>+IFERROR(IF(G29="Regular",VLOOKUP(C29,'DESCUENTO PROVEEDORES'!$B$4:$E$35,2,0),IF(G29="Premium",VLOOKUP(C29,'DESCUENTO PROVEEDORES'!$B$4:$E$35,3,0),IF(G29="Diesel",VLOOKUP(C29,'DESCUENTO PROVEEDORES'!$B$4:$E$35,4,0),"Seleccione Proveedor"))),"-")</f>
        <v>Seleccione Proveedor</v>
      </c>
      <c r="N29" s="20" t="e">
        <f>((((K29-H29)/1.16)-M29))</f>
        <v>#VALUE!</v>
      </c>
      <c r="O29" s="21" t="e">
        <f>((N29*16%)+N29)+H29+L29</f>
        <v>#VALUE!</v>
      </c>
      <c r="P29" s="21" t="e">
        <f>(((J29-O29)-H29)/1.16)+H29</f>
        <v>#VALUE!</v>
      </c>
      <c r="Q29" s="44"/>
      <c r="R29" s="24"/>
      <c r="S29" s="23" t="e">
        <f t="shared" si="0"/>
        <v>#DIV/0!</v>
      </c>
      <c r="T29" s="23" t="e">
        <f t="shared" si="1"/>
        <v>#DIV/0!</v>
      </c>
      <c r="U29" s="22" t="e">
        <f t="shared" si="2"/>
        <v>#DIV/0!</v>
      </c>
      <c r="V29" s="51"/>
      <c r="W29" s="44"/>
      <c r="X29" s="44"/>
      <c r="Y29" s="44"/>
      <c r="Z29" s="44"/>
    </row>
    <row r="30" spans="1:26" ht="15.75" customHeight="1">
      <c r="A30" s="44"/>
      <c r="B30" s="14"/>
      <c r="C30" s="53"/>
      <c r="D30" s="15"/>
      <c r="E30" s="89"/>
      <c r="F30" s="16"/>
      <c r="G30" s="16"/>
      <c r="H30" s="90" t="str">
        <f>IF(G30="Regular",Listas!$K$16,IF(G30="Premium",Listas!$K$17,IF(G30="Diesel",Listas!$K$18,"-")))</f>
        <v>-</v>
      </c>
      <c r="I30" s="17"/>
      <c r="J30" s="18"/>
      <c r="K30" s="19" t="str">
        <f>+IFERROR(IF(G30="Regular",VLOOKUP(C30,'PRECIO TERMINAL PEMEX'!$B$4:$E$35,2,0),IF(G30="Premium",VLOOKUP(C30,'PRECIO TERMINAL PEMEX'!$B$4:$E$35,3,0),IF(G30="Diesel",VLOOKUP(C30,'PRECIO TERMINAL PEMEX'!$B$4:$E$35,4,0),"Seleccione Producto"))),"-")</f>
        <v>Seleccione Producto</v>
      </c>
      <c r="L30" s="93" t="str">
        <f>+IFERROR(IF(F30="VHSA",VLOOKUP(B30,Listas!$C$4:$F$17,2,0),IF(F30="DOS BOCAS",VLOOKUP(B30,Listas!$C$4:$F$17,3,0),IF(F30="GLENCORE",VLOOKUP(B30,Listas!$C$4:$F$17,4,0),"Seleccione TAR"))),"-")</f>
        <v>Seleccione TAR</v>
      </c>
      <c r="M30" s="19" t="str">
        <f>+IFERROR(IF(G30="Regular",VLOOKUP(C30,'DESCUENTO PROVEEDORES'!$B$4:$E$35,2,0),IF(G30="Premium",VLOOKUP(C30,'DESCUENTO PROVEEDORES'!$B$4:$E$35,3,0),IF(G30="Diesel",VLOOKUP(C30,'DESCUENTO PROVEEDORES'!$B$4:$E$35,4,0),"Seleccione Proveedor"))),"-")</f>
        <v>Seleccione Proveedor</v>
      </c>
      <c r="N30" s="20" t="e">
        <f>((((K30-H30)/1.16)-M30))</f>
        <v>#VALUE!</v>
      </c>
      <c r="O30" s="21" t="e">
        <f>((N30*16%)+N30)+H30+L30</f>
        <v>#VALUE!</v>
      </c>
      <c r="P30" s="21" t="e">
        <f>(((J30-O30)-H30)/1.16)+H30</f>
        <v>#VALUE!</v>
      </c>
      <c r="Q30" s="44"/>
      <c r="R30" s="24"/>
      <c r="S30" s="23" t="e">
        <f t="shared" si="0"/>
        <v>#DIV/0!</v>
      </c>
      <c r="T30" s="23" t="e">
        <f t="shared" si="1"/>
        <v>#DIV/0!</v>
      </c>
      <c r="U30" s="22" t="e">
        <f t="shared" si="2"/>
        <v>#DIV/0!</v>
      </c>
      <c r="V30" s="51"/>
      <c r="W30" s="44"/>
      <c r="X30" s="44"/>
      <c r="Y30" s="44"/>
      <c r="Z30" s="44"/>
    </row>
    <row r="31" spans="1:26" ht="15.75" customHeight="1">
      <c r="A31" s="43"/>
      <c r="B31" s="14"/>
      <c r="C31" s="53"/>
      <c r="D31" s="15"/>
      <c r="E31" s="89"/>
      <c r="F31" s="16"/>
      <c r="G31" s="16"/>
      <c r="H31" s="90" t="str">
        <f>IF(G31="Regular",Listas!$K$16,IF(G31="Premium",Listas!$K$17,IF(G31="Diesel",Listas!$K$18,"-")))</f>
        <v>-</v>
      </c>
      <c r="I31" s="17"/>
      <c r="J31" s="18"/>
      <c r="K31" s="19" t="str">
        <f>+IFERROR(IF(G31="Regular",VLOOKUP(C31,'PRECIO TERMINAL PEMEX'!$B$4:$E$35,2,0),IF(G31="Premium",VLOOKUP(C31,'PRECIO TERMINAL PEMEX'!$B$4:$E$35,3,0),IF(G31="Diesel",VLOOKUP(C31,'PRECIO TERMINAL PEMEX'!$B$4:$E$35,4,0),"Seleccione Producto"))),"-")</f>
        <v>Seleccione Producto</v>
      </c>
      <c r="L31" s="93" t="str">
        <f>+IFERROR(IF(F31="VHSA",VLOOKUP(B31,Listas!$C$4:$F$17,2,0),IF(F31="DOS BOCAS",VLOOKUP(B31,Listas!$C$4:$F$17,3,0),IF(F31="GLENCORE",VLOOKUP(B31,Listas!$C$4:$F$17,4,0),"Seleccione TAR"))),"-")</f>
        <v>Seleccione TAR</v>
      </c>
      <c r="M31" s="19" t="str">
        <f>+IFERROR(IF(G31="Regular",VLOOKUP(C31,'DESCUENTO PROVEEDORES'!$B$4:$E$35,2,0),IF(G31="Premium",VLOOKUP(C31,'DESCUENTO PROVEEDORES'!$B$4:$E$35,3,0),IF(G31="Diesel",VLOOKUP(C31,'DESCUENTO PROVEEDORES'!$B$4:$E$35,4,0),"Seleccione Proveedor"))),"-")</f>
        <v>Seleccione Proveedor</v>
      </c>
      <c r="N31" s="20" t="e">
        <f>((((K31-H31)/1.16)-M31))</f>
        <v>#VALUE!</v>
      </c>
      <c r="O31" s="21" t="e">
        <f>((N31*16%)+N31)+H31+L31</f>
        <v>#VALUE!</v>
      </c>
      <c r="P31" s="21" t="e">
        <f>(((J31-O31)-H31)/1.16)+H31</f>
        <v>#VALUE!</v>
      </c>
      <c r="Q31" s="44"/>
      <c r="R31" s="24"/>
      <c r="S31" s="23" t="e">
        <f t="shared" si="0"/>
        <v>#DIV/0!</v>
      </c>
      <c r="T31" s="23" t="e">
        <f t="shared" si="1"/>
        <v>#DIV/0!</v>
      </c>
      <c r="U31" s="22" t="e">
        <f t="shared" si="2"/>
        <v>#DIV/0!</v>
      </c>
      <c r="V31" s="51"/>
      <c r="W31" s="44"/>
      <c r="X31" s="44"/>
      <c r="Y31" s="44"/>
      <c r="Z31" s="44"/>
    </row>
    <row r="32" spans="1:26" ht="15.75" customHeight="1">
      <c r="A32" s="44"/>
      <c r="B32" s="14"/>
      <c r="C32" s="53"/>
      <c r="D32" s="15"/>
      <c r="E32" s="89"/>
      <c r="F32" s="16"/>
      <c r="G32" s="16"/>
      <c r="H32" s="90" t="str">
        <f>IF(G32="Regular",Listas!$K$16,IF(G32="Premium",Listas!$K$17,IF(G32="Diesel",Listas!$K$18,"-")))</f>
        <v>-</v>
      </c>
      <c r="I32" s="17"/>
      <c r="J32" s="18"/>
      <c r="K32" s="19" t="str">
        <f>+IFERROR(IF(G32="Regular",VLOOKUP(C32,'PRECIO TERMINAL PEMEX'!$B$4:$E$35,2,0),IF(G32="Premium",VLOOKUP(C32,'PRECIO TERMINAL PEMEX'!$B$4:$E$35,3,0),IF(G32="Diesel",VLOOKUP(C32,'PRECIO TERMINAL PEMEX'!$B$4:$E$35,4,0),"Seleccione Producto"))),"-")</f>
        <v>Seleccione Producto</v>
      </c>
      <c r="L32" s="93" t="str">
        <f>+IFERROR(IF(F32="VHSA",VLOOKUP(B32,Listas!$C$4:$F$17,2,0),IF(F32="DOS BOCAS",VLOOKUP(B32,Listas!$C$4:$F$17,3,0),IF(F32="GLENCORE",VLOOKUP(B32,Listas!$C$4:$F$17,4,0),"Seleccione TAR"))),"-")</f>
        <v>Seleccione TAR</v>
      </c>
      <c r="M32" s="19" t="str">
        <f>+IFERROR(IF(G32="Regular",VLOOKUP(C32,'DESCUENTO PROVEEDORES'!$B$4:$E$35,2,0),IF(G32="Premium",VLOOKUP(C32,'DESCUENTO PROVEEDORES'!$B$4:$E$35,3,0),IF(G32="Diesel",VLOOKUP(C32,'DESCUENTO PROVEEDORES'!$B$4:$E$35,4,0),"Seleccione Proveedor"))),"-")</f>
        <v>Seleccione Proveedor</v>
      </c>
      <c r="N32" s="20" t="e">
        <f>((((K32-H32)/1.16)-M32))</f>
        <v>#VALUE!</v>
      </c>
      <c r="O32" s="21" t="e">
        <f>((N32*16%)+N32)+H32+L32</f>
        <v>#VALUE!</v>
      </c>
      <c r="P32" s="21" t="e">
        <f>(((J32-O32)-H32)/1.16)+H32</f>
        <v>#VALUE!</v>
      </c>
      <c r="Q32" s="44"/>
      <c r="R32" s="24"/>
      <c r="S32" s="23" t="e">
        <f t="shared" si="0"/>
        <v>#DIV/0!</v>
      </c>
      <c r="T32" s="23" t="e">
        <f t="shared" si="1"/>
        <v>#DIV/0!</v>
      </c>
      <c r="U32" s="22" t="e">
        <f t="shared" si="2"/>
        <v>#DIV/0!</v>
      </c>
      <c r="V32" s="51"/>
      <c r="W32" s="54"/>
      <c r="X32" s="44"/>
      <c r="Y32" s="44"/>
      <c r="Z32" s="44"/>
    </row>
    <row r="33" spans="1:26" ht="15.75" customHeight="1">
      <c r="A33" s="44"/>
      <c r="B33" s="14"/>
      <c r="C33" s="53"/>
      <c r="D33" s="15"/>
      <c r="E33" s="89"/>
      <c r="F33" s="16"/>
      <c r="G33" s="16"/>
      <c r="H33" s="90" t="str">
        <f>IF(G33="Regular",Listas!$K$16,IF(G33="Premium",Listas!$K$17,IF(G33="Diesel",Listas!$K$18,"-")))</f>
        <v>-</v>
      </c>
      <c r="I33" s="17"/>
      <c r="J33" s="18"/>
      <c r="K33" s="19" t="str">
        <f>+IFERROR(IF(G33="Regular",VLOOKUP(C33,'PRECIO TERMINAL PEMEX'!$B$4:$E$35,2,0),IF(G33="Premium",VLOOKUP(C33,'PRECIO TERMINAL PEMEX'!$B$4:$E$35,3,0),IF(G33="Diesel",VLOOKUP(C33,'PRECIO TERMINAL PEMEX'!$B$4:$E$35,4,0),"Seleccione Producto"))),"-")</f>
        <v>Seleccione Producto</v>
      </c>
      <c r="L33" s="93" t="str">
        <f>+IFERROR(IF(F33="VHSA",VLOOKUP(B33,Listas!$C$4:$F$17,2,0),IF(F33="DOS BOCAS",VLOOKUP(B33,Listas!$C$4:$F$17,3,0),IF(F33="GLENCORE",VLOOKUP(B33,Listas!$C$4:$F$17,4,0),"Seleccione TAR"))),"-")</f>
        <v>Seleccione TAR</v>
      </c>
      <c r="M33" s="19" t="str">
        <f>+IFERROR(IF(G33="Regular",VLOOKUP(C33,'DESCUENTO PROVEEDORES'!$B$4:$E$35,2,0),IF(G33="Premium",VLOOKUP(C33,'DESCUENTO PROVEEDORES'!$B$4:$E$35,3,0),IF(G33="Diesel",VLOOKUP(C33,'DESCUENTO PROVEEDORES'!$B$4:$E$35,4,0),"Seleccione Proveedor"))),"-")</f>
        <v>Seleccione Proveedor</v>
      </c>
      <c r="N33" s="20" t="e">
        <f>((((K33-H33)/1.16)-M33))</f>
        <v>#VALUE!</v>
      </c>
      <c r="O33" s="21" t="e">
        <f>((N33*16%)+N33)+H33+L33</f>
        <v>#VALUE!</v>
      </c>
      <c r="P33" s="21" t="e">
        <f>(((J33-O33)-H33)/1.16)+H33</f>
        <v>#VALUE!</v>
      </c>
      <c r="Q33" s="44"/>
      <c r="R33" s="24"/>
      <c r="S33" s="23" t="e">
        <f t="shared" si="0"/>
        <v>#DIV/0!</v>
      </c>
      <c r="T33" s="23" t="e">
        <f t="shared" si="1"/>
        <v>#DIV/0!</v>
      </c>
      <c r="U33" s="22" t="e">
        <f t="shared" si="2"/>
        <v>#DIV/0!</v>
      </c>
      <c r="V33" s="51"/>
      <c r="W33" s="44"/>
      <c r="X33" s="44"/>
      <c r="Y33" s="44"/>
      <c r="Z33" s="44"/>
    </row>
    <row r="34" spans="1:26" ht="15.75" customHeight="1">
      <c r="A34" s="44"/>
      <c r="B34" s="14"/>
      <c r="C34" s="53"/>
      <c r="D34" s="15"/>
      <c r="E34" s="89"/>
      <c r="F34" s="16"/>
      <c r="G34" s="16"/>
      <c r="H34" s="90" t="str">
        <f>IF(G34="Regular",Listas!$K$16,IF(G34="Premium",Listas!$K$17,IF(G34="Diesel",Listas!$K$18,"-")))</f>
        <v>-</v>
      </c>
      <c r="I34" s="17"/>
      <c r="J34" s="18"/>
      <c r="K34" s="19" t="str">
        <f>+IFERROR(IF(G34="Regular",VLOOKUP(C34,'PRECIO TERMINAL PEMEX'!$B$4:$E$35,2,0),IF(G34="Premium",VLOOKUP(C34,'PRECIO TERMINAL PEMEX'!$B$4:$E$35,3,0),IF(G34="Diesel",VLOOKUP(C34,'PRECIO TERMINAL PEMEX'!$B$4:$E$35,4,0),"Seleccione Producto"))),"-")</f>
        <v>Seleccione Producto</v>
      </c>
      <c r="L34" s="93" t="str">
        <f>+IFERROR(IF(F34="VHSA",VLOOKUP(B34,Listas!$C$4:$F$17,2,0),IF(F34="DOS BOCAS",VLOOKUP(B34,Listas!$C$4:$F$17,3,0),IF(F34="GLENCORE",VLOOKUP(B34,Listas!$C$4:$F$17,4,0),"Seleccione TAR"))),"-")</f>
        <v>Seleccione TAR</v>
      </c>
      <c r="M34" s="19" t="str">
        <f>+IFERROR(IF(G34="Regular",VLOOKUP(C34,'DESCUENTO PROVEEDORES'!$B$4:$E$35,2,0),IF(G34="Premium",VLOOKUP(C34,'DESCUENTO PROVEEDORES'!$B$4:$E$35,3,0),IF(G34="Diesel",VLOOKUP(C34,'DESCUENTO PROVEEDORES'!$B$4:$E$35,4,0),"Seleccione Proveedor"))),"-")</f>
        <v>Seleccione Proveedor</v>
      </c>
      <c r="N34" s="20" t="e">
        <f>((((K34-H34)/1.16)-M34))</f>
        <v>#VALUE!</v>
      </c>
      <c r="O34" s="21" t="e">
        <f>((N34*16%)+N34)+H34+L34</f>
        <v>#VALUE!</v>
      </c>
      <c r="P34" s="21" t="e">
        <f>(((J34-O34)-H34)/1.16)+H34</f>
        <v>#VALUE!</v>
      </c>
      <c r="Q34" s="44"/>
      <c r="R34" s="24"/>
      <c r="S34" s="23" t="e">
        <f t="shared" si="0"/>
        <v>#DIV/0!</v>
      </c>
      <c r="T34" s="23" t="e">
        <f t="shared" si="1"/>
        <v>#DIV/0!</v>
      </c>
      <c r="U34" s="22" t="e">
        <f t="shared" si="2"/>
        <v>#DIV/0!</v>
      </c>
      <c r="V34" s="51"/>
      <c r="W34" s="44"/>
      <c r="X34" s="44"/>
      <c r="Y34" s="44"/>
      <c r="Z34" s="44"/>
    </row>
    <row r="35" spans="1:26" ht="15.75" customHeight="1">
      <c r="A35" s="44"/>
      <c r="B35" s="14"/>
      <c r="C35" s="53"/>
      <c r="D35" s="15"/>
      <c r="E35" s="89"/>
      <c r="F35" s="16"/>
      <c r="G35" s="16"/>
      <c r="H35" s="90" t="str">
        <f>IF(G35="Regular",Listas!$K$16,IF(G35="Premium",Listas!$K$17,IF(G35="Diesel",Listas!$K$18,"-")))</f>
        <v>-</v>
      </c>
      <c r="I35" s="17"/>
      <c r="J35" s="18"/>
      <c r="K35" s="19" t="str">
        <f>+IFERROR(IF(G35="Regular",VLOOKUP(C35,'PRECIO TERMINAL PEMEX'!$B$4:$E$35,2,0),IF(G35="Premium",VLOOKUP(C35,'PRECIO TERMINAL PEMEX'!$B$4:$E$35,3,0),IF(G35="Diesel",VLOOKUP(C35,'PRECIO TERMINAL PEMEX'!$B$4:$E$35,4,0),"Seleccione Producto"))),"-")</f>
        <v>Seleccione Producto</v>
      </c>
      <c r="L35" s="93" t="str">
        <f>+IFERROR(IF(F35="VHSA",VLOOKUP(B35,Listas!$C$4:$F$17,2,0),IF(F35="DOS BOCAS",VLOOKUP(B35,Listas!$C$4:$F$17,3,0),IF(F35="GLENCORE",VLOOKUP(B35,Listas!$C$4:$F$17,4,0),"Seleccione TAR"))),"-")</f>
        <v>Seleccione TAR</v>
      </c>
      <c r="M35" s="19" t="str">
        <f>+IFERROR(IF(G35="Regular",VLOOKUP(C35,'DESCUENTO PROVEEDORES'!$B$4:$E$35,2,0),IF(G35="Premium",VLOOKUP(C35,'DESCUENTO PROVEEDORES'!$B$4:$E$35,3,0),IF(G35="Diesel",VLOOKUP(C35,'DESCUENTO PROVEEDORES'!$B$4:$E$35,4,0),"Seleccione Proveedor"))),"-")</f>
        <v>Seleccione Proveedor</v>
      </c>
      <c r="N35" s="20" t="e">
        <f>((((K35-H35)/1.16)-M35))</f>
        <v>#VALUE!</v>
      </c>
      <c r="O35" s="21" t="e">
        <f>((N35*16%)+N35)+H35+L35</f>
        <v>#VALUE!</v>
      </c>
      <c r="P35" s="21" t="e">
        <f>(((J35-O35)-H35)/1.16)+H35</f>
        <v>#VALUE!</v>
      </c>
      <c r="Q35" s="44"/>
      <c r="R35" s="24"/>
      <c r="S35" s="23" t="e">
        <f t="shared" si="0"/>
        <v>#DIV/0!</v>
      </c>
      <c r="T35" s="23" t="e">
        <f t="shared" si="1"/>
        <v>#DIV/0!</v>
      </c>
      <c r="U35" s="22" t="e">
        <f t="shared" si="2"/>
        <v>#DIV/0!</v>
      </c>
      <c r="V35" s="51"/>
      <c r="W35" s="44"/>
      <c r="X35" s="44"/>
      <c r="Y35" s="44"/>
      <c r="Z35" s="44"/>
    </row>
    <row r="36" spans="1:26" ht="15.75" customHeight="1">
      <c r="A36" s="44"/>
      <c r="B36" s="14"/>
      <c r="C36" s="53"/>
      <c r="D36" s="15"/>
      <c r="E36" s="89"/>
      <c r="F36" s="16"/>
      <c r="G36" s="16"/>
      <c r="H36" s="90" t="str">
        <f>IF(G36="Regular",Listas!$K$16,IF(G36="Premium",Listas!$K$17,IF(G36="Diesel",Listas!$K$18,"-")))</f>
        <v>-</v>
      </c>
      <c r="I36" s="17"/>
      <c r="J36" s="18"/>
      <c r="K36" s="19" t="str">
        <f>+IFERROR(IF(G36="Regular",VLOOKUP(C36,'PRECIO TERMINAL PEMEX'!$B$4:$E$35,2,0),IF(G36="Premium",VLOOKUP(C36,'PRECIO TERMINAL PEMEX'!$B$4:$E$35,3,0),IF(G36="Diesel",VLOOKUP(C36,'PRECIO TERMINAL PEMEX'!$B$4:$E$35,4,0),"Seleccione Producto"))),"-")</f>
        <v>Seleccione Producto</v>
      </c>
      <c r="L36" s="93" t="str">
        <f>+IFERROR(IF(F36="VHSA",VLOOKUP(B36,Listas!$C$4:$F$17,2,0),IF(F36="DOS BOCAS",VLOOKUP(B36,Listas!$C$4:$F$17,3,0),IF(F36="GLENCORE",VLOOKUP(B36,Listas!$C$4:$F$17,4,0),"Seleccione TAR"))),"-")</f>
        <v>Seleccione TAR</v>
      </c>
      <c r="M36" s="19" t="str">
        <f>+IFERROR(IF(G36="Regular",VLOOKUP(C36,'DESCUENTO PROVEEDORES'!$B$4:$E$35,2,0),IF(G36="Premium",VLOOKUP(C36,'DESCUENTO PROVEEDORES'!$B$4:$E$35,3,0),IF(G36="Diesel",VLOOKUP(C36,'DESCUENTO PROVEEDORES'!$B$4:$E$35,4,0),"Seleccione Proveedor"))),"-")</f>
        <v>Seleccione Proveedor</v>
      </c>
      <c r="N36" s="20" t="e">
        <f>((((K36-H36)/1.16)-M36))</f>
        <v>#VALUE!</v>
      </c>
      <c r="O36" s="21" t="e">
        <f>((N36*16%)+N36)+H36+L36</f>
        <v>#VALUE!</v>
      </c>
      <c r="P36" s="21" t="e">
        <f>(((J36-O36)-H36)/1.16)+H36</f>
        <v>#VALUE!</v>
      </c>
      <c r="Q36" s="44"/>
      <c r="R36" s="24"/>
      <c r="S36" s="23" t="e">
        <f t="shared" si="0"/>
        <v>#DIV/0!</v>
      </c>
      <c r="T36" s="23" t="e">
        <f t="shared" si="1"/>
        <v>#DIV/0!</v>
      </c>
      <c r="U36" s="22" t="e">
        <f t="shared" si="2"/>
        <v>#DIV/0!</v>
      </c>
      <c r="V36" s="51"/>
      <c r="W36" s="44"/>
      <c r="X36" s="44"/>
      <c r="Y36" s="44"/>
      <c r="Z36" s="44"/>
    </row>
    <row r="37" spans="1:26" ht="15.75" customHeight="1">
      <c r="A37" s="44"/>
      <c r="B37" s="14"/>
      <c r="C37" s="53"/>
      <c r="D37" s="15"/>
      <c r="E37" s="89"/>
      <c r="F37" s="16"/>
      <c r="G37" s="16"/>
      <c r="H37" s="90" t="str">
        <f>IF(G37="Regular",Listas!$K$16,IF(G37="Premium",Listas!$K$17,IF(G37="Diesel",Listas!$K$18,"-")))</f>
        <v>-</v>
      </c>
      <c r="I37" s="17"/>
      <c r="J37" s="18"/>
      <c r="K37" s="19" t="str">
        <f>+IFERROR(IF(G37="Regular",VLOOKUP(C37,'PRECIO TERMINAL PEMEX'!$B$4:$E$35,2,0),IF(G37="Premium",VLOOKUP(C37,'PRECIO TERMINAL PEMEX'!$B$4:$E$35,3,0),IF(G37="Diesel",VLOOKUP(C37,'PRECIO TERMINAL PEMEX'!$B$4:$E$35,4,0),"Seleccione Producto"))),"-")</f>
        <v>Seleccione Producto</v>
      </c>
      <c r="L37" s="93" t="str">
        <f>+IFERROR(IF(F37="VHSA",VLOOKUP(B37,Listas!$C$4:$F$17,2,0),IF(F37="DOS BOCAS",VLOOKUP(B37,Listas!$C$4:$F$17,3,0),IF(F37="GLENCORE",VLOOKUP(B37,Listas!$C$4:$F$17,4,0),"Seleccione TAR"))),"-")</f>
        <v>Seleccione TAR</v>
      </c>
      <c r="M37" s="19" t="str">
        <f>+IFERROR(IF(G37="Regular",VLOOKUP(C37,'DESCUENTO PROVEEDORES'!$B$4:$E$35,2,0),IF(G37="Premium",VLOOKUP(C37,'DESCUENTO PROVEEDORES'!$B$4:$E$35,3,0),IF(G37="Diesel",VLOOKUP(C37,'DESCUENTO PROVEEDORES'!$B$4:$E$35,4,0),"Seleccione Proveedor"))),"-")</f>
        <v>Seleccione Proveedor</v>
      </c>
      <c r="N37" s="20" t="e">
        <f>((((K37-H37)/1.16)-M37))</f>
        <v>#VALUE!</v>
      </c>
      <c r="O37" s="21" t="e">
        <f>((N37*16%)+N37)+H37+L37</f>
        <v>#VALUE!</v>
      </c>
      <c r="P37" s="21" t="e">
        <f>(((J37-O37)-H37)/1.16)+H37</f>
        <v>#VALUE!</v>
      </c>
      <c r="Q37" s="44"/>
      <c r="R37" s="24"/>
      <c r="S37" s="23" t="e">
        <f t="shared" si="0"/>
        <v>#DIV/0!</v>
      </c>
      <c r="T37" s="23" t="e">
        <f t="shared" si="1"/>
        <v>#DIV/0!</v>
      </c>
      <c r="U37" s="22" t="e">
        <f t="shared" si="2"/>
        <v>#DIV/0!</v>
      </c>
      <c r="V37" s="51"/>
      <c r="W37" s="44"/>
      <c r="X37" s="44"/>
      <c r="Y37" s="44"/>
      <c r="Z37" s="44"/>
    </row>
    <row r="38" spans="1:26" ht="15.75" customHeight="1">
      <c r="A38" s="44"/>
      <c r="B38" s="14"/>
      <c r="C38" s="53"/>
      <c r="D38" s="15"/>
      <c r="E38" s="89"/>
      <c r="F38" s="16"/>
      <c r="G38" s="16"/>
      <c r="H38" s="90" t="str">
        <f>IF(G38="Regular",Listas!$K$16,IF(G38="Premium",Listas!$K$17,IF(G38="Diesel",Listas!$K$18,"-")))</f>
        <v>-</v>
      </c>
      <c r="I38" s="17"/>
      <c r="J38" s="18"/>
      <c r="K38" s="19" t="str">
        <f>+IFERROR(IF(G38="Regular",VLOOKUP(C38,'PRECIO TERMINAL PEMEX'!$B$4:$E$35,2,0),IF(G38="Premium",VLOOKUP(C38,'PRECIO TERMINAL PEMEX'!$B$4:$E$35,3,0),IF(G38="Diesel",VLOOKUP(C38,'PRECIO TERMINAL PEMEX'!$B$4:$E$35,4,0),"Seleccione Producto"))),"-")</f>
        <v>Seleccione Producto</v>
      </c>
      <c r="L38" s="93" t="str">
        <f>+IFERROR(IF(F38="VHSA",VLOOKUP(B38,Listas!$C$4:$F$17,2,0),IF(F38="DOS BOCAS",VLOOKUP(B38,Listas!$C$4:$F$17,3,0),IF(F38="GLENCORE",VLOOKUP(B38,Listas!$C$4:$F$17,4,0),"Seleccione TAR"))),"-")</f>
        <v>Seleccione TAR</v>
      </c>
      <c r="M38" s="19" t="str">
        <f>+IFERROR(IF(G38="Regular",VLOOKUP(C38,'DESCUENTO PROVEEDORES'!$B$4:$E$35,2,0),IF(G38="Premium",VLOOKUP(C38,'DESCUENTO PROVEEDORES'!$B$4:$E$35,3,0),IF(G38="Diesel",VLOOKUP(C38,'DESCUENTO PROVEEDORES'!$B$4:$E$35,4,0),"Seleccione Proveedor"))),"-")</f>
        <v>Seleccione Proveedor</v>
      </c>
      <c r="N38" s="20" t="e">
        <f>((((K38-H38)/1.16)-M38))</f>
        <v>#VALUE!</v>
      </c>
      <c r="O38" s="21" t="e">
        <f>((N38*16%)+N38)+H38+L38</f>
        <v>#VALUE!</v>
      </c>
      <c r="P38" s="21" t="e">
        <f>(((J38-O38)-H38)/1.16)+H38</f>
        <v>#VALUE!</v>
      </c>
      <c r="Q38" s="44"/>
      <c r="R38" s="24"/>
      <c r="S38" s="23" t="e">
        <f t="shared" si="0"/>
        <v>#DIV/0!</v>
      </c>
      <c r="T38" s="23" t="e">
        <f t="shared" si="1"/>
        <v>#DIV/0!</v>
      </c>
      <c r="U38" s="22" t="e">
        <f t="shared" si="2"/>
        <v>#DIV/0!</v>
      </c>
      <c r="V38" s="51"/>
      <c r="W38" s="44"/>
      <c r="X38" s="44"/>
      <c r="Y38" s="44"/>
      <c r="Z38" s="44"/>
    </row>
    <row r="39" spans="1:26" ht="15.75" customHeight="1">
      <c r="A39" s="44"/>
      <c r="B39" s="14"/>
      <c r="C39" s="53"/>
      <c r="D39" s="15"/>
      <c r="E39" s="89"/>
      <c r="F39" s="16"/>
      <c r="G39" s="16"/>
      <c r="H39" s="90" t="str">
        <f>IF(G39="Regular",Listas!$K$16,IF(G39="Premium",Listas!$K$17,IF(G39="Diesel",Listas!$K$18,"-")))</f>
        <v>-</v>
      </c>
      <c r="I39" s="17"/>
      <c r="J39" s="18"/>
      <c r="K39" s="19" t="str">
        <f>+IFERROR(IF(G39="Regular",VLOOKUP(C39,'PRECIO TERMINAL PEMEX'!$B$4:$E$35,2,0),IF(G39="Premium",VLOOKUP(C39,'PRECIO TERMINAL PEMEX'!$B$4:$E$35,3,0),IF(G39="Diesel",VLOOKUP(C39,'PRECIO TERMINAL PEMEX'!$B$4:$E$35,4,0),"Seleccione Producto"))),"-")</f>
        <v>Seleccione Producto</v>
      </c>
      <c r="L39" s="93" t="str">
        <f>+IFERROR(IF(F39="VHSA",VLOOKUP(B39,Listas!$C$4:$F$17,2,0),IF(F39="DOS BOCAS",VLOOKUP(B39,Listas!$C$4:$F$17,3,0),IF(F39="GLENCORE",VLOOKUP(B39,Listas!$C$4:$F$17,4,0),"Seleccione TAR"))),"-")</f>
        <v>Seleccione TAR</v>
      </c>
      <c r="M39" s="19" t="str">
        <f>+IFERROR(IF(G39="Regular",VLOOKUP(C39,'DESCUENTO PROVEEDORES'!$B$4:$E$35,2,0),IF(G39="Premium",VLOOKUP(C39,'DESCUENTO PROVEEDORES'!$B$4:$E$35,3,0),IF(G39="Diesel",VLOOKUP(C39,'DESCUENTO PROVEEDORES'!$B$4:$E$35,4,0),"Seleccione Proveedor"))),"-")</f>
        <v>Seleccione Proveedor</v>
      </c>
      <c r="N39" s="20" t="e">
        <f>((((K39-H39)/1.16)-M39))</f>
        <v>#VALUE!</v>
      </c>
      <c r="O39" s="21" t="e">
        <f>((N39*16%)+N39)+H39+L39</f>
        <v>#VALUE!</v>
      </c>
      <c r="P39" s="21" t="e">
        <f>(((J39-O39)-H39)/1.16)+H39</f>
        <v>#VALUE!</v>
      </c>
      <c r="Q39" s="44"/>
      <c r="R39" s="24"/>
      <c r="S39" s="23" t="e">
        <f t="shared" si="0"/>
        <v>#DIV/0!</v>
      </c>
      <c r="T39" s="23" t="e">
        <f t="shared" si="1"/>
        <v>#DIV/0!</v>
      </c>
      <c r="U39" s="22" t="e">
        <f t="shared" si="2"/>
        <v>#DIV/0!</v>
      </c>
      <c r="V39" s="51"/>
      <c r="W39" s="44"/>
      <c r="X39" s="44"/>
      <c r="Y39" s="44"/>
      <c r="Z39" s="44"/>
    </row>
    <row r="40" spans="1:26" ht="15.75" customHeight="1">
      <c r="A40" s="44"/>
      <c r="B40" s="14"/>
      <c r="C40" s="53"/>
      <c r="D40" s="15"/>
      <c r="E40" s="89"/>
      <c r="F40" s="16"/>
      <c r="G40" s="16"/>
      <c r="H40" s="90" t="str">
        <f>IF(G40="Regular",Listas!$K$16,IF(G40="Premium",Listas!$K$17,IF(G40="Diesel",Listas!$K$18,"-")))</f>
        <v>-</v>
      </c>
      <c r="I40" s="17"/>
      <c r="J40" s="18"/>
      <c r="K40" s="19" t="str">
        <f>+IFERROR(IF(G40="Regular",VLOOKUP(C40,'PRECIO TERMINAL PEMEX'!$B$4:$E$35,2,0),IF(G40="Premium",VLOOKUP(C40,'PRECIO TERMINAL PEMEX'!$B$4:$E$35,3,0),IF(G40="Diesel",VLOOKUP(C40,'PRECIO TERMINAL PEMEX'!$B$4:$E$35,4,0),"Seleccione Producto"))),"-")</f>
        <v>Seleccione Producto</v>
      </c>
      <c r="L40" s="93" t="str">
        <f>+IFERROR(IF(F40="VHSA",VLOOKUP(B40,Listas!$C$4:$F$17,2,0),IF(F40="DOS BOCAS",VLOOKUP(B40,Listas!$C$4:$F$17,3,0),IF(F40="GLENCORE",VLOOKUP(B40,Listas!$C$4:$F$17,4,0),"Seleccione TAR"))),"-")</f>
        <v>Seleccione TAR</v>
      </c>
      <c r="M40" s="19" t="str">
        <f>+IFERROR(IF(G40="Regular",VLOOKUP(C40,'DESCUENTO PROVEEDORES'!$B$4:$E$35,2,0),IF(G40="Premium",VLOOKUP(C40,'DESCUENTO PROVEEDORES'!$B$4:$E$35,3,0),IF(G40="Diesel",VLOOKUP(C40,'DESCUENTO PROVEEDORES'!$B$4:$E$35,4,0),"Seleccione Proveedor"))),"-")</f>
        <v>Seleccione Proveedor</v>
      </c>
      <c r="N40" s="20" t="e">
        <f>((((K40-H40)/1.16)-M40))</f>
        <v>#VALUE!</v>
      </c>
      <c r="O40" s="21" t="e">
        <f>((N40*16%)+N40)+H40+L40</f>
        <v>#VALUE!</v>
      </c>
      <c r="P40" s="21" t="e">
        <f>(((J40-O40)-H40)/1.16)+H40</f>
        <v>#VALUE!</v>
      </c>
      <c r="Q40" s="44"/>
      <c r="R40" s="24"/>
      <c r="S40" s="23" t="e">
        <f t="shared" si="0"/>
        <v>#DIV/0!</v>
      </c>
      <c r="T40" s="23" t="e">
        <f t="shared" si="1"/>
        <v>#DIV/0!</v>
      </c>
      <c r="U40" s="22" t="e">
        <f t="shared" si="2"/>
        <v>#DIV/0!</v>
      </c>
      <c r="V40" s="51"/>
      <c r="W40" s="44"/>
      <c r="X40" s="44"/>
      <c r="Y40" s="44"/>
      <c r="Z40" s="44"/>
    </row>
    <row r="41" spans="1:26" ht="15.75" customHeight="1">
      <c r="A41" s="44"/>
      <c r="B41" s="14"/>
      <c r="C41" s="53"/>
      <c r="D41" s="15"/>
      <c r="E41" s="89"/>
      <c r="F41" s="16"/>
      <c r="G41" s="16"/>
      <c r="H41" s="90" t="str">
        <f>IF(G41="Regular",Listas!$K$16,IF(G41="Premium",Listas!$K$17,IF(G41="Diesel",Listas!$K$18,"-")))</f>
        <v>-</v>
      </c>
      <c r="I41" s="17"/>
      <c r="J41" s="18"/>
      <c r="K41" s="19" t="str">
        <f>+IFERROR(IF(G41="Regular",VLOOKUP(C41,'PRECIO TERMINAL PEMEX'!$B$4:$E$35,2,0),IF(G41="Premium",VLOOKUP(C41,'PRECIO TERMINAL PEMEX'!$B$4:$E$35,3,0),IF(G41="Diesel",VLOOKUP(C41,'PRECIO TERMINAL PEMEX'!$B$4:$E$35,4,0),"Seleccione Producto"))),"-")</f>
        <v>Seleccione Producto</v>
      </c>
      <c r="L41" s="93" t="str">
        <f>+IFERROR(IF(F41="VHSA",VLOOKUP(B41,Listas!$C$4:$F$17,2,0),IF(F41="DOS BOCAS",VLOOKUP(B41,Listas!$C$4:$F$17,3,0),IF(F41="GLENCORE",VLOOKUP(B41,Listas!$C$4:$F$17,4,0),"Seleccione TAR"))),"-")</f>
        <v>Seleccione TAR</v>
      </c>
      <c r="M41" s="19" t="str">
        <f>+IFERROR(IF(G41="Regular",VLOOKUP(C41,'DESCUENTO PROVEEDORES'!$B$4:$E$35,2,0),IF(G41="Premium",VLOOKUP(C41,'DESCUENTO PROVEEDORES'!$B$4:$E$35,3,0),IF(G41="Diesel",VLOOKUP(C41,'DESCUENTO PROVEEDORES'!$B$4:$E$35,4,0),"Seleccione Proveedor"))),"-")</f>
        <v>Seleccione Proveedor</v>
      </c>
      <c r="N41" s="20" t="e">
        <f>((((K41-H41)/1.16)-M41))</f>
        <v>#VALUE!</v>
      </c>
      <c r="O41" s="21" t="e">
        <f>((N41*16%)+N41)+H41+L41</f>
        <v>#VALUE!</v>
      </c>
      <c r="P41" s="21" t="e">
        <f>(((J41-O41)-H41)/1.16)+H41</f>
        <v>#VALUE!</v>
      </c>
      <c r="Q41" s="44"/>
      <c r="R41" s="24"/>
      <c r="S41" s="23" t="e">
        <f t="shared" si="0"/>
        <v>#DIV/0!</v>
      </c>
      <c r="T41" s="23" t="e">
        <f t="shared" si="1"/>
        <v>#DIV/0!</v>
      </c>
      <c r="U41" s="22" t="e">
        <f t="shared" si="2"/>
        <v>#DIV/0!</v>
      </c>
      <c r="V41" s="51"/>
      <c r="W41" s="54"/>
      <c r="X41" s="44"/>
      <c r="Y41" s="44"/>
      <c r="Z41" s="44"/>
    </row>
    <row r="42" spans="1:26" ht="15.75" customHeight="1">
      <c r="A42" s="44"/>
      <c r="B42" s="14"/>
      <c r="C42" s="53"/>
      <c r="D42" s="15"/>
      <c r="E42" s="89"/>
      <c r="F42" s="16"/>
      <c r="G42" s="16"/>
      <c r="H42" s="90" t="str">
        <f>IF(G42="Regular",Listas!$K$16,IF(G42="Premium",Listas!$K$17,IF(G42="Diesel",Listas!$K$18,"-")))</f>
        <v>-</v>
      </c>
      <c r="I42" s="17"/>
      <c r="J42" s="18"/>
      <c r="K42" s="19" t="str">
        <f>+IFERROR(IF(G42="Regular",VLOOKUP(C42,'PRECIO TERMINAL PEMEX'!$B$4:$E$35,2,0),IF(G42="Premium",VLOOKUP(C42,'PRECIO TERMINAL PEMEX'!$B$4:$E$35,3,0),IF(G42="Diesel",VLOOKUP(C42,'PRECIO TERMINAL PEMEX'!$B$4:$E$35,4,0),"Seleccione Producto"))),"-")</f>
        <v>Seleccione Producto</v>
      </c>
      <c r="L42" s="93" t="str">
        <f>+IFERROR(IF(F42="VHSA",VLOOKUP(B42,Listas!$C$4:$F$17,2,0),IF(F42="DOS BOCAS",VLOOKUP(B42,Listas!$C$4:$F$17,3,0),IF(F42="GLENCORE",VLOOKUP(B42,Listas!$C$4:$F$17,4,0),"Seleccione TAR"))),"-")</f>
        <v>Seleccione TAR</v>
      </c>
      <c r="M42" s="19" t="str">
        <f>+IFERROR(IF(G42="Regular",VLOOKUP(C42,'DESCUENTO PROVEEDORES'!$B$4:$E$35,2,0),IF(G42="Premium",VLOOKUP(C42,'DESCUENTO PROVEEDORES'!$B$4:$E$35,3,0),IF(G42="Diesel",VLOOKUP(C42,'DESCUENTO PROVEEDORES'!$B$4:$E$35,4,0),"Seleccione Proveedor"))),"-")</f>
        <v>Seleccione Proveedor</v>
      </c>
      <c r="N42" s="20" t="e">
        <f>((((K42-H42)/1.16)-M42))</f>
        <v>#VALUE!</v>
      </c>
      <c r="O42" s="21" t="e">
        <f>((N42*16%)+N42)+H42+L42</f>
        <v>#VALUE!</v>
      </c>
      <c r="P42" s="21" t="e">
        <f>(((J42-O42)-H42)/1.16)+H42</f>
        <v>#VALUE!</v>
      </c>
      <c r="Q42" s="44"/>
      <c r="R42" s="24"/>
      <c r="S42" s="23" t="e">
        <f t="shared" si="0"/>
        <v>#DIV/0!</v>
      </c>
      <c r="T42" s="23" t="e">
        <f t="shared" si="1"/>
        <v>#DIV/0!</v>
      </c>
      <c r="U42" s="22" t="e">
        <f t="shared" si="2"/>
        <v>#DIV/0!</v>
      </c>
      <c r="V42" s="51"/>
      <c r="W42" s="54"/>
      <c r="X42" s="44"/>
      <c r="Y42" s="44"/>
      <c r="Z42" s="44"/>
    </row>
    <row r="43" spans="1:26" ht="15.75" customHeight="1">
      <c r="A43" s="44"/>
      <c r="B43" s="14"/>
      <c r="C43" s="53"/>
      <c r="D43" s="15"/>
      <c r="E43" s="89"/>
      <c r="F43" s="16"/>
      <c r="G43" s="16"/>
      <c r="H43" s="90" t="str">
        <f>IF(G43="Regular",Listas!$K$16,IF(G43="Premium",Listas!$K$17,IF(G43="Diesel",Listas!$K$18,"-")))</f>
        <v>-</v>
      </c>
      <c r="I43" s="17"/>
      <c r="J43" s="18"/>
      <c r="K43" s="19" t="str">
        <f>+IFERROR(IF(G43="Regular",VLOOKUP(C43,'PRECIO TERMINAL PEMEX'!$B$4:$E$35,2,0),IF(G43="Premium",VLOOKUP(C43,'PRECIO TERMINAL PEMEX'!$B$4:$E$35,3,0),IF(G43="Diesel",VLOOKUP(C43,'PRECIO TERMINAL PEMEX'!$B$4:$E$35,4,0),"Seleccione Producto"))),"-")</f>
        <v>Seleccione Producto</v>
      </c>
      <c r="L43" s="93" t="str">
        <f>+IFERROR(IF(F43="VHSA",VLOOKUP(B43,Listas!$C$4:$F$17,2,0),IF(F43="DOS BOCAS",VLOOKUP(B43,Listas!$C$4:$F$17,3,0),IF(F43="GLENCORE",VLOOKUP(B43,Listas!$C$4:$F$17,4,0),"Seleccione TAR"))),"-")</f>
        <v>Seleccione TAR</v>
      </c>
      <c r="M43" s="19" t="str">
        <f>+IFERROR(IF(G43="Regular",VLOOKUP(C43,'DESCUENTO PROVEEDORES'!$B$4:$E$35,2,0),IF(G43="Premium",VLOOKUP(C43,'DESCUENTO PROVEEDORES'!$B$4:$E$35,3,0),IF(G43="Diesel",VLOOKUP(C43,'DESCUENTO PROVEEDORES'!$B$4:$E$35,4,0),"Seleccione Proveedor"))),"-")</f>
        <v>Seleccione Proveedor</v>
      </c>
      <c r="N43" s="20" t="e">
        <f>((((K43-H43)/1.16)-M43))</f>
        <v>#VALUE!</v>
      </c>
      <c r="O43" s="21" t="e">
        <f>((N43*16%)+N43)+H43+L43</f>
        <v>#VALUE!</v>
      </c>
      <c r="P43" s="21" t="e">
        <f>(((J43-O43)-H43)/1.16)+H43</f>
        <v>#VALUE!</v>
      </c>
      <c r="Q43" s="44"/>
      <c r="R43" s="24"/>
      <c r="S43" s="23" t="e">
        <f t="shared" si="0"/>
        <v>#DIV/0!</v>
      </c>
      <c r="T43" s="23" t="e">
        <f t="shared" si="1"/>
        <v>#DIV/0!</v>
      </c>
      <c r="U43" s="22" t="e">
        <f t="shared" si="2"/>
        <v>#DIV/0!</v>
      </c>
      <c r="V43" s="51"/>
      <c r="W43" s="54"/>
      <c r="X43" s="44"/>
      <c r="Y43" s="44"/>
      <c r="Z43" s="44"/>
    </row>
    <row r="44" spans="1:26" ht="15.75" customHeight="1">
      <c r="A44" s="44"/>
      <c r="B44" s="14"/>
      <c r="C44" s="53"/>
      <c r="D44" s="15"/>
      <c r="E44" s="89"/>
      <c r="F44" s="16"/>
      <c r="G44" s="16"/>
      <c r="H44" s="90" t="str">
        <f>IF(G44="Regular",Listas!$K$16,IF(G44="Premium",Listas!$K$17,IF(G44="Diesel",Listas!$K$18,"-")))</f>
        <v>-</v>
      </c>
      <c r="I44" s="17"/>
      <c r="J44" s="18"/>
      <c r="K44" s="19" t="str">
        <f>+IFERROR(IF(G44="Regular",VLOOKUP(C44,'PRECIO TERMINAL PEMEX'!$B$4:$E$35,2,0),IF(G44="Premium",VLOOKUP(C44,'PRECIO TERMINAL PEMEX'!$B$4:$E$35,3,0),IF(G44="Diesel",VLOOKUP(C44,'PRECIO TERMINAL PEMEX'!$B$4:$E$35,4,0),"Seleccione Producto"))),"-")</f>
        <v>Seleccione Producto</v>
      </c>
      <c r="L44" s="93" t="str">
        <f>+IFERROR(IF(F44="VHSA",VLOOKUP(B44,Listas!$C$4:$F$17,2,0),IF(F44="DOS BOCAS",VLOOKUP(B44,Listas!$C$4:$F$17,3,0),IF(F44="GLENCORE",VLOOKUP(B44,Listas!$C$4:$F$17,4,0),"Seleccione TAR"))),"-")</f>
        <v>Seleccione TAR</v>
      </c>
      <c r="M44" s="19" t="str">
        <f>+IFERROR(IF(G44="Regular",VLOOKUP(C44,'DESCUENTO PROVEEDORES'!$B$4:$E$35,2,0),IF(G44="Premium",VLOOKUP(C44,'DESCUENTO PROVEEDORES'!$B$4:$E$35,3,0),IF(G44="Diesel",VLOOKUP(C44,'DESCUENTO PROVEEDORES'!$B$4:$E$35,4,0),"Seleccione Proveedor"))),"-")</f>
        <v>Seleccione Proveedor</v>
      </c>
      <c r="N44" s="20" t="e">
        <f>((((K44-H44)/1.16)-M44))</f>
        <v>#VALUE!</v>
      </c>
      <c r="O44" s="21" t="e">
        <f>((N44*16%)+N44)+H44+L44</f>
        <v>#VALUE!</v>
      </c>
      <c r="P44" s="21" t="e">
        <f>(((J44-O44)-H44)/1.16)+H44</f>
        <v>#VALUE!</v>
      </c>
      <c r="Q44" s="44"/>
      <c r="R44" s="24"/>
      <c r="S44" s="23" t="e">
        <f t="shared" si="0"/>
        <v>#DIV/0!</v>
      </c>
      <c r="T44" s="23" t="e">
        <f t="shared" si="1"/>
        <v>#DIV/0!</v>
      </c>
      <c r="U44" s="22" t="e">
        <f t="shared" si="2"/>
        <v>#DIV/0!</v>
      </c>
      <c r="V44" s="51"/>
      <c r="W44" s="44"/>
      <c r="X44" s="44"/>
      <c r="Y44" s="44"/>
      <c r="Z44" s="44"/>
    </row>
    <row r="45" spans="1:26" ht="15.75" customHeight="1">
      <c r="A45" s="44"/>
      <c r="B45" s="14"/>
      <c r="C45" s="53"/>
      <c r="D45" s="15"/>
      <c r="E45" s="89"/>
      <c r="F45" s="16"/>
      <c r="G45" s="16"/>
      <c r="H45" s="90" t="str">
        <f>IF(G45="Regular",Listas!$K$16,IF(G45="Premium",Listas!$K$17,IF(G45="Diesel",Listas!$K$18,"-")))</f>
        <v>-</v>
      </c>
      <c r="I45" s="17"/>
      <c r="J45" s="18"/>
      <c r="K45" s="19" t="str">
        <f>+IFERROR(IF(G45="Regular",VLOOKUP(C45,'PRECIO TERMINAL PEMEX'!$B$4:$E$35,2,0),IF(G45="Premium",VLOOKUP(C45,'PRECIO TERMINAL PEMEX'!$B$4:$E$35,3,0),IF(G45="Diesel",VLOOKUP(C45,'PRECIO TERMINAL PEMEX'!$B$4:$E$35,4,0),"Seleccione Producto"))),"-")</f>
        <v>Seleccione Producto</v>
      </c>
      <c r="L45" s="93" t="str">
        <f>+IFERROR(IF(F45="VHSA",VLOOKUP(B45,Listas!$C$4:$F$17,2,0),IF(F45="DOS BOCAS",VLOOKUP(B45,Listas!$C$4:$F$17,3,0),IF(F45="GLENCORE",VLOOKUP(B45,Listas!$C$4:$F$17,4,0),"Seleccione TAR"))),"-")</f>
        <v>Seleccione TAR</v>
      </c>
      <c r="M45" s="19" t="str">
        <f>+IFERROR(IF(G45="Regular",VLOOKUP(C45,'DESCUENTO PROVEEDORES'!$B$4:$E$35,2,0),IF(G45="Premium",VLOOKUP(C45,'DESCUENTO PROVEEDORES'!$B$4:$E$35,3,0),IF(G45="Diesel",VLOOKUP(C45,'DESCUENTO PROVEEDORES'!$B$4:$E$35,4,0),"Seleccione Proveedor"))),"-")</f>
        <v>Seleccione Proveedor</v>
      </c>
      <c r="N45" s="20" t="e">
        <f>((((K45-H45)/1.16)-M45))</f>
        <v>#VALUE!</v>
      </c>
      <c r="O45" s="21" t="e">
        <f>((N45*16%)+N45)+H45+L45</f>
        <v>#VALUE!</v>
      </c>
      <c r="P45" s="21" t="e">
        <f>(((J45-O45)-H45)/1.16)+H45</f>
        <v>#VALUE!</v>
      </c>
      <c r="Q45" s="44"/>
      <c r="R45" s="24"/>
      <c r="S45" s="23" t="e">
        <f t="shared" si="0"/>
        <v>#DIV/0!</v>
      </c>
      <c r="T45" s="23" t="e">
        <f t="shared" si="1"/>
        <v>#DIV/0!</v>
      </c>
      <c r="U45" s="22" t="e">
        <f t="shared" si="2"/>
        <v>#DIV/0!</v>
      </c>
      <c r="V45" s="51"/>
      <c r="W45" s="44"/>
      <c r="X45" s="44"/>
      <c r="Y45" s="44"/>
      <c r="Z45" s="44"/>
    </row>
    <row r="46" spans="1:26" ht="15.75" customHeight="1">
      <c r="A46" s="44"/>
      <c r="B46" s="14"/>
      <c r="C46" s="53"/>
      <c r="D46" s="15"/>
      <c r="E46" s="89"/>
      <c r="F46" s="16"/>
      <c r="G46" s="16"/>
      <c r="H46" s="90" t="str">
        <f>IF(G46="Regular",Listas!$K$16,IF(G46="Premium",Listas!$K$17,IF(G46="Diesel",Listas!$K$18,"-")))</f>
        <v>-</v>
      </c>
      <c r="I46" s="17"/>
      <c r="J46" s="18"/>
      <c r="K46" s="19" t="str">
        <f>+IFERROR(IF(G46="Regular",VLOOKUP(C46,'PRECIO TERMINAL PEMEX'!$B$4:$E$35,2,0),IF(G46="Premium",VLOOKUP(C46,'PRECIO TERMINAL PEMEX'!$B$4:$E$35,3,0),IF(G46="Diesel",VLOOKUP(C46,'PRECIO TERMINAL PEMEX'!$B$4:$E$35,4,0),"Seleccione Producto"))),"-")</f>
        <v>Seleccione Producto</v>
      </c>
      <c r="L46" s="93" t="str">
        <f>+IFERROR(IF(F46="VHSA",VLOOKUP(B46,Listas!$C$4:$F$17,2,0),IF(F46="DOS BOCAS",VLOOKUP(B46,Listas!$C$4:$F$17,3,0),IF(F46="GLENCORE",VLOOKUP(B46,Listas!$C$4:$F$17,4,0),"Seleccione TAR"))),"-")</f>
        <v>Seleccione TAR</v>
      </c>
      <c r="M46" s="19" t="str">
        <f>+IFERROR(IF(G46="Regular",VLOOKUP(C46,'DESCUENTO PROVEEDORES'!$B$4:$E$35,2,0),IF(G46="Premium",VLOOKUP(C46,'DESCUENTO PROVEEDORES'!$B$4:$E$35,3,0),IF(G46="Diesel",VLOOKUP(C46,'DESCUENTO PROVEEDORES'!$B$4:$E$35,4,0),"Seleccione Proveedor"))),"-")</f>
        <v>Seleccione Proveedor</v>
      </c>
      <c r="N46" s="20" t="e">
        <f>((((K46-H46)/1.16)-M46))</f>
        <v>#VALUE!</v>
      </c>
      <c r="O46" s="21" t="e">
        <f>((N46*16%)+N46)+H46+L46</f>
        <v>#VALUE!</v>
      </c>
      <c r="P46" s="21" t="e">
        <f>(((J46-O46)-H46)/1.16)+H46</f>
        <v>#VALUE!</v>
      </c>
      <c r="Q46" s="44"/>
      <c r="R46" s="24"/>
      <c r="S46" s="23" t="e">
        <f t="shared" si="0"/>
        <v>#DIV/0!</v>
      </c>
      <c r="T46" s="23" t="e">
        <f t="shared" si="1"/>
        <v>#DIV/0!</v>
      </c>
      <c r="U46" s="22" t="e">
        <f t="shared" si="2"/>
        <v>#DIV/0!</v>
      </c>
      <c r="V46" s="51"/>
      <c r="W46" s="44"/>
      <c r="X46" s="44"/>
      <c r="Y46" s="44"/>
      <c r="Z46" s="44"/>
    </row>
    <row r="47" spans="1:26" ht="15.75" customHeight="1">
      <c r="A47" s="44"/>
      <c r="B47" s="14"/>
      <c r="C47" s="53"/>
      <c r="D47" s="15"/>
      <c r="E47" s="89"/>
      <c r="F47" s="16"/>
      <c r="G47" s="16"/>
      <c r="H47" s="90" t="str">
        <f>IF(G47="Regular",Listas!$K$16,IF(G47="Premium",Listas!$K$17,IF(G47="Diesel",Listas!$K$18,"-")))</f>
        <v>-</v>
      </c>
      <c r="I47" s="17"/>
      <c r="J47" s="18"/>
      <c r="K47" s="19" t="str">
        <f>+IFERROR(IF(G47="Regular",VLOOKUP(C47,'PRECIO TERMINAL PEMEX'!$B$4:$E$35,2,0),IF(G47="Premium",VLOOKUP(C47,'PRECIO TERMINAL PEMEX'!$B$4:$E$35,3,0),IF(G47="Diesel",VLOOKUP(C47,'PRECIO TERMINAL PEMEX'!$B$4:$E$35,4,0),"Seleccione Producto"))),"-")</f>
        <v>Seleccione Producto</v>
      </c>
      <c r="L47" s="93" t="str">
        <f>+IFERROR(IF(F47="VHSA",VLOOKUP(B47,Listas!$C$4:$F$17,2,0),IF(F47="DOS BOCAS",VLOOKUP(B47,Listas!$C$4:$F$17,3,0),IF(F47="GLENCORE",VLOOKUP(B47,Listas!$C$4:$F$17,4,0),"Seleccione TAR"))),"-")</f>
        <v>Seleccione TAR</v>
      </c>
      <c r="M47" s="19" t="str">
        <f>+IFERROR(IF(G47="Regular",VLOOKUP(C47,'DESCUENTO PROVEEDORES'!$B$4:$E$35,2,0),IF(G47="Premium",VLOOKUP(C47,'DESCUENTO PROVEEDORES'!$B$4:$E$35,3,0),IF(G47="Diesel",VLOOKUP(C47,'DESCUENTO PROVEEDORES'!$B$4:$E$35,4,0),"Seleccione Proveedor"))),"-")</f>
        <v>Seleccione Proveedor</v>
      </c>
      <c r="N47" s="20" t="e">
        <f>((((K47-H47)/1.16)-M47))</f>
        <v>#VALUE!</v>
      </c>
      <c r="O47" s="21" t="e">
        <f>((N47*16%)+N47)+H47+L47</f>
        <v>#VALUE!</v>
      </c>
      <c r="P47" s="21" t="e">
        <f>(((J47-O47)-H47)/1.16)+H47</f>
        <v>#VALUE!</v>
      </c>
      <c r="Q47" s="44"/>
      <c r="R47" s="24"/>
      <c r="S47" s="23" t="e">
        <f t="shared" si="0"/>
        <v>#DIV/0!</v>
      </c>
      <c r="T47" s="23" t="e">
        <f t="shared" si="1"/>
        <v>#DIV/0!</v>
      </c>
      <c r="U47" s="22" t="e">
        <f t="shared" si="2"/>
        <v>#DIV/0!</v>
      </c>
      <c r="V47" s="51"/>
      <c r="W47" s="44"/>
      <c r="X47" s="44"/>
      <c r="Y47" s="44"/>
      <c r="Z47" s="44"/>
    </row>
    <row r="48" spans="1:26" ht="15.75" customHeight="1">
      <c r="A48" s="44"/>
      <c r="B48" s="14"/>
      <c r="C48" s="53"/>
      <c r="D48" s="15"/>
      <c r="E48" s="89"/>
      <c r="F48" s="16"/>
      <c r="G48" s="16"/>
      <c r="H48" s="90" t="str">
        <f>IF(G48="Regular",Listas!$K$16,IF(G48="Premium",Listas!$K$17,IF(G48="Diesel",Listas!$K$18,"-")))</f>
        <v>-</v>
      </c>
      <c r="I48" s="17"/>
      <c r="J48" s="18"/>
      <c r="K48" s="19" t="str">
        <f>+IFERROR(IF(G48="Regular",VLOOKUP(C48,'PRECIO TERMINAL PEMEX'!$B$4:$E$35,2,0),IF(G48="Premium",VLOOKUP(C48,'PRECIO TERMINAL PEMEX'!$B$4:$E$35,3,0),IF(G48="Diesel",VLOOKUP(C48,'PRECIO TERMINAL PEMEX'!$B$4:$E$35,4,0),"Seleccione Producto"))),"-")</f>
        <v>Seleccione Producto</v>
      </c>
      <c r="L48" s="93" t="str">
        <f>+IFERROR(IF(F48="VHSA",VLOOKUP(B48,Listas!$C$4:$F$17,2,0),IF(F48="DOS BOCAS",VLOOKUP(B48,Listas!$C$4:$F$17,3,0),IF(F48="GLENCORE",VLOOKUP(B48,Listas!$C$4:$F$17,4,0),"Seleccione TAR"))),"-")</f>
        <v>Seleccione TAR</v>
      </c>
      <c r="M48" s="19" t="str">
        <f>+IFERROR(IF(G48="Regular",VLOOKUP(C48,'DESCUENTO PROVEEDORES'!$B$4:$E$35,2,0),IF(G48="Premium",VLOOKUP(C48,'DESCUENTO PROVEEDORES'!$B$4:$E$35,3,0),IF(G48="Diesel",VLOOKUP(C48,'DESCUENTO PROVEEDORES'!$B$4:$E$35,4,0),"Seleccione Proveedor"))),"-")</f>
        <v>Seleccione Proveedor</v>
      </c>
      <c r="N48" s="20" t="e">
        <f>((((K48-H48)/1.16)-M48))</f>
        <v>#VALUE!</v>
      </c>
      <c r="O48" s="21" t="e">
        <f>((N48*16%)+N48)+H48+L48</f>
        <v>#VALUE!</v>
      </c>
      <c r="P48" s="21" t="e">
        <f>(((J48-O48)-H48)/1.16)+H48</f>
        <v>#VALUE!</v>
      </c>
      <c r="Q48" s="44"/>
      <c r="R48" s="24"/>
      <c r="S48" s="23" t="e">
        <f t="shared" si="0"/>
        <v>#DIV/0!</v>
      </c>
      <c r="T48" s="23" t="e">
        <f t="shared" si="1"/>
        <v>#DIV/0!</v>
      </c>
      <c r="U48" s="22" t="e">
        <f t="shared" si="2"/>
        <v>#DIV/0!</v>
      </c>
      <c r="V48" s="51"/>
      <c r="W48" s="54"/>
      <c r="X48" s="44"/>
      <c r="Y48" s="44"/>
      <c r="Z48" s="44"/>
    </row>
    <row r="49" spans="1:26" ht="15.75" customHeight="1">
      <c r="A49" s="44"/>
      <c r="B49" s="14"/>
      <c r="C49" s="53"/>
      <c r="D49" s="15"/>
      <c r="E49" s="89"/>
      <c r="F49" s="16"/>
      <c r="G49" s="16"/>
      <c r="H49" s="90" t="str">
        <f>IF(G49="Regular",Listas!$K$16,IF(G49="Premium",Listas!$K$17,IF(G49="Diesel",Listas!$K$18,"-")))</f>
        <v>-</v>
      </c>
      <c r="I49" s="17"/>
      <c r="J49" s="18"/>
      <c r="K49" s="19" t="str">
        <f>+IFERROR(IF(G49="Regular",VLOOKUP(C49,'PRECIO TERMINAL PEMEX'!$B$4:$E$35,2,0),IF(G49="Premium",VLOOKUP(C49,'PRECIO TERMINAL PEMEX'!$B$4:$E$35,3,0),IF(G49="Diesel",VLOOKUP(C49,'PRECIO TERMINAL PEMEX'!$B$4:$E$35,4,0),"Seleccione Producto"))),"-")</f>
        <v>Seleccione Producto</v>
      </c>
      <c r="L49" s="93" t="str">
        <f>+IFERROR(IF(F49="VHSA",VLOOKUP(B49,Listas!$C$4:$F$17,2,0),IF(F49="DOS BOCAS",VLOOKUP(B49,Listas!$C$4:$F$17,3,0),IF(F49="GLENCORE",VLOOKUP(B49,Listas!$C$4:$F$17,4,0),"Seleccione TAR"))),"-")</f>
        <v>Seleccione TAR</v>
      </c>
      <c r="M49" s="19" t="str">
        <f>+IFERROR(IF(G49="Regular",VLOOKUP(C49,'DESCUENTO PROVEEDORES'!$B$4:$E$35,2,0),IF(G49="Premium",VLOOKUP(C49,'DESCUENTO PROVEEDORES'!$B$4:$E$35,3,0),IF(G49="Diesel",VLOOKUP(C49,'DESCUENTO PROVEEDORES'!$B$4:$E$35,4,0),"Seleccione Proveedor"))),"-")</f>
        <v>Seleccione Proveedor</v>
      </c>
      <c r="N49" s="20" t="e">
        <f>((((K49-H49)/1.16)-M49))</f>
        <v>#VALUE!</v>
      </c>
      <c r="O49" s="21" t="e">
        <f>((N49*16%)+N49)+H49+L49</f>
        <v>#VALUE!</v>
      </c>
      <c r="P49" s="21" t="e">
        <f>(((J49-O49)-H49)/1.16)+H49</f>
        <v>#VALUE!</v>
      </c>
      <c r="Q49" s="44"/>
      <c r="R49" s="24"/>
      <c r="S49" s="23" t="e">
        <f t="shared" si="0"/>
        <v>#DIV/0!</v>
      </c>
      <c r="T49" s="23" t="e">
        <f t="shared" si="1"/>
        <v>#DIV/0!</v>
      </c>
      <c r="U49" s="22" t="e">
        <f t="shared" si="2"/>
        <v>#DIV/0!</v>
      </c>
      <c r="V49" s="51"/>
      <c r="W49" s="54"/>
      <c r="X49" s="44"/>
      <c r="Y49" s="44"/>
      <c r="Z49" s="44"/>
    </row>
    <row r="50" spans="1:26" ht="15.75" customHeight="1">
      <c r="A50" s="44"/>
      <c r="B50" s="14"/>
      <c r="C50" s="53"/>
      <c r="D50" s="15"/>
      <c r="E50" s="89"/>
      <c r="F50" s="16"/>
      <c r="G50" s="16"/>
      <c r="H50" s="90" t="str">
        <f>IF(G50="Regular",Listas!$K$16,IF(G50="Premium",Listas!$K$17,IF(G50="Diesel",Listas!$K$18,"-")))</f>
        <v>-</v>
      </c>
      <c r="I50" s="17"/>
      <c r="J50" s="18"/>
      <c r="K50" s="19" t="str">
        <f>+IFERROR(IF(G50="Regular",VLOOKUP(C50,'PRECIO TERMINAL PEMEX'!$B$4:$E$35,2,0),IF(G50="Premium",VLOOKUP(C50,'PRECIO TERMINAL PEMEX'!$B$4:$E$35,3,0),IF(G50="Diesel",VLOOKUP(C50,'PRECIO TERMINAL PEMEX'!$B$4:$E$35,4,0),"Seleccione Producto"))),"-")</f>
        <v>Seleccione Producto</v>
      </c>
      <c r="L50" s="93" t="str">
        <f>+IFERROR(IF(F50="VHSA",VLOOKUP(B50,Listas!$C$4:$F$17,2,0),IF(F50="DOS BOCAS",VLOOKUP(B50,Listas!$C$4:$F$17,3,0),IF(F50="GLENCORE",VLOOKUP(B50,Listas!$C$4:$F$17,4,0),"Seleccione TAR"))),"-")</f>
        <v>Seleccione TAR</v>
      </c>
      <c r="M50" s="19" t="str">
        <f>+IFERROR(IF(G50="Regular",VLOOKUP(C50,'DESCUENTO PROVEEDORES'!$B$4:$E$35,2,0),IF(G50="Premium",VLOOKUP(C50,'DESCUENTO PROVEEDORES'!$B$4:$E$35,3,0),IF(G50="Diesel",VLOOKUP(C50,'DESCUENTO PROVEEDORES'!$B$4:$E$35,4,0),"Seleccione Proveedor"))),"-")</f>
        <v>Seleccione Proveedor</v>
      </c>
      <c r="N50" s="20" t="e">
        <f>((((K50-H50)/1.16)-M50))</f>
        <v>#VALUE!</v>
      </c>
      <c r="O50" s="21" t="e">
        <f>((N50*16%)+N50)+H50+L50</f>
        <v>#VALUE!</v>
      </c>
      <c r="P50" s="21" t="e">
        <f>(((J50-O50)-H50)/1.16)+H50</f>
        <v>#VALUE!</v>
      </c>
      <c r="Q50" s="44"/>
      <c r="R50" s="24"/>
      <c r="S50" s="23" t="e">
        <f t="shared" si="0"/>
        <v>#DIV/0!</v>
      </c>
      <c r="T50" s="23" t="e">
        <f t="shared" si="1"/>
        <v>#DIV/0!</v>
      </c>
      <c r="U50" s="22" t="e">
        <f t="shared" si="2"/>
        <v>#DIV/0!</v>
      </c>
      <c r="V50" s="51"/>
      <c r="W50" s="44"/>
      <c r="X50" s="44"/>
      <c r="Y50" s="44"/>
      <c r="Z50" s="44"/>
    </row>
    <row r="51" spans="1:26" ht="15.75" customHeight="1">
      <c r="A51" s="44"/>
      <c r="B51" s="14"/>
      <c r="C51" s="53"/>
      <c r="D51" s="15"/>
      <c r="E51" s="89"/>
      <c r="F51" s="16"/>
      <c r="G51" s="16"/>
      <c r="H51" s="90" t="str">
        <f>IF(G51="Regular",Listas!$K$16,IF(G51="Premium",Listas!$K$17,IF(G51="Diesel",Listas!$K$18,"-")))</f>
        <v>-</v>
      </c>
      <c r="I51" s="17"/>
      <c r="J51" s="18"/>
      <c r="K51" s="19" t="str">
        <f>+IFERROR(IF(G51="Regular",VLOOKUP(C51,'PRECIO TERMINAL PEMEX'!$B$4:$E$35,2,0),IF(G51="Premium",VLOOKUP(C51,'PRECIO TERMINAL PEMEX'!$B$4:$E$35,3,0),IF(G51="Diesel",VLOOKUP(C51,'PRECIO TERMINAL PEMEX'!$B$4:$E$35,4,0),"Seleccione Producto"))),"-")</f>
        <v>Seleccione Producto</v>
      </c>
      <c r="L51" s="93" t="str">
        <f>+IFERROR(IF(F51="VHSA",VLOOKUP(B51,Listas!$C$4:$F$17,2,0),IF(F51="DOS BOCAS",VLOOKUP(B51,Listas!$C$4:$F$17,3,0),IF(F51="GLENCORE",VLOOKUP(B51,Listas!$C$4:$F$17,4,0),"Seleccione TAR"))),"-")</f>
        <v>Seleccione TAR</v>
      </c>
      <c r="M51" s="19" t="str">
        <f>+IFERROR(IF(G51="Regular",VLOOKUP(C51,'DESCUENTO PROVEEDORES'!$B$4:$E$35,2,0),IF(G51="Premium",VLOOKUP(C51,'DESCUENTO PROVEEDORES'!$B$4:$E$35,3,0),IF(G51="Diesel",VLOOKUP(C51,'DESCUENTO PROVEEDORES'!$B$4:$E$35,4,0),"Seleccione Proveedor"))),"-")</f>
        <v>Seleccione Proveedor</v>
      </c>
      <c r="N51" s="20" t="e">
        <f>((((K51-H51)/1.16)-M51))</f>
        <v>#VALUE!</v>
      </c>
      <c r="O51" s="21" t="e">
        <f>((N51*16%)+N51)+H51+L51</f>
        <v>#VALUE!</v>
      </c>
      <c r="P51" s="21" t="e">
        <f>(((J51-O51)-H51)/1.16)+H51</f>
        <v>#VALUE!</v>
      </c>
      <c r="Q51" s="44"/>
      <c r="R51" s="24"/>
      <c r="S51" s="23" t="e">
        <f t="shared" si="0"/>
        <v>#DIV/0!</v>
      </c>
      <c r="T51" s="23" t="e">
        <f t="shared" si="1"/>
        <v>#DIV/0!</v>
      </c>
      <c r="U51" s="22" t="e">
        <f t="shared" si="2"/>
        <v>#DIV/0!</v>
      </c>
      <c r="V51" s="51"/>
      <c r="W51" s="44"/>
      <c r="X51" s="44"/>
      <c r="Y51" s="44"/>
      <c r="Z51" s="44"/>
    </row>
    <row r="52" spans="1:26" ht="15.75" customHeight="1">
      <c r="A52" s="44"/>
      <c r="B52" s="14"/>
      <c r="C52" s="53"/>
      <c r="D52" s="15"/>
      <c r="E52" s="89"/>
      <c r="F52" s="16"/>
      <c r="G52" s="16"/>
      <c r="H52" s="90" t="str">
        <f>IF(G52="Regular",Listas!$K$16,IF(G52="Premium",Listas!$K$17,IF(G52="Diesel",Listas!$K$18,"-")))</f>
        <v>-</v>
      </c>
      <c r="I52" s="17"/>
      <c r="J52" s="18"/>
      <c r="K52" s="19" t="str">
        <f>+IFERROR(IF(G52="Regular",VLOOKUP(C52,'PRECIO TERMINAL PEMEX'!$B$4:$E$35,2,0),IF(G52="Premium",VLOOKUP(C52,'PRECIO TERMINAL PEMEX'!$B$4:$E$35,3,0),IF(G52="Diesel",VLOOKUP(C52,'PRECIO TERMINAL PEMEX'!$B$4:$E$35,4,0),"Seleccione Producto"))),"-")</f>
        <v>Seleccione Producto</v>
      </c>
      <c r="L52" s="93" t="str">
        <f>+IFERROR(IF(F52="VHSA",VLOOKUP(B52,Listas!$C$4:$F$17,2,0),IF(F52="DOS BOCAS",VLOOKUP(B52,Listas!$C$4:$F$17,3,0),IF(F52="GLENCORE",VLOOKUP(B52,Listas!$C$4:$F$17,4,0),"Seleccione TAR"))),"-")</f>
        <v>Seleccione TAR</v>
      </c>
      <c r="M52" s="19" t="str">
        <f>+IFERROR(IF(G52="Regular",VLOOKUP(C52,'DESCUENTO PROVEEDORES'!$B$4:$E$35,2,0),IF(G52="Premium",VLOOKUP(C52,'DESCUENTO PROVEEDORES'!$B$4:$E$35,3,0),IF(G52="Diesel",VLOOKUP(C52,'DESCUENTO PROVEEDORES'!$B$4:$E$35,4,0),"Seleccione Proveedor"))),"-")</f>
        <v>Seleccione Proveedor</v>
      </c>
      <c r="N52" s="20" t="e">
        <f>((((K52-H52)/1.16)-M52))</f>
        <v>#VALUE!</v>
      </c>
      <c r="O52" s="21" t="e">
        <f>((N52*16%)+N52)+H52+L52</f>
        <v>#VALUE!</v>
      </c>
      <c r="P52" s="21" t="e">
        <f>(((J52-O52)-H52)/1.16)+H52</f>
        <v>#VALUE!</v>
      </c>
      <c r="Q52" s="44"/>
      <c r="R52" s="24"/>
      <c r="S52" s="23" t="e">
        <f t="shared" si="0"/>
        <v>#DIV/0!</v>
      </c>
      <c r="T52" s="23" t="e">
        <f t="shared" si="1"/>
        <v>#DIV/0!</v>
      </c>
      <c r="U52" s="22" t="e">
        <f t="shared" si="2"/>
        <v>#DIV/0!</v>
      </c>
      <c r="V52" s="51"/>
      <c r="W52" s="44"/>
      <c r="X52" s="44"/>
      <c r="Y52" s="44"/>
      <c r="Z52" s="44"/>
    </row>
    <row r="53" spans="1:26" ht="15.75" customHeight="1">
      <c r="A53" s="44"/>
      <c r="B53" s="14"/>
      <c r="C53" s="53"/>
      <c r="D53" s="15"/>
      <c r="E53" s="89"/>
      <c r="F53" s="16"/>
      <c r="G53" s="16"/>
      <c r="H53" s="90" t="str">
        <f>IF(G53="Regular",Listas!$K$16,IF(G53="Premium",Listas!$K$17,IF(G53="Diesel",Listas!$K$18,"-")))</f>
        <v>-</v>
      </c>
      <c r="I53" s="17"/>
      <c r="J53" s="18"/>
      <c r="K53" s="19" t="str">
        <f>+IFERROR(IF(G53="Regular",VLOOKUP(C53,'PRECIO TERMINAL PEMEX'!$B$4:$E$35,2,0),IF(G53="Premium",VLOOKUP(C53,'PRECIO TERMINAL PEMEX'!$B$4:$E$35,3,0),IF(G53="Diesel",VLOOKUP(C53,'PRECIO TERMINAL PEMEX'!$B$4:$E$35,4,0),"Seleccione Producto"))),"-")</f>
        <v>Seleccione Producto</v>
      </c>
      <c r="L53" s="93" t="str">
        <f>+IFERROR(IF(F53="VHSA",VLOOKUP(B53,Listas!$C$4:$F$17,2,0),IF(F53="DOS BOCAS",VLOOKUP(B53,Listas!$C$4:$F$17,3,0),IF(F53="GLENCORE",VLOOKUP(B53,Listas!$C$4:$F$17,4,0),"Seleccione TAR"))),"-")</f>
        <v>Seleccione TAR</v>
      </c>
      <c r="M53" s="19" t="str">
        <f>+IFERROR(IF(G53="Regular",VLOOKUP(C53,'DESCUENTO PROVEEDORES'!$B$4:$E$35,2,0),IF(G53="Premium",VLOOKUP(C53,'DESCUENTO PROVEEDORES'!$B$4:$E$35,3,0),IF(G53="Diesel",VLOOKUP(C53,'DESCUENTO PROVEEDORES'!$B$4:$E$35,4,0),"Seleccione Proveedor"))),"-")</f>
        <v>Seleccione Proveedor</v>
      </c>
      <c r="N53" s="20" t="e">
        <f>((((K53-H53)/1.16)-M53))</f>
        <v>#VALUE!</v>
      </c>
      <c r="O53" s="21" t="e">
        <f>((N53*16%)+N53)+H53+L53</f>
        <v>#VALUE!</v>
      </c>
      <c r="P53" s="21" t="e">
        <f>(((J53-O53)-H53)/1.16)+H53</f>
        <v>#VALUE!</v>
      </c>
      <c r="Q53" s="44"/>
      <c r="R53" s="24"/>
      <c r="S53" s="23" t="e">
        <f t="shared" si="0"/>
        <v>#DIV/0!</v>
      </c>
      <c r="T53" s="23" t="e">
        <f t="shared" si="1"/>
        <v>#DIV/0!</v>
      </c>
      <c r="U53" s="22" t="e">
        <f t="shared" si="2"/>
        <v>#DIV/0!</v>
      </c>
      <c r="V53" s="51"/>
      <c r="W53" s="44"/>
      <c r="X53" s="44"/>
      <c r="Y53" s="44"/>
      <c r="Z53" s="44"/>
    </row>
    <row r="54" spans="1:26" ht="15.75" customHeight="1">
      <c r="A54" s="44"/>
      <c r="B54" s="14"/>
      <c r="C54" s="53"/>
      <c r="D54" s="15"/>
      <c r="E54" s="89"/>
      <c r="F54" s="16"/>
      <c r="G54" s="16"/>
      <c r="H54" s="90" t="str">
        <f>IF(G54="Regular",Listas!$K$16,IF(G54="Premium",Listas!$K$17,IF(G54="Diesel",Listas!$K$18,"-")))</f>
        <v>-</v>
      </c>
      <c r="I54" s="17"/>
      <c r="J54" s="18"/>
      <c r="K54" s="19" t="str">
        <f>+IFERROR(IF(G54="Regular",VLOOKUP(C54,'PRECIO TERMINAL PEMEX'!$B$4:$E$35,2,0),IF(G54="Premium",VLOOKUP(C54,'PRECIO TERMINAL PEMEX'!$B$4:$E$35,3,0),IF(G54="Diesel",VLOOKUP(C54,'PRECIO TERMINAL PEMEX'!$B$4:$E$35,4,0),"Seleccione Producto"))),"-")</f>
        <v>Seleccione Producto</v>
      </c>
      <c r="L54" s="93" t="str">
        <f>+IFERROR(IF(F54="VHSA",VLOOKUP(B54,Listas!$C$4:$F$17,2,0),IF(F54="DOS BOCAS",VLOOKUP(B54,Listas!$C$4:$F$17,3,0),IF(F54="GLENCORE",VLOOKUP(B54,Listas!$C$4:$F$17,4,0),"Seleccione TAR"))),"-")</f>
        <v>Seleccione TAR</v>
      </c>
      <c r="M54" s="19" t="str">
        <f>+IFERROR(IF(G54="Regular",VLOOKUP(C54,'DESCUENTO PROVEEDORES'!$B$4:$E$35,2,0),IF(G54="Premium",VLOOKUP(C54,'DESCUENTO PROVEEDORES'!$B$4:$E$35,3,0),IF(G54="Diesel",VLOOKUP(C54,'DESCUENTO PROVEEDORES'!$B$4:$E$35,4,0),"Seleccione Proveedor"))),"-")</f>
        <v>Seleccione Proveedor</v>
      </c>
      <c r="N54" s="20" t="e">
        <f>((((K54-H54)/1.16)-M54))</f>
        <v>#VALUE!</v>
      </c>
      <c r="O54" s="21" t="e">
        <f>((N54*16%)+N54)+H54+L54</f>
        <v>#VALUE!</v>
      </c>
      <c r="P54" s="21" t="e">
        <f>(((J54-O54)-H54)/1.16)+H54</f>
        <v>#VALUE!</v>
      </c>
      <c r="Q54" s="44"/>
      <c r="R54" s="24"/>
      <c r="S54" s="23" t="e">
        <f t="shared" si="0"/>
        <v>#DIV/0!</v>
      </c>
      <c r="T54" s="23" t="e">
        <f t="shared" si="1"/>
        <v>#DIV/0!</v>
      </c>
      <c r="U54" s="22" t="e">
        <f t="shared" si="2"/>
        <v>#DIV/0!</v>
      </c>
      <c r="V54" s="51"/>
      <c r="W54" s="54"/>
      <c r="X54" s="44"/>
      <c r="Y54" s="44"/>
      <c r="Z54" s="44"/>
    </row>
    <row r="55" spans="1:26" ht="15.75" customHeight="1">
      <c r="A55" s="44"/>
      <c r="B55" s="14"/>
      <c r="C55" s="53"/>
      <c r="D55" s="15"/>
      <c r="E55" s="89"/>
      <c r="F55" s="16"/>
      <c r="G55" s="16"/>
      <c r="H55" s="90" t="str">
        <f>IF(G55="Regular",Listas!$K$16,IF(G55="Premium",Listas!$K$17,IF(G55="Diesel",Listas!$K$18,"-")))</f>
        <v>-</v>
      </c>
      <c r="I55" s="17"/>
      <c r="J55" s="18"/>
      <c r="K55" s="19" t="str">
        <f>+IFERROR(IF(G55="Regular",VLOOKUP(C55,'PRECIO TERMINAL PEMEX'!$B$4:$E$35,2,0),IF(G55="Premium",VLOOKUP(C55,'PRECIO TERMINAL PEMEX'!$B$4:$E$35,3,0),IF(G55="Diesel",VLOOKUP(C55,'PRECIO TERMINAL PEMEX'!$B$4:$E$35,4,0),"Seleccione Producto"))),"-")</f>
        <v>Seleccione Producto</v>
      </c>
      <c r="L55" s="93" t="str">
        <f>+IFERROR(IF(F55="VHSA",VLOOKUP(B55,Listas!$C$4:$F$17,2,0),IF(F55="DOS BOCAS",VLOOKUP(B55,Listas!$C$4:$F$17,3,0),IF(F55="GLENCORE",VLOOKUP(B55,Listas!$C$4:$F$17,4,0),"Seleccione TAR"))),"-")</f>
        <v>Seleccione TAR</v>
      </c>
      <c r="M55" s="19" t="str">
        <f>+IFERROR(IF(G55="Regular",VLOOKUP(C55,'DESCUENTO PROVEEDORES'!$B$4:$E$35,2,0),IF(G55="Premium",VLOOKUP(C55,'DESCUENTO PROVEEDORES'!$B$4:$E$35,3,0),IF(G55="Diesel",VLOOKUP(C55,'DESCUENTO PROVEEDORES'!$B$4:$E$35,4,0),"Seleccione Proveedor"))),"-")</f>
        <v>Seleccione Proveedor</v>
      </c>
      <c r="N55" s="20" t="e">
        <f>((((K55-H55)/1.16)-M55))</f>
        <v>#VALUE!</v>
      </c>
      <c r="O55" s="21" t="e">
        <f>((N55*16%)+N55)+H55+L55</f>
        <v>#VALUE!</v>
      </c>
      <c r="P55" s="21" t="e">
        <f>(((J55-O55)-H55)/1.16)+H55</f>
        <v>#VALUE!</v>
      </c>
      <c r="Q55" s="44"/>
      <c r="R55" s="24"/>
      <c r="S55" s="23" t="e">
        <f t="shared" si="0"/>
        <v>#DIV/0!</v>
      </c>
      <c r="T55" s="23" t="e">
        <f t="shared" si="1"/>
        <v>#DIV/0!</v>
      </c>
      <c r="U55" s="22" t="e">
        <f t="shared" si="2"/>
        <v>#DIV/0!</v>
      </c>
      <c r="V55" s="51"/>
      <c r="W55" s="44"/>
      <c r="X55" s="44"/>
      <c r="Y55" s="44"/>
      <c r="Z55" s="44"/>
    </row>
    <row r="56" spans="1:26" ht="15.75" customHeight="1">
      <c r="A56" s="44"/>
      <c r="B56" s="14"/>
      <c r="C56" s="53"/>
      <c r="D56" s="15"/>
      <c r="E56" s="89"/>
      <c r="F56" s="16"/>
      <c r="G56" s="16"/>
      <c r="H56" s="90" t="str">
        <f>IF(G56="Regular",Listas!$K$16,IF(G56="Premium",Listas!$K$17,IF(G56="Diesel",Listas!$K$18,"-")))</f>
        <v>-</v>
      </c>
      <c r="I56" s="17"/>
      <c r="J56" s="18"/>
      <c r="K56" s="19" t="str">
        <f>+IFERROR(IF(G56="Regular",VLOOKUP(C56,'PRECIO TERMINAL PEMEX'!$B$4:$E$35,2,0),IF(G56="Premium",VLOOKUP(C56,'PRECIO TERMINAL PEMEX'!$B$4:$E$35,3,0),IF(G56="Diesel",VLOOKUP(C56,'PRECIO TERMINAL PEMEX'!$B$4:$E$35,4,0),"Seleccione Producto"))),"-")</f>
        <v>Seleccione Producto</v>
      </c>
      <c r="L56" s="93" t="str">
        <f>+IFERROR(IF(F56="VHSA",VLOOKUP(B56,Listas!$C$4:$F$17,2,0),IF(F56="DOS BOCAS",VLOOKUP(B56,Listas!$C$4:$F$17,3,0),IF(F56="GLENCORE",VLOOKUP(B56,Listas!$C$4:$F$17,4,0),"Seleccione TAR"))),"-")</f>
        <v>Seleccione TAR</v>
      </c>
      <c r="M56" s="19" t="str">
        <f>+IFERROR(IF(G56="Regular",VLOOKUP(C56,'DESCUENTO PROVEEDORES'!$B$4:$E$35,2,0),IF(G56="Premium",VLOOKUP(C56,'DESCUENTO PROVEEDORES'!$B$4:$E$35,3,0),IF(G56="Diesel",VLOOKUP(C56,'DESCUENTO PROVEEDORES'!$B$4:$E$35,4,0),"Seleccione Proveedor"))),"-")</f>
        <v>Seleccione Proveedor</v>
      </c>
      <c r="N56" s="20" t="e">
        <f>((((K56-H56)/1.16)-M56))</f>
        <v>#VALUE!</v>
      </c>
      <c r="O56" s="21" t="e">
        <f>((N56*16%)+N56)+H56+L56</f>
        <v>#VALUE!</v>
      </c>
      <c r="P56" s="21" t="e">
        <f>(((J56-O56)-H56)/1.16)+H56</f>
        <v>#VALUE!</v>
      </c>
      <c r="Q56" s="44"/>
      <c r="R56" s="24"/>
      <c r="S56" s="23" t="e">
        <f t="shared" si="0"/>
        <v>#DIV/0!</v>
      </c>
      <c r="T56" s="23" t="e">
        <f t="shared" si="1"/>
        <v>#DIV/0!</v>
      </c>
      <c r="U56" s="22" t="e">
        <f t="shared" si="2"/>
        <v>#DIV/0!</v>
      </c>
      <c r="V56" s="51"/>
      <c r="W56" s="44"/>
      <c r="X56" s="44"/>
      <c r="Y56" s="44"/>
      <c r="Z56" s="44"/>
    </row>
    <row r="57" spans="1:26" ht="15.75" customHeight="1">
      <c r="A57" s="44"/>
      <c r="B57" s="14"/>
      <c r="C57" s="53"/>
      <c r="D57" s="15"/>
      <c r="E57" s="89"/>
      <c r="F57" s="16"/>
      <c r="G57" s="16"/>
      <c r="H57" s="90" t="str">
        <f>IF(G57="Regular",Listas!$K$16,IF(G57="Premium",Listas!$K$17,IF(G57="Diesel",Listas!$K$18,"-")))</f>
        <v>-</v>
      </c>
      <c r="I57" s="17"/>
      <c r="J57" s="18"/>
      <c r="K57" s="19" t="str">
        <f>+IFERROR(IF(G57="Regular",VLOOKUP(C57,'PRECIO TERMINAL PEMEX'!$B$4:$E$35,2,0),IF(G57="Premium",VLOOKUP(C57,'PRECIO TERMINAL PEMEX'!$B$4:$E$35,3,0),IF(G57="Diesel",VLOOKUP(C57,'PRECIO TERMINAL PEMEX'!$B$4:$E$35,4,0),"Seleccione Producto"))),"-")</f>
        <v>Seleccione Producto</v>
      </c>
      <c r="L57" s="93" t="str">
        <f>+IFERROR(IF(F57="VHSA",VLOOKUP(B57,Listas!$C$4:$F$17,2,0),IF(F57="DOS BOCAS",VLOOKUP(B57,Listas!$C$4:$F$17,3,0),IF(F57="GLENCORE",VLOOKUP(B57,Listas!$C$4:$F$17,4,0),"Seleccione TAR"))),"-")</f>
        <v>Seleccione TAR</v>
      </c>
      <c r="M57" s="19" t="str">
        <f>+IFERROR(IF(G57="Regular",VLOOKUP(C57,'DESCUENTO PROVEEDORES'!$B$4:$E$35,2,0),IF(G57="Premium",VLOOKUP(C57,'DESCUENTO PROVEEDORES'!$B$4:$E$35,3,0),IF(G57="Diesel",VLOOKUP(C57,'DESCUENTO PROVEEDORES'!$B$4:$E$35,4,0),"Seleccione Proveedor"))),"-")</f>
        <v>Seleccione Proveedor</v>
      </c>
      <c r="N57" s="20" t="e">
        <f>((((K57-H57)/1.16)-M57))</f>
        <v>#VALUE!</v>
      </c>
      <c r="O57" s="21" t="e">
        <f>((N57*16%)+N57)+H57+L57</f>
        <v>#VALUE!</v>
      </c>
      <c r="P57" s="21" t="e">
        <f>(((J57-O57)-H57)/1.16)+H57</f>
        <v>#VALUE!</v>
      </c>
      <c r="Q57" s="44"/>
      <c r="R57" s="24"/>
      <c r="S57" s="23" t="e">
        <f t="shared" si="0"/>
        <v>#DIV/0!</v>
      </c>
      <c r="T57" s="23" t="e">
        <f t="shared" si="1"/>
        <v>#DIV/0!</v>
      </c>
      <c r="U57" s="22" t="e">
        <f t="shared" si="2"/>
        <v>#DIV/0!</v>
      </c>
      <c r="V57" s="51"/>
      <c r="W57" s="44"/>
      <c r="X57" s="44"/>
      <c r="Y57" s="44"/>
      <c r="Z57" s="44"/>
    </row>
    <row r="58" spans="1:26" ht="15.75" customHeight="1">
      <c r="A58" s="44"/>
      <c r="B58" s="14"/>
      <c r="C58" s="53"/>
      <c r="D58" s="15"/>
      <c r="E58" s="89"/>
      <c r="F58" s="16"/>
      <c r="G58" s="16"/>
      <c r="H58" s="90" t="str">
        <f>IF(G58="Regular",Listas!$K$16,IF(G58="Premium",Listas!$K$17,IF(G58="Diesel",Listas!$K$18,"-")))</f>
        <v>-</v>
      </c>
      <c r="I58" s="17"/>
      <c r="J58" s="18"/>
      <c r="K58" s="19" t="str">
        <f>+IFERROR(IF(G58="Regular",VLOOKUP(C58,'PRECIO TERMINAL PEMEX'!$B$4:$E$35,2,0),IF(G58="Premium",VLOOKUP(C58,'PRECIO TERMINAL PEMEX'!$B$4:$E$35,3,0),IF(G58="Diesel",VLOOKUP(C58,'PRECIO TERMINAL PEMEX'!$B$4:$E$35,4,0),"Seleccione Producto"))),"-")</f>
        <v>Seleccione Producto</v>
      </c>
      <c r="L58" s="93" t="str">
        <f>+IFERROR(IF(F58="VHSA",VLOOKUP(B58,Listas!$C$4:$F$17,2,0),IF(F58="DOS BOCAS",VLOOKUP(B58,Listas!$C$4:$F$17,3,0),IF(F58="GLENCORE",VLOOKUP(B58,Listas!$C$4:$F$17,4,0),"Seleccione TAR"))),"-")</f>
        <v>Seleccione TAR</v>
      </c>
      <c r="M58" s="19" t="str">
        <f>+IFERROR(IF(G58="Regular",VLOOKUP(C58,'DESCUENTO PROVEEDORES'!$B$4:$E$35,2,0),IF(G58="Premium",VLOOKUP(C58,'DESCUENTO PROVEEDORES'!$B$4:$E$35,3,0),IF(G58="Diesel",VLOOKUP(C58,'DESCUENTO PROVEEDORES'!$B$4:$E$35,4,0),"Seleccione Proveedor"))),"-")</f>
        <v>Seleccione Proveedor</v>
      </c>
      <c r="N58" s="20" t="e">
        <f>((((K58-H58)/1.16)-M58))</f>
        <v>#VALUE!</v>
      </c>
      <c r="O58" s="21" t="e">
        <f>((N58*16%)+N58)+H58+L58</f>
        <v>#VALUE!</v>
      </c>
      <c r="P58" s="21" t="e">
        <f>(((J58-O58)-H58)/1.16)+H58</f>
        <v>#VALUE!</v>
      </c>
      <c r="Q58" s="44"/>
      <c r="R58" s="24"/>
      <c r="S58" s="23" t="e">
        <f t="shared" si="0"/>
        <v>#DIV/0!</v>
      </c>
      <c r="T58" s="23" t="e">
        <f t="shared" si="1"/>
        <v>#DIV/0!</v>
      </c>
      <c r="U58" s="22" t="e">
        <f t="shared" si="2"/>
        <v>#DIV/0!</v>
      </c>
      <c r="V58" s="51"/>
      <c r="W58" s="44"/>
      <c r="X58" s="44"/>
      <c r="Y58" s="44"/>
      <c r="Z58" s="44"/>
    </row>
    <row r="59" spans="1:26" ht="15.75" customHeight="1">
      <c r="A59" s="44"/>
      <c r="B59" s="14"/>
      <c r="C59" s="53"/>
      <c r="D59" s="15"/>
      <c r="E59" s="89"/>
      <c r="F59" s="16"/>
      <c r="G59" s="16"/>
      <c r="H59" s="90" t="str">
        <f>IF(G59="Regular",Listas!$K$16,IF(G59="Premium",Listas!$K$17,IF(G59="Diesel",Listas!$K$18,"-")))</f>
        <v>-</v>
      </c>
      <c r="I59" s="17"/>
      <c r="J59" s="18"/>
      <c r="K59" s="19" t="str">
        <f>+IFERROR(IF(G59="Regular",VLOOKUP(C59,'PRECIO TERMINAL PEMEX'!$B$4:$E$35,2,0),IF(G59="Premium",VLOOKUP(C59,'PRECIO TERMINAL PEMEX'!$B$4:$E$35,3,0),IF(G59="Diesel",VLOOKUP(C59,'PRECIO TERMINAL PEMEX'!$B$4:$E$35,4,0),"Seleccione Producto"))),"-")</f>
        <v>Seleccione Producto</v>
      </c>
      <c r="L59" s="93" t="str">
        <f>+IFERROR(IF(F59="VHSA",VLOOKUP(B59,Listas!$C$4:$F$17,2,0),IF(F59="DOS BOCAS",VLOOKUP(B59,Listas!$C$4:$F$17,3,0),IF(F59="GLENCORE",VLOOKUP(B59,Listas!$C$4:$F$17,4,0),"Seleccione TAR"))),"-")</f>
        <v>Seleccione TAR</v>
      </c>
      <c r="M59" s="19" t="str">
        <f>+IFERROR(IF(G59="Regular",VLOOKUP(C59,'DESCUENTO PROVEEDORES'!$B$4:$E$35,2,0),IF(G59="Premium",VLOOKUP(C59,'DESCUENTO PROVEEDORES'!$B$4:$E$35,3,0),IF(G59="Diesel",VLOOKUP(C59,'DESCUENTO PROVEEDORES'!$B$4:$E$35,4,0),"Seleccione Proveedor"))),"-")</f>
        <v>Seleccione Proveedor</v>
      </c>
      <c r="N59" s="20" t="e">
        <f>((((K59-H59)/1.16)-M59))</f>
        <v>#VALUE!</v>
      </c>
      <c r="O59" s="21" t="e">
        <f>((N59*16%)+N59)+H59+L59</f>
        <v>#VALUE!</v>
      </c>
      <c r="P59" s="21" t="e">
        <f>(((J59-O59)-H59)/1.16)+H59</f>
        <v>#VALUE!</v>
      </c>
      <c r="Q59" s="44"/>
      <c r="R59" s="24"/>
      <c r="S59" s="23" t="e">
        <f t="shared" si="0"/>
        <v>#DIV/0!</v>
      </c>
      <c r="T59" s="23" t="e">
        <f t="shared" si="1"/>
        <v>#DIV/0!</v>
      </c>
      <c r="U59" s="22" t="e">
        <f t="shared" si="2"/>
        <v>#DIV/0!</v>
      </c>
      <c r="V59" s="51"/>
      <c r="W59" s="44"/>
      <c r="X59" s="44"/>
      <c r="Y59" s="44"/>
      <c r="Z59" s="44"/>
    </row>
    <row r="60" spans="1:26" ht="15.75" customHeight="1">
      <c r="A60" s="44"/>
      <c r="B60" s="14"/>
      <c r="C60" s="53"/>
      <c r="D60" s="15"/>
      <c r="E60" s="89"/>
      <c r="F60" s="16"/>
      <c r="G60" s="16"/>
      <c r="H60" s="90" t="str">
        <f>IF(G60="Regular",Listas!$K$16,IF(G60="Premium",Listas!$K$17,IF(G60="Diesel",Listas!$K$18,"-")))</f>
        <v>-</v>
      </c>
      <c r="I60" s="17"/>
      <c r="J60" s="18"/>
      <c r="K60" s="19" t="str">
        <f>+IFERROR(IF(G60="Regular",VLOOKUP(C60,'PRECIO TERMINAL PEMEX'!$B$4:$E$35,2,0),IF(G60="Premium",VLOOKUP(C60,'PRECIO TERMINAL PEMEX'!$B$4:$E$35,3,0),IF(G60="Diesel",VLOOKUP(C60,'PRECIO TERMINAL PEMEX'!$B$4:$E$35,4,0),"Seleccione Producto"))),"-")</f>
        <v>Seleccione Producto</v>
      </c>
      <c r="L60" s="93" t="str">
        <f>+IFERROR(IF(F60="VHSA",VLOOKUP(B60,Listas!$C$4:$F$17,2,0),IF(F60="DOS BOCAS",VLOOKUP(B60,Listas!$C$4:$F$17,3,0),IF(F60="GLENCORE",VLOOKUP(B60,Listas!$C$4:$F$17,4,0),"Seleccione TAR"))),"-")</f>
        <v>Seleccione TAR</v>
      </c>
      <c r="M60" s="19" t="str">
        <f>+IFERROR(IF(G60="Regular",VLOOKUP(C60,'DESCUENTO PROVEEDORES'!$B$4:$E$35,2,0),IF(G60="Premium",VLOOKUP(C60,'DESCUENTO PROVEEDORES'!$B$4:$E$35,3,0),IF(G60="Diesel",VLOOKUP(C60,'DESCUENTO PROVEEDORES'!$B$4:$E$35,4,0),"Seleccione Proveedor"))),"-")</f>
        <v>Seleccione Proveedor</v>
      </c>
      <c r="N60" s="20" t="e">
        <f>((((K60-H60)/1.16)-M60))</f>
        <v>#VALUE!</v>
      </c>
      <c r="O60" s="21" t="e">
        <f>((N60*16%)+N60)+H60+L60</f>
        <v>#VALUE!</v>
      </c>
      <c r="P60" s="21" t="e">
        <f>(((J60-O60)-H60)/1.16)+H60</f>
        <v>#VALUE!</v>
      </c>
      <c r="Q60" s="44"/>
      <c r="R60" s="24"/>
      <c r="S60" s="23" t="e">
        <f t="shared" si="0"/>
        <v>#DIV/0!</v>
      </c>
      <c r="T60" s="23" t="e">
        <f t="shared" si="1"/>
        <v>#DIV/0!</v>
      </c>
      <c r="U60" s="22" t="e">
        <f t="shared" si="2"/>
        <v>#DIV/0!</v>
      </c>
      <c r="V60" s="51"/>
      <c r="W60" s="44"/>
      <c r="X60" s="44"/>
      <c r="Y60" s="44"/>
      <c r="Z60" s="44"/>
    </row>
    <row r="61" spans="1:26" ht="15.75" customHeight="1">
      <c r="A61" s="44"/>
      <c r="B61" s="14"/>
      <c r="C61" s="53"/>
      <c r="D61" s="15"/>
      <c r="E61" s="89"/>
      <c r="F61" s="16"/>
      <c r="G61" s="16"/>
      <c r="H61" s="90" t="str">
        <f>IF(G61="Regular",Listas!$K$16,IF(G61="Premium",Listas!$K$17,IF(G61="Diesel",Listas!$K$18,"-")))</f>
        <v>-</v>
      </c>
      <c r="I61" s="17"/>
      <c r="J61" s="18"/>
      <c r="K61" s="19" t="str">
        <f>+IFERROR(IF(G61="Regular",VLOOKUP(C61,'PRECIO TERMINAL PEMEX'!$B$4:$E$35,2,0),IF(G61="Premium",VLOOKUP(C61,'PRECIO TERMINAL PEMEX'!$B$4:$E$35,3,0),IF(G61="Diesel",VLOOKUP(C61,'PRECIO TERMINAL PEMEX'!$B$4:$E$35,4,0),"Seleccione Producto"))),"-")</f>
        <v>Seleccione Producto</v>
      </c>
      <c r="L61" s="93" t="str">
        <f>+IFERROR(IF(F61="VHSA",VLOOKUP(B61,Listas!$C$4:$F$17,2,0),IF(F61="DOS BOCAS",VLOOKUP(B61,Listas!$C$4:$F$17,3,0),IF(F61="GLENCORE",VLOOKUP(B61,Listas!$C$4:$F$17,4,0),"Seleccione TAR"))),"-")</f>
        <v>Seleccione TAR</v>
      </c>
      <c r="M61" s="19" t="str">
        <f>+IFERROR(IF(G61="Regular",VLOOKUP(C61,'DESCUENTO PROVEEDORES'!$B$4:$E$35,2,0),IF(G61="Premium",VLOOKUP(C61,'DESCUENTO PROVEEDORES'!$B$4:$E$35,3,0),IF(G61="Diesel",VLOOKUP(C61,'DESCUENTO PROVEEDORES'!$B$4:$E$35,4,0),"Seleccione Proveedor"))),"-")</f>
        <v>Seleccione Proveedor</v>
      </c>
      <c r="N61" s="20" t="e">
        <f>((((K61-H61)/1.16)-M61))</f>
        <v>#VALUE!</v>
      </c>
      <c r="O61" s="21" t="e">
        <f>((N61*16%)+N61)+H61+L61</f>
        <v>#VALUE!</v>
      </c>
      <c r="P61" s="21" t="e">
        <f>(((J61-O61)-H61)/1.16)+H61</f>
        <v>#VALUE!</v>
      </c>
      <c r="Q61" s="44"/>
      <c r="R61" s="24"/>
      <c r="S61" s="23" t="e">
        <f t="shared" si="0"/>
        <v>#DIV/0!</v>
      </c>
      <c r="T61" s="23" t="e">
        <f t="shared" si="1"/>
        <v>#DIV/0!</v>
      </c>
      <c r="U61" s="22" t="e">
        <f t="shared" si="2"/>
        <v>#DIV/0!</v>
      </c>
      <c r="V61" s="51"/>
      <c r="W61" s="44"/>
      <c r="X61" s="44"/>
      <c r="Y61" s="44"/>
      <c r="Z61" s="44"/>
    </row>
    <row r="62" spans="1:26" ht="15.75" customHeight="1">
      <c r="A62" s="44"/>
      <c r="B62" s="14"/>
      <c r="C62" s="53"/>
      <c r="D62" s="15"/>
      <c r="E62" s="89"/>
      <c r="F62" s="16"/>
      <c r="G62" s="16"/>
      <c r="H62" s="90" t="str">
        <f>IF(G62="Regular",Listas!$K$16,IF(G62="Premium",Listas!$K$17,IF(G62="Diesel",Listas!$K$18,"-")))</f>
        <v>-</v>
      </c>
      <c r="I62" s="17"/>
      <c r="J62" s="18"/>
      <c r="K62" s="19" t="str">
        <f>+IFERROR(IF(G62="Regular",VLOOKUP(C62,'PRECIO TERMINAL PEMEX'!$B$4:$E$35,2,0),IF(G62="Premium",VLOOKUP(C62,'PRECIO TERMINAL PEMEX'!$B$4:$E$35,3,0),IF(G62="Diesel",VLOOKUP(C62,'PRECIO TERMINAL PEMEX'!$B$4:$E$35,4,0),"Seleccione Producto"))),"-")</f>
        <v>Seleccione Producto</v>
      </c>
      <c r="L62" s="93" t="str">
        <f>+IFERROR(IF(F62="VHSA",VLOOKUP(B62,Listas!$C$4:$F$17,2,0),IF(F62="DOS BOCAS",VLOOKUP(B62,Listas!$C$4:$F$17,3,0),IF(F62="GLENCORE",VLOOKUP(B62,Listas!$C$4:$F$17,4,0),"Seleccione TAR"))),"-")</f>
        <v>Seleccione TAR</v>
      </c>
      <c r="M62" s="19" t="str">
        <f>+IFERROR(IF(G62="Regular",VLOOKUP(C62,'DESCUENTO PROVEEDORES'!$B$4:$E$35,2,0),IF(G62="Premium",VLOOKUP(C62,'DESCUENTO PROVEEDORES'!$B$4:$E$35,3,0),IF(G62="Diesel",VLOOKUP(C62,'DESCUENTO PROVEEDORES'!$B$4:$E$35,4,0),"Seleccione Proveedor"))),"-")</f>
        <v>Seleccione Proveedor</v>
      </c>
      <c r="N62" s="20" t="e">
        <f>((((K62-H62)/1.16)-M62))</f>
        <v>#VALUE!</v>
      </c>
      <c r="O62" s="21" t="e">
        <f>((N62*16%)+N62)+H62+L62</f>
        <v>#VALUE!</v>
      </c>
      <c r="P62" s="21" t="e">
        <f>(((J62-O62)-H62)/1.16)+H62</f>
        <v>#VALUE!</v>
      </c>
      <c r="Q62" s="44"/>
      <c r="R62" s="24"/>
      <c r="S62" s="23" t="e">
        <f t="shared" si="0"/>
        <v>#DIV/0!</v>
      </c>
      <c r="T62" s="23" t="e">
        <f t="shared" si="1"/>
        <v>#DIV/0!</v>
      </c>
      <c r="U62" s="22" t="e">
        <f t="shared" si="2"/>
        <v>#DIV/0!</v>
      </c>
      <c r="V62" s="51"/>
      <c r="W62" s="44"/>
      <c r="X62" s="44"/>
      <c r="Y62" s="44"/>
      <c r="Z62" s="44"/>
    </row>
    <row r="63" spans="1:26" ht="15.75" customHeight="1">
      <c r="A63" s="44"/>
      <c r="B63" s="14"/>
      <c r="C63" s="53"/>
      <c r="D63" s="15"/>
      <c r="E63" s="89"/>
      <c r="F63" s="16"/>
      <c r="G63" s="16"/>
      <c r="H63" s="90" t="str">
        <f>IF(G63="Regular",Listas!$K$16,IF(G63="Premium",Listas!$K$17,IF(G63="Diesel",Listas!$K$18,"-")))</f>
        <v>-</v>
      </c>
      <c r="I63" s="17"/>
      <c r="J63" s="18"/>
      <c r="K63" s="19" t="str">
        <f>+IFERROR(IF(G63="Regular",VLOOKUP(C63,'PRECIO TERMINAL PEMEX'!$B$4:$E$35,2,0),IF(G63="Premium",VLOOKUP(C63,'PRECIO TERMINAL PEMEX'!$B$4:$E$35,3,0),IF(G63="Diesel",VLOOKUP(C63,'PRECIO TERMINAL PEMEX'!$B$4:$E$35,4,0),"Seleccione Producto"))),"-")</f>
        <v>Seleccione Producto</v>
      </c>
      <c r="L63" s="93" t="str">
        <f>+IFERROR(IF(F63="VHSA",VLOOKUP(B63,Listas!$C$4:$F$17,2,0),IF(F63="DOS BOCAS",VLOOKUP(B63,Listas!$C$4:$F$17,3,0),IF(F63="GLENCORE",VLOOKUP(B63,Listas!$C$4:$F$17,4,0),"Seleccione TAR"))),"-")</f>
        <v>Seleccione TAR</v>
      </c>
      <c r="M63" s="19" t="str">
        <f>+IFERROR(IF(G63="Regular",VLOOKUP(C63,'DESCUENTO PROVEEDORES'!$B$4:$E$35,2,0),IF(G63="Premium",VLOOKUP(C63,'DESCUENTO PROVEEDORES'!$B$4:$E$35,3,0),IF(G63="Diesel",VLOOKUP(C63,'DESCUENTO PROVEEDORES'!$B$4:$E$35,4,0),"Seleccione Proveedor"))),"-")</f>
        <v>Seleccione Proveedor</v>
      </c>
      <c r="N63" s="20" t="e">
        <f>((((K63-H63)/1.16)-M63))</f>
        <v>#VALUE!</v>
      </c>
      <c r="O63" s="21" t="e">
        <f>((N63*16%)+N63)+H63+L63</f>
        <v>#VALUE!</v>
      </c>
      <c r="P63" s="21" t="e">
        <f>(((J63-O63)-H63)/1.16)+H63</f>
        <v>#VALUE!</v>
      </c>
      <c r="Q63" s="44"/>
      <c r="R63" s="24"/>
      <c r="S63" s="23" t="e">
        <f t="shared" si="0"/>
        <v>#DIV/0!</v>
      </c>
      <c r="T63" s="23" t="e">
        <f t="shared" si="1"/>
        <v>#DIV/0!</v>
      </c>
      <c r="U63" s="22" t="e">
        <f t="shared" si="2"/>
        <v>#DIV/0!</v>
      </c>
      <c r="V63" s="51"/>
      <c r="W63" s="44"/>
      <c r="X63" s="44"/>
      <c r="Y63" s="44"/>
      <c r="Z63" s="44"/>
    </row>
    <row r="64" spans="1:26" ht="15.75" customHeight="1">
      <c r="A64" s="44"/>
      <c r="B64" s="14"/>
      <c r="C64" s="53"/>
      <c r="D64" s="15"/>
      <c r="E64" s="89"/>
      <c r="F64" s="16"/>
      <c r="G64" s="16"/>
      <c r="H64" s="90" t="str">
        <f>IF(G64="Regular",Listas!$K$16,IF(G64="Premium",Listas!$K$17,IF(G64="Diesel",Listas!$K$18,"-")))</f>
        <v>-</v>
      </c>
      <c r="I64" s="17"/>
      <c r="J64" s="18"/>
      <c r="K64" s="19" t="str">
        <f>+IFERROR(IF(G64="Regular",VLOOKUP(C64,'PRECIO TERMINAL PEMEX'!$B$4:$E$35,2,0),IF(G64="Premium",VLOOKUP(C64,'PRECIO TERMINAL PEMEX'!$B$4:$E$35,3,0),IF(G64="Diesel",VLOOKUP(C64,'PRECIO TERMINAL PEMEX'!$B$4:$E$35,4,0),"Seleccione Producto"))),"-")</f>
        <v>Seleccione Producto</v>
      </c>
      <c r="L64" s="93" t="str">
        <f>+IFERROR(IF(F64="VHSA",VLOOKUP(B64,Listas!$C$4:$F$17,2,0),IF(F64="DOS BOCAS",VLOOKUP(B64,Listas!$C$4:$F$17,3,0),IF(F64="GLENCORE",VLOOKUP(B64,Listas!$C$4:$F$17,4,0),"Seleccione TAR"))),"-")</f>
        <v>Seleccione TAR</v>
      </c>
      <c r="M64" s="19" t="str">
        <f>+IFERROR(IF(G64="Regular",VLOOKUP(C64,'DESCUENTO PROVEEDORES'!$B$4:$E$35,2,0),IF(G64="Premium",VLOOKUP(C64,'DESCUENTO PROVEEDORES'!$B$4:$E$35,3,0),IF(G64="Diesel",VLOOKUP(C64,'DESCUENTO PROVEEDORES'!$B$4:$E$35,4,0),"Seleccione Proveedor"))),"-")</f>
        <v>Seleccione Proveedor</v>
      </c>
      <c r="N64" s="20" t="e">
        <f>((((K64-H64)/1.16)-M64))</f>
        <v>#VALUE!</v>
      </c>
      <c r="O64" s="21" t="e">
        <f>((N64*16%)+N64)+H64+L64</f>
        <v>#VALUE!</v>
      </c>
      <c r="P64" s="21" t="e">
        <f>(((J64-O64)-H64)/1.16)+H64</f>
        <v>#VALUE!</v>
      </c>
      <c r="Q64" s="44"/>
      <c r="R64" s="24"/>
      <c r="S64" s="23" t="e">
        <f t="shared" si="0"/>
        <v>#DIV/0!</v>
      </c>
      <c r="T64" s="23" t="e">
        <f t="shared" si="1"/>
        <v>#DIV/0!</v>
      </c>
      <c r="U64" s="22" t="e">
        <f t="shared" si="2"/>
        <v>#DIV/0!</v>
      </c>
      <c r="V64" s="51"/>
      <c r="W64" s="44"/>
      <c r="X64" s="44"/>
      <c r="Y64" s="44"/>
      <c r="Z64" s="44"/>
    </row>
    <row r="65" spans="1:26" ht="15.75" customHeight="1">
      <c r="A65" s="44"/>
      <c r="B65" s="14"/>
      <c r="C65" s="53"/>
      <c r="D65" s="15"/>
      <c r="E65" s="89"/>
      <c r="F65" s="16"/>
      <c r="G65" s="16"/>
      <c r="H65" s="90" t="str">
        <f>IF(G65="Regular",Listas!$K$16,IF(G65="Premium",Listas!$K$17,IF(G65="Diesel",Listas!$K$18,"-")))</f>
        <v>-</v>
      </c>
      <c r="I65" s="17"/>
      <c r="J65" s="18"/>
      <c r="K65" s="19" t="str">
        <f>+IFERROR(IF(G65="Regular",VLOOKUP(C65,'PRECIO TERMINAL PEMEX'!$B$4:$E$35,2,0),IF(G65="Premium",VLOOKUP(C65,'PRECIO TERMINAL PEMEX'!$B$4:$E$35,3,0),IF(G65="Diesel",VLOOKUP(C65,'PRECIO TERMINAL PEMEX'!$B$4:$E$35,4,0),"Seleccione Producto"))),"-")</f>
        <v>Seleccione Producto</v>
      </c>
      <c r="L65" s="93" t="str">
        <f>+IFERROR(IF(F65="VHSA",VLOOKUP(B65,Listas!$C$4:$F$17,2,0),IF(F65="DOS BOCAS",VLOOKUP(B65,Listas!$C$4:$F$17,3,0),IF(F65="GLENCORE",VLOOKUP(B65,Listas!$C$4:$F$17,4,0),"Seleccione TAR"))),"-")</f>
        <v>Seleccione TAR</v>
      </c>
      <c r="M65" s="19" t="str">
        <f>+IFERROR(IF(G65="Regular",VLOOKUP(C65,'DESCUENTO PROVEEDORES'!$B$4:$E$35,2,0),IF(G65="Premium",VLOOKUP(C65,'DESCUENTO PROVEEDORES'!$B$4:$E$35,3,0),IF(G65="Diesel",VLOOKUP(C65,'DESCUENTO PROVEEDORES'!$B$4:$E$35,4,0),"Seleccione Proveedor"))),"-")</f>
        <v>Seleccione Proveedor</v>
      </c>
      <c r="N65" s="20" t="e">
        <f>((((K65-H65)/1.16)-M65))</f>
        <v>#VALUE!</v>
      </c>
      <c r="O65" s="21" t="e">
        <f>((N65*16%)+N65)+H65+L65</f>
        <v>#VALUE!</v>
      </c>
      <c r="P65" s="21" t="e">
        <f>(((J65-O65)-H65)/1.16)+H65</f>
        <v>#VALUE!</v>
      </c>
      <c r="Q65" s="44"/>
      <c r="R65" s="24"/>
      <c r="S65" s="23" t="e">
        <f t="shared" si="0"/>
        <v>#DIV/0!</v>
      </c>
      <c r="T65" s="23" t="e">
        <f t="shared" si="1"/>
        <v>#DIV/0!</v>
      </c>
      <c r="U65" s="22" t="e">
        <f t="shared" si="2"/>
        <v>#DIV/0!</v>
      </c>
      <c r="V65" s="51"/>
      <c r="W65" s="44"/>
      <c r="X65" s="44"/>
      <c r="Y65" s="44"/>
      <c r="Z65" s="44"/>
    </row>
    <row r="66" spans="1:26" ht="15.75" customHeight="1">
      <c r="A66" s="44"/>
      <c r="B66" s="14"/>
      <c r="C66" s="53"/>
      <c r="D66" s="15"/>
      <c r="E66" s="89"/>
      <c r="F66" s="16"/>
      <c r="G66" s="16"/>
      <c r="H66" s="90" t="str">
        <f>IF(G66="Regular",Listas!$K$16,IF(G66="Premium",Listas!$K$17,IF(G66="Diesel",Listas!$K$18,"-")))</f>
        <v>-</v>
      </c>
      <c r="I66" s="17"/>
      <c r="J66" s="18"/>
      <c r="K66" s="19" t="str">
        <f>+IFERROR(IF(G66="Regular",VLOOKUP(C66,'PRECIO TERMINAL PEMEX'!$B$4:$E$35,2,0),IF(G66="Premium",VLOOKUP(C66,'PRECIO TERMINAL PEMEX'!$B$4:$E$35,3,0),IF(G66="Diesel",VLOOKUP(C66,'PRECIO TERMINAL PEMEX'!$B$4:$E$35,4,0),"Seleccione Producto"))),"-")</f>
        <v>Seleccione Producto</v>
      </c>
      <c r="L66" s="93" t="str">
        <f>+IFERROR(IF(F66="VHSA",VLOOKUP(B66,Listas!$C$4:$F$17,2,0),IF(F66="DOS BOCAS",VLOOKUP(B66,Listas!$C$4:$F$17,3,0),IF(F66="GLENCORE",VLOOKUP(B66,Listas!$C$4:$F$17,4,0),"Seleccione TAR"))),"-")</f>
        <v>Seleccione TAR</v>
      </c>
      <c r="M66" s="19" t="str">
        <f>+IFERROR(IF(G66="Regular",VLOOKUP(C66,'DESCUENTO PROVEEDORES'!$B$4:$E$35,2,0),IF(G66="Premium",VLOOKUP(C66,'DESCUENTO PROVEEDORES'!$B$4:$E$35,3,0),IF(G66="Diesel",VLOOKUP(C66,'DESCUENTO PROVEEDORES'!$B$4:$E$35,4,0),"Seleccione Proveedor"))),"-")</f>
        <v>Seleccione Proveedor</v>
      </c>
      <c r="N66" s="20" t="e">
        <f>((((K66-H66)/1.16)-M66))</f>
        <v>#VALUE!</v>
      </c>
      <c r="O66" s="21" t="e">
        <f>((N66*16%)+N66)+H66+L66</f>
        <v>#VALUE!</v>
      </c>
      <c r="P66" s="21" t="e">
        <f>(((J66-O66)-H66)/1.16)+H66</f>
        <v>#VALUE!</v>
      </c>
      <c r="Q66" s="44"/>
      <c r="R66" s="24"/>
      <c r="S66" s="23" t="e">
        <f t="shared" si="0"/>
        <v>#DIV/0!</v>
      </c>
      <c r="T66" s="23" t="e">
        <f t="shared" si="1"/>
        <v>#DIV/0!</v>
      </c>
      <c r="U66" s="22" t="e">
        <f t="shared" si="2"/>
        <v>#DIV/0!</v>
      </c>
      <c r="V66" s="51"/>
      <c r="W66" s="44"/>
      <c r="X66" s="44"/>
      <c r="Y66" s="44"/>
      <c r="Z66" s="44"/>
    </row>
    <row r="67" spans="1:26" ht="15.75" customHeight="1">
      <c r="A67" s="44"/>
      <c r="B67" s="14"/>
      <c r="C67" s="53"/>
      <c r="D67" s="15"/>
      <c r="E67" s="89"/>
      <c r="F67" s="16"/>
      <c r="G67" s="16"/>
      <c r="H67" s="90" t="str">
        <f>IF(G67="Regular",Listas!$K$16,IF(G67="Premium",Listas!$K$17,IF(G67="Diesel",Listas!$K$18,"-")))</f>
        <v>-</v>
      </c>
      <c r="I67" s="17"/>
      <c r="J67" s="18"/>
      <c r="K67" s="19" t="str">
        <f>+IFERROR(IF(G67="Regular",VLOOKUP(C67,'PRECIO TERMINAL PEMEX'!$B$4:$E$35,2,0),IF(G67="Premium",VLOOKUP(C67,'PRECIO TERMINAL PEMEX'!$B$4:$E$35,3,0),IF(G67="Diesel",VLOOKUP(C67,'PRECIO TERMINAL PEMEX'!$B$4:$E$35,4,0),"Seleccione Producto"))),"-")</f>
        <v>Seleccione Producto</v>
      </c>
      <c r="L67" s="93" t="str">
        <f>+IFERROR(IF(F67="VHSA",VLOOKUP(B67,Listas!$C$4:$F$17,2,0),IF(F67="DOS BOCAS",VLOOKUP(B67,Listas!$C$4:$F$17,3,0),IF(F67="GLENCORE",VLOOKUP(B67,Listas!$C$4:$F$17,4,0),"Seleccione TAR"))),"-")</f>
        <v>Seleccione TAR</v>
      </c>
      <c r="M67" s="19" t="str">
        <f>+IFERROR(IF(G67="Regular",VLOOKUP(C67,'DESCUENTO PROVEEDORES'!$B$4:$E$35,2,0),IF(G67="Premium",VLOOKUP(C67,'DESCUENTO PROVEEDORES'!$B$4:$E$35,3,0),IF(G67="Diesel",VLOOKUP(C67,'DESCUENTO PROVEEDORES'!$B$4:$E$35,4,0),"Seleccione Proveedor"))),"-")</f>
        <v>Seleccione Proveedor</v>
      </c>
      <c r="N67" s="20" t="e">
        <f>((((K67-H67)/1.16)-M67))</f>
        <v>#VALUE!</v>
      </c>
      <c r="O67" s="21" t="e">
        <f>((N67*16%)+N67)+H67+L67</f>
        <v>#VALUE!</v>
      </c>
      <c r="P67" s="21" t="e">
        <f>(((J67-O67)-H67)/1.16)+H67</f>
        <v>#VALUE!</v>
      </c>
      <c r="Q67" s="44"/>
      <c r="R67" s="24"/>
      <c r="S67" s="23" t="e">
        <f t="shared" si="0"/>
        <v>#DIV/0!</v>
      </c>
      <c r="T67" s="23" t="e">
        <f t="shared" si="1"/>
        <v>#DIV/0!</v>
      </c>
      <c r="U67" s="22" t="e">
        <f t="shared" si="2"/>
        <v>#DIV/0!</v>
      </c>
      <c r="V67" s="51"/>
      <c r="W67" s="44"/>
      <c r="X67" s="44"/>
      <c r="Y67" s="44"/>
      <c r="Z67" s="44"/>
    </row>
    <row r="68" spans="1:26" ht="15.75" customHeight="1">
      <c r="A68" s="44"/>
      <c r="B68" s="14"/>
      <c r="C68" s="53"/>
      <c r="D68" s="15"/>
      <c r="E68" s="89"/>
      <c r="F68" s="16"/>
      <c r="G68" s="16"/>
      <c r="H68" s="90" t="str">
        <f>IF(G68="Regular",Listas!$K$16,IF(G68="Premium",Listas!$K$17,IF(G68="Diesel",Listas!$K$18,"-")))</f>
        <v>-</v>
      </c>
      <c r="I68" s="17"/>
      <c r="J68" s="18"/>
      <c r="K68" s="19" t="str">
        <f>+IFERROR(IF(G68="Regular",VLOOKUP(C68,'PRECIO TERMINAL PEMEX'!$B$4:$E$35,2,0),IF(G68="Premium",VLOOKUP(C68,'PRECIO TERMINAL PEMEX'!$B$4:$E$35,3,0),IF(G68="Diesel",VLOOKUP(C68,'PRECIO TERMINAL PEMEX'!$B$4:$E$35,4,0),"Seleccione Producto"))),"-")</f>
        <v>Seleccione Producto</v>
      </c>
      <c r="L68" s="93" t="str">
        <f>+IFERROR(IF(F68="VHSA",VLOOKUP(B68,Listas!$C$4:$F$17,2,0),IF(F68="DOS BOCAS",VLOOKUP(B68,Listas!$C$4:$F$17,3,0),IF(F68="GLENCORE",VLOOKUP(B68,Listas!$C$4:$F$17,4,0),"Seleccione TAR"))),"-")</f>
        <v>Seleccione TAR</v>
      </c>
      <c r="M68" s="19" t="str">
        <f>+IFERROR(IF(G68="Regular",VLOOKUP(C68,'DESCUENTO PROVEEDORES'!$B$4:$E$35,2,0),IF(G68="Premium",VLOOKUP(C68,'DESCUENTO PROVEEDORES'!$B$4:$E$35,3,0),IF(G68="Diesel",VLOOKUP(C68,'DESCUENTO PROVEEDORES'!$B$4:$E$35,4,0),"Seleccione Proveedor"))),"-")</f>
        <v>Seleccione Proveedor</v>
      </c>
      <c r="N68" s="20" t="e">
        <f>((((K68-H68)/1.16)-M68))</f>
        <v>#VALUE!</v>
      </c>
      <c r="O68" s="21" t="e">
        <f>((N68*16%)+N68)+H68+L68</f>
        <v>#VALUE!</v>
      </c>
      <c r="P68" s="21" t="e">
        <f>(((J68-O68)-H68)/1.16)+H68</f>
        <v>#VALUE!</v>
      </c>
      <c r="Q68" s="44"/>
      <c r="R68" s="24"/>
      <c r="S68" s="23" t="e">
        <f t="shared" si="0"/>
        <v>#DIV/0!</v>
      </c>
      <c r="T68" s="23" t="e">
        <f t="shared" si="1"/>
        <v>#DIV/0!</v>
      </c>
      <c r="U68" s="22" t="e">
        <f t="shared" si="2"/>
        <v>#DIV/0!</v>
      </c>
      <c r="V68" s="51"/>
      <c r="W68" s="44"/>
      <c r="X68" s="44"/>
      <c r="Y68" s="44"/>
      <c r="Z68" s="44"/>
    </row>
    <row r="69" spans="1:26" ht="15.75" customHeight="1">
      <c r="A69" s="44"/>
      <c r="B69" s="14"/>
      <c r="C69" s="53"/>
      <c r="D69" s="15"/>
      <c r="E69" s="89"/>
      <c r="F69" s="16"/>
      <c r="G69" s="16"/>
      <c r="H69" s="90" t="str">
        <f>IF(G69="Regular",Listas!$K$16,IF(G69="Premium",Listas!$K$17,IF(G69="Diesel",Listas!$K$18,"-")))</f>
        <v>-</v>
      </c>
      <c r="I69" s="17"/>
      <c r="J69" s="18"/>
      <c r="K69" s="19" t="str">
        <f>+IFERROR(IF(G69="Regular",VLOOKUP(C69,'PRECIO TERMINAL PEMEX'!$B$4:$E$35,2,0),IF(G69="Premium",VLOOKUP(C69,'PRECIO TERMINAL PEMEX'!$B$4:$E$35,3,0),IF(G69="Diesel",VLOOKUP(C69,'PRECIO TERMINAL PEMEX'!$B$4:$E$35,4,0),"Seleccione Producto"))),"-")</f>
        <v>Seleccione Producto</v>
      </c>
      <c r="L69" s="93" t="str">
        <f>+IFERROR(IF(F69="VHSA",VLOOKUP(B69,Listas!$C$4:$F$17,2,0),IF(F69="DOS BOCAS",VLOOKUP(B69,Listas!$C$4:$F$17,3,0),IF(F69="GLENCORE",VLOOKUP(B69,Listas!$C$4:$F$17,4,0),"Seleccione TAR"))),"-")</f>
        <v>Seleccione TAR</v>
      </c>
      <c r="M69" s="19" t="str">
        <f>+IFERROR(IF(G69="Regular",VLOOKUP(C69,'DESCUENTO PROVEEDORES'!$B$4:$E$35,2,0),IF(G69="Premium",VLOOKUP(C69,'DESCUENTO PROVEEDORES'!$B$4:$E$35,3,0),IF(G69="Diesel",VLOOKUP(C69,'DESCUENTO PROVEEDORES'!$B$4:$E$35,4,0),"Seleccione Proveedor"))),"-")</f>
        <v>Seleccione Proveedor</v>
      </c>
      <c r="N69" s="20" t="e">
        <f>((((K69-H69)/1.16)-M69))</f>
        <v>#VALUE!</v>
      </c>
      <c r="O69" s="21" t="e">
        <f>((N69*16%)+N69)+H69+L69</f>
        <v>#VALUE!</v>
      </c>
      <c r="P69" s="21" t="e">
        <f>(((J69-O69)-H69)/1.16)+H69</f>
        <v>#VALUE!</v>
      </c>
      <c r="Q69" s="44"/>
      <c r="R69" s="24"/>
      <c r="S69" s="23" t="e">
        <f t="shared" ref="S69:S132" si="3">R69/I69</f>
        <v>#DIV/0!</v>
      </c>
      <c r="T69" s="23" t="e">
        <f t="shared" ref="T69:T132" si="4">(J69-S69)/1.16</f>
        <v>#DIV/0!</v>
      </c>
      <c r="U69" s="22" t="e">
        <f t="shared" ref="U69:U132" si="5">+T69-P69</f>
        <v>#DIV/0!</v>
      </c>
      <c r="V69" s="51"/>
      <c r="W69" s="44"/>
      <c r="X69" s="44"/>
      <c r="Y69" s="44"/>
      <c r="Z69" s="44"/>
    </row>
    <row r="70" spans="1:26" ht="15.75" customHeight="1">
      <c r="A70" s="44"/>
      <c r="B70" s="14"/>
      <c r="C70" s="53"/>
      <c r="D70" s="15"/>
      <c r="E70" s="89"/>
      <c r="F70" s="16"/>
      <c r="G70" s="16"/>
      <c r="H70" s="90" t="str">
        <f>IF(G70="Regular",Listas!$K$16,IF(G70="Premium",Listas!$K$17,IF(G70="Diesel",Listas!$K$18,"-")))</f>
        <v>-</v>
      </c>
      <c r="I70" s="17"/>
      <c r="J70" s="18"/>
      <c r="K70" s="19" t="str">
        <f>+IFERROR(IF(G70="Regular",VLOOKUP(C70,'PRECIO TERMINAL PEMEX'!$B$4:$E$35,2,0),IF(G70="Premium",VLOOKUP(C70,'PRECIO TERMINAL PEMEX'!$B$4:$E$35,3,0),IF(G70="Diesel",VLOOKUP(C70,'PRECIO TERMINAL PEMEX'!$B$4:$E$35,4,0),"Seleccione Producto"))),"-")</f>
        <v>Seleccione Producto</v>
      </c>
      <c r="L70" s="93" t="str">
        <f>+IFERROR(IF(F70="VHSA",VLOOKUP(B70,Listas!$C$4:$F$17,2,0),IF(F70="DOS BOCAS",VLOOKUP(B70,Listas!$C$4:$F$17,3,0),IF(F70="GLENCORE",VLOOKUP(B70,Listas!$C$4:$F$17,4,0),"Seleccione TAR"))),"-")</f>
        <v>Seleccione TAR</v>
      </c>
      <c r="M70" s="19" t="str">
        <f>+IFERROR(IF(G70="Regular",VLOOKUP(C70,'DESCUENTO PROVEEDORES'!$B$4:$E$35,2,0),IF(G70="Premium",VLOOKUP(C70,'DESCUENTO PROVEEDORES'!$B$4:$E$35,3,0),IF(G70="Diesel",VLOOKUP(C70,'DESCUENTO PROVEEDORES'!$B$4:$E$35,4,0),"Seleccione Proveedor"))),"-")</f>
        <v>Seleccione Proveedor</v>
      </c>
      <c r="N70" s="20" t="e">
        <f>((((K70-H70)/1.16)-M70))</f>
        <v>#VALUE!</v>
      </c>
      <c r="O70" s="21" t="e">
        <f>((N70*16%)+N70)+H70+L70</f>
        <v>#VALUE!</v>
      </c>
      <c r="P70" s="21" t="e">
        <f>(((J70-O70)-H70)/1.16)+H70</f>
        <v>#VALUE!</v>
      </c>
      <c r="Q70" s="44"/>
      <c r="R70" s="24"/>
      <c r="S70" s="23" t="e">
        <f t="shared" si="3"/>
        <v>#DIV/0!</v>
      </c>
      <c r="T70" s="23" t="e">
        <f t="shared" si="4"/>
        <v>#DIV/0!</v>
      </c>
      <c r="U70" s="22" t="e">
        <f t="shared" si="5"/>
        <v>#DIV/0!</v>
      </c>
      <c r="V70" s="51"/>
      <c r="W70" s="44"/>
      <c r="X70" s="44"/>
      <c r="Y70" s="44"/>
      <c r="Z70" s="44"/>
    </row>
    <row r="71" spans="1:26" ht="15.75" customHeight="1">
      <c r="A71" s="44"/>
      <c r="B71" s="14"/>
      <c r="C71" s="53"/>
      <c r="D71" s="15"/>
      <c r="E71" s="89"/>
      <c r="F71" s="16"/>
      <c r="G71" s="16"/>
      <c r="H71" s="90" t="str">
        <f>IF(G71="Regular",Listas!$K$16,IF(G71="Premium",Listas!$K$17,IF(G71="Diesel",Listas!$K$18,"-")))</f>
        <v>-</v>
      </c>
      <c r="I71" s="17"/>
      <c r="J71" s="18"/>
      <c r="K71" s="19" t="str">
        <f>+IFERROR(IF(G71="Regular",VLOOKUP(C71,'PRECIO TERMINAL PEMEX'!$B$4:$E$35,2,0),IF(G71="Premium",VLOOKUP(C71,'PRECIO TERMINAL PEMEX'!$B$4:$E$35,3,0),IF(G71="Diesel",VLOOKUP(C71,'PRECIO TERMINAL PEMEX'!$B$4:$E$35,4,0),"Seleccione Producto"))),"-")</f>
        <v>Seleccione Producto</v>
      </c>
      <c r="L71" s="93" t="str">
        <f>+IFERROR(IF(F71="VHSA",VLOOKUP(B71,Listas!$C$4:$F$17,2,0),IF(F71="DOS BOCAS",VLOOKUP(B71,Listas!$C$4:$F$17,3,0),IF(F71="GLENCORE",VLOOKUP(B71,Listas!$C$4:$F$17,4,0),"Seleccione TAR"))),"-")</f>
        <v>Seleccione TAR</v>
      </c>
      <c r="M71" s="19" t="str">
        <f>+IFERROR(IF(G71="Regular",VLOOKUP(C71,'DESCUENTO PROVEEDORES'!$B$4:$E$35,2,0),IF(G71="Premium",VLOOKUP(C71,'DESCUENTO PROVEEDORES'!$B$4:$E$35,3,0),IF(G71="Diesel",VLOOKUP(C71,'DESCUENTO PROVEEDORES'!$B$4:$E$35,4,0),"Seleccione Proveedor"))),"-")</f>
        <v>Seleccione Proveedor</v>
      </c>
      <c r="N71" s="20" t="e">
        <f>((((K71-H71)/1.16)-M71))</f>
        <v>#VALUE!</v>
      </c>
      <c r="O71" s="21" t="e">
        <f>((N71*16%)+N71)+H71+L71</f>
        <v>#VALUE!</v>
      </c>
      <c r="P71" s="21" t="e">
        <f>(((J71-O71)-H71)/1.16)+H71</f>
        <v>#VALUE!</v>
      </c>
      <c r="Q71" s="44"/>
      <c r="R71" s="24"/>
      <c r="S71" s="23" t="e">
        <f t="shared" si="3"/>
        <v>#DIV/0!</v>
      </c>
      <c r="T71" s="23" t="e">
        <f t="shared" si="4"/>
        <v>#DIV/0!</v>
      </c>
      <c r="U71" s="22" t="e">
        <f t="shared" si="5"/>
        <v>#DIV/0!</v>
      </c>
      <c r="V71" s="51"/>
      <c r="W71" s="44"/>
      <c r="X71" s="44"/>
      <c r="Y71" s="44"/>
      <c r="Z71" s="44"/>
    </row>
    <row r="72" spans="1:26" ht="15.75" customHeight="1">
      <c r="A72" s="44"/>
      <c r="B72" s="14"/>
      <c r="C72" s="53"/>
      <c r="D72" s="15"/>
      <c r="E72" s="89"/>
      <c r="F72" s="16"/>
      <c r="G72" s="16"/>
      <c r="H72" s="90" t="str">
        <f>IF(G72="Regular",Listas!$K$16,IF(G72="Premium",Listas!$K$17,IF(G72="Diesel",Listas!$K$18,"-")))</f>
        <v>-</v>
      </c>
      <c r="I72" s="17"/>
      <c r="J72" s="18"/>
      <c r="K72" s="19" t="str">
        <f>+IFERROR(IF(G72="Regular",VLOOKUP(C72,'PRECIO TERMINAL PEMEX'!$B$4:$E$35,2,0),IF(G72="Premium",VLOOKUP(C72,'PRECIO TERMINAL PEMEX'!$B$4:$E$35,3,0),IF(G72="Diesel",VLOOKUP(C72,'PRECIO TERMINAL PEMEX'!$B$4:$E$35,4,0),"Seleccione Producto"))),"-")</f>
        <v>Seleccione Producto</v>
      </c>
      <c r="L72" s="93" t="str">
        <f>+IFERROR(IF(F72="VHSA",VLOOKUP(B72,Listas!$C$4:$F$17,2,0),IF(F72="DOS BOCAS",VLOOKUP(B72,Listas!$C$4:$F$17,3,0),IF(F72="GLENCORE",VLOOKUP(B72,Listas!$C$4:$F$17,4,0),"Seleccione TAR"))),"-")</f>
        <v>Seleccione TAR</v>
      </c>
      <c r="M72" s="19" t="str">
        <f>+IFERROR(IF(G72="Regular",VLOOKUP(C72,'DESCUENTO PROVEEDORES'!$B$4:$E$35,2,0),IF(G72="Premium",VLOOKUP(C72,'DESCUENTO PROVEEDORES'!$B$4:$E$35,3,0),IF(G72="Diesel",VLOOKUP(C72,'DESCUENTO PROVEEDORES'!$B$4:$E$35,4,0),"Seleccione Proveedor"))),"-")</f>
        <v>Seleccione Proveedor</v>
      </c>
      <c r="N72" s="20" t="e">
        <f>((((K72-H72)/1.16)-M72))</f>
        <v>#VALUE!</v>
      </c>
      <c r="O72" s="21" t="e">
        <f>((N72*16%)+N72)+H72+L72</f>
        <v>#VALUE!</v>
      </c>
      <c r="P72" s="21" t="e">
        <f>(((J72-O72)-H72)/1.16)+H72</f>
        <v>#VALUE!</v>
      </c>
      <c r="Q72" s="44"/>
      <c r="R72" s="24"/>
      <c r="S72" s="23" t="e">
        <f t="shared" si="3"/>
        <v>#DIV/0!</v>
      </c>
      <c r="T72" s="23" t="e">
        <f t="shared" si="4"/>
        <v>#DIV/0!</v>
      </c>
      <c r="U72" s="22" t="e">
        <f t="shared" si="5"/>
        <v>#DIV/0!</v>
      </c>
      <c r="V72" s="51"/>
      <c r="W72" s="44"/>
      <c r="X72" s="44"/>
      <c r="Y72" s="44"/>
      <c r="Z72" s="44"/>
    </row>
    <row r="73" spans="1:26" ht="15.75" customHeight="1">
      <c r="A73" s="44"/>
      <c r="B73" s="14"/>
      <c r="C73" s="53"/>
      <c r="D73" s="15"/>
      <c r="E73" s="89"/>
      <c r="F73" s="16"/>
      <c r="G73" s="16"/>
      <c r="H73" s="90" t="str">
        <f>IF(G73="Regular",Listas!$K$16,IF(G73="Premium",Listas!$K$17,IF(G73="Diesel",Listas!$K$18,"-")))</f>
        <v>-</v>
      </c>
      <c r="I73" s="17"/>
      <c r="J73" s="18"/>
      <c r="K73" s="19" t="str">
        <f>+IFERROR(IF(G73="Regular",VLOOKUP(C73,'PRECIO TERMINAL PEMEX'!$B$4:$E$35,2,0),IF(G73="Premium",VLOOKUP(C73,'PRECIO TERMINAL PEMEX'!$B$4:$E$35,3,0),IF(G73="Diesel",VLOOKUP(C73,'PRECIO TERMINAL PEMEX'!$B$4:$E$35,4,0),"Seleccione Producto"))),"-")</f>
        <v>Seleccione Producto</v>
      </c>
      <c r="L73" s="93" t="str">
        <f>+IFERROR(IF(F73="VHSA",VLOOKUP(B73,Listas!$C$4:$F$17,2,0),IF(F73="DOS BOCAS",VLOOKUP(B73,Listas!$C$4:$F$17,3,0),IF(F73="GLENCORE",VLOOKUP(B73,Listas!$C$4:$F$17,4,0),"Seleccione TAR"))),"-")</f>
        <v>Seleccione TAR</v>
      </c>
      <c r="M73" s="19" t="str">
        <f>+IFERROR(IF(G73="Regular",VLOOKUP(C73,'DESCUENTO PROVEEDORES'!$B$4:$E$35,2,0),IF(G73="Premium",VLOOKUP(C73,'DESCUENTO PROVEEDORES'!$B$4:$E$35,3,0),IF(G73="Diesel",VLOOKUP(C73,'DESCUENTO PROVEEDORES'!$B$4:$E$35,4,0),"Seleccione Proveedor"))),"-")</f>
        <v>Seleccione Proveedor</v>
      </c>
      <c r="N73" s="20" t="e">
        <f>((((K73-H73)/1.16)-M73))</f>
        <v>#VALUE!</v>
      </c>
      <c r="O73" s="21" t="e">
        <f>((N73*16%)+N73)+H73+L73</f>
        <v>#VALUE!</v>
      </c>
      <c r="P73" s="21" t="e">
        <f>(((J73-O73)-H73)/1.16)+H73</f>
        <v>#VALUE!</v>
      </c>
      <c r="Q73" s="44"/>
      <c r="R73" s="24"/>
      <c r="S73" s="23" t="e">
        <f t="shared" si="3"/>
        <v>#DIV/0!</v>
      </c>
      <c r="T73" s="23" t="e">
        <f t="shared" si="4"/>
        <v>#DIV/0!</v>
      </c>
      <c r="U73" s="22" t="e">
        <f t="shared" si="5"/>
        <v>#DIV/0!</v>
      </c>
      <c r="V73" s="51"/>
      <c r="W73" s="44"/>
      <c r="X73" s="44"/>
      <c r="Y73" s="44"/>
      <c r="Z73" s="44"/>
    </row>
    <row r="74" spans="1:26" ht="15.75" customHeight="1">
      <c r="A74" s="44"/>
      <c r="B74" s="14"/>
      <c r="C74" s="53"/>
      <c r="D74" s="15"/>
      <c r="E74" s="89"/>
      <c r="F74" s="16"/>
      <c r="G74" s="16"/>
      <c r="H74" s="90" t="str">
        <f>IF(G74="Regular",Listas!$K$16,IF(G74="Premium",Listas!$K$17,IF(G74="Diesel",Listas!$K$18,"-")))</f>
        <v>-</v>
      </c>
      <c r="I74" s="17"/>
      <c r="J74" s="18"/>
      <c r="K74" s="19" t="str">
        <f>+IFERROR(IF(G74="Regular",VLOOKUP(C74,'PRECIO TERMINAL PEMEX'!$B$4:$E$35,2,0),IF(G74="Premium",VLOOKUP(C74,'PRECIO TERMINAL PEMEX'!$B$4:$E$35,3,0),IF(G74="Diesel",VLOOKUP(C74,'PRECIO TERMINAL PEMEX'!$B$4:$E$35,4,0),"Seleccione Producto"))),"-")</f>
        <v>Seleccione Producto</v>
      </c>
      <c r="L74" s="93" t="str">
        <f>+IFERROR(IF(F74="VHSA",VLOOKUP(B74,Listas!$C$4:$F$17,2,0),IF(F74="DOS BOCAS",VLOOKUP(B74,Listas!$C$4:$F$17,3,0),IF(F74="GLENCORE",VLOOKUP(B74,Listas!$C$4:$F$17,4,0),"Seleccione TAR"))),"-")</f>
        <v>Seleccione TAR</v>
      </c>
      <c r="M74" s="19" t="str">
        <f>+IFERROR(IF(G74="Regular",VLOOKUP(C74,'DESCUENTO PROVEEDORES'!$B$4:$E$35,2,0),IF(G74="Premium",VLOOKUP(C74,'DESCUENTO PROVEEDORES'!$B$4:$E$35,3,0),IF(G74="Diesel",VLOOKUP(C74,'DESCUENTO PROVEEDORES'!$B$4:$E$35,4,0),"Seleccione Proveedor"))),"-")</f>
        <v>Seleccione Proveedor</v>
      </c>
      <c r="N74" s="20" t="e">
        <f>((((K74-H74)/1.16)-M74))</f>
        <v>#VALUE!</v>
      </c>
      <c r="O74" s="21" t="e">
        <f>((N74*16%)+N74)+H74+L74</f>
        <v>#VALUE!</v>
      </c>
      <c r="P74" s="21" t="e">
        <f>(((J74-O74)-H74)/1.16)+H74</f>
        <v>#VALUE!</v>
      </c>
      <c r="Q74" s="44"/>
      <c r="R74" s="24"/>
      <c r="S74" s="23" t="e">
        <f t="shared" si="3"/>
        <v>#DIV/0!</v>
      </c>
      <c r="T74" s="23" t="e">
        <f t="shared" si="4"/>
        <v>#DIV/0!</v>
      </c>
      <c r="U74" s="22" t="e">
        <f t="shared" si="5"/>
        <v>#DIV/0!</v>
      </c>
      <c r="V74" s="51"/>
      <c r="W74" s="44"/>
      <c r="X74" s="44"/>
      <c r="Y74" s="44"/>
      <c r="Z74" s="44"/>
    </row>
    <row r="75" spans="1:26" ht="15.75" customHeight="1">
      <c r="A75" s="44"/>
      <c r="B75" s="14"/>
      <c r="C75" s="53"/>
      <c r="D75" s="15"/>
      <c r="E75" s="89"/>
      <c r="F75" s="16"/>
      <c r="G75" s="16"/>
      <c r="H75" s="90" t="str">
        <f>IF(G75="Regular",Listas!$K$16,IF(G75="Premium",Listas!$K$17,IF(G75="Diesel",Listas!$K$18,"-")))</f>
        <v>-</v>
      </c>
      <c r="I75" s="17"/>
      <c r="J75" s="18"/>
      <c r="K75" s="19" t="str">
        <f>+IFERROR(IF(G75="Regular",VLOOKUP(C75,'PRECIO TERMINAL PEMEX'!$B$4:$E$35,2,0),IF(G75="Premium",VLOOKUP(C75,'PRECIO TERMINAL PEMEX'!$B$4:$E$35,3,0),IF(G75="Diesel",VLOOKUP(C75,'PRECIO TERMINAL PEMEX'!$B$4:$E$35,4,0),"Seleccione Producto"))),"-")</f>
        <v>Seleccione Producto</v>
      </c>
      <c r="L75" s="93" t="str">
        <f>+IFERROR(IF(F75="VHSA",VLOOKUP(B75,Listas!$C$4:$F$17,2,0),IF(F75="DOS BOCAS",VLOOKUP(B75,Listas!$C$4:$F$17,3,0),IF(F75="GLENCORE",VLOOKUP(B75,Listas!$C$4:$F$17,4,0),"Seleccione TAR"))),"-")</f>
        <v>Seleccione TAR</v>
      </c>
      <c r="M75" s="19" t="str">
        <f>+IFERROR(IF(G75="Regular",VLOOKUP(C75,'DESCUENTO PROVEEDORES'!$B$4:$E$35,2,0),IF(G75="Premium",VLOOKUP(C75,'DESCUENTO PROVEEDORES'!$B$4:$E$35,3,0),IF(G75="Diesel",VLOOKUP(C75,'DESCUENTO PROVEEDORES'!$B$4:$E$35,4,0),"Seleccione Proveedor"))),"-")</f>
        <v>Seleccione Proveedor</v>
      </c>
      <c r="N75" s="20" t="e">
        <f>((((K75-H75)/1.16)-M75))</f>
        <v>#VALUE!</v>
      </c>
      <c r="O75" s="21" t="e">
        <f>((N75*16%)+N75)+H75+L75</f>
        <v>#VALUE!</v>
      </c>
      <c r="P75" s="21" t="e">
        <f>(((J75-O75)-H75)/1.16)+H75</f>
        <v>#VALUE!</v>
      </c>
      <c r="Q75" s="44"/>
      <c r="R75" s="24"/>
      <c r="S75" s="23" t="e">
        <f t="shared" si="3"/>
        <v>#DIV/0!</v>
      </c>
      <c r="T75" s="23" t="e">
        <f t="shared" si="4"/>
        <v>#DIV/0!</v>
      </c>
      <c r="U75" s="22" t="e">
        <f t="shared" si="5"/>
        <v>#DIV/0!</v>
      </c>
      <c r="V75" s="51"/>
      <c r="W75" s="44"/>
      <c r="X75" s="44"/>
      <c r="Y75" s="44"/>
      <c r="Z75" s="44"/>
    </row>
    <row r="76" spans="1:26" ht="15.75" customHeight="1">
      <c r="A76" s="44"/>
      <c r="B76" s="14"/>
      <c r="C76" s="53"/>
      <c r="D76" s="15"/>
      <c r="E76" s="89"/>
      <c r="F76" s="16"/>
      <c r="G76" s="16"/>
      <c r="H76" s="90" t="str">
        <f>IF(G76="Regular",Listas!$K$16,IF(G76="Premium",Listas!$K$17,IF(G76="Diesel",Listas!$K$18,"-")))</f>
        <v>-</v>
      </c>
      <c r="I76" s="17"/>
      <c r="J76" s="18"/>
      <c r="K76" s="19" t="str">
        <f>+IFERROR(IF(G76="Regular",VLOOKUP(C76,'PRECIO TERMINAL PEMEX'!$B$4:$E$35,2,0),IF(G76="Premium",VLOOKUP(C76,'PRECIO TERMINAL PEMEX'!$B$4:$E$35,3,0),IF(G76="Diesel",VLOOKUP(C76,'PRECIO TERMINAL PEMEX'!$B$4:$E$35,4,0),"Seleccione Producto"))),"-")</f>
        <v>Seleccione Producto</v>
      </c>
      <c r="L76" s="93" t="str">
        <f>+IFERROR(IF(F76="VHSA",VLOOKUP(B76,Listas!$C$4:$F$17,2,0),IF(F76="DOS BOCAS",VLOOKUP(B76,Listas!$C$4:$F$17,3,0),IF(F76="GLENCORE",VLOOKUP(B76,Listas!$C$4:$F$17,4,0),"Seleccione TAR"))),"-")</f>
        <v>Seleccione TAR</v>
      </c>
      <c r="M76" s="19" t="str">
        <f>+IFERROR(IF(G76="Regular",VLOOKUP(C76,'DESCUENTO PROVEEDORES'!$B$4:$E$35,2,0),IF(G76="Premium",VLOOKUP(C76,'DESCUENTO PROVEEDORES'!$B$4:$E$35,3,0),IF(G76="Diesel",VLOOKUP(C76,'DESCUENTO PROVEEDORES'!$B$4:$E$35,4,0),"Seleccione Proveedor"))),"-")</f>
        <v>Seleccione Proveedor</v>
      </c>
      <c r="N76" s="20" t="e">
        <f>((((K76-H76)/1.16)-M76))</f>
        <v>#VALUE!</v>
      </c>
      <c r="O76" s="21" t="e">
        <f>((N76*16%)+N76)+H76+L76</f>
        <v>#VALUE!</v>
      </c>
      <c r="P76" s="21" t="e">
        <f>(((J76-O76)-H76)/1.16)+H76</f>
        <v>#VALUE!</v>
      </c>
      <c r="Q76" s="44"/>
      <c r="R76" s="24"/>
      <c r="S76" s="23" t="e">
        <f t="shared" si="3"/>
        <v>#DIV/0!</v>
      </c>
      <c r="T76" s="23" t="e">
        <f t="shared" si="4"/>
        <v>#DIV/0!</v>
      </c>
      <c r="U76" s="22" t="e">
        <f t="shared" si="5"/>
        <v>#DIV/0!</v>
      </c>
      <c r="V76" s="51"/>
      <c r="W76" s="44"/>
      <c r="X76" s="44"/>
      <c r="Y76" s="44"/>
      <c r="Z76" s="44"/>
    </row>
    <row r="77" spans="1:26" ht="15.75" customHeight="1">
      <c r="A77" s="44"/>
      <c r="B77" s="14"/>
      <c r="C77" s="53"/>
      <c r="D77" s="15"/>
      <c r="E77" s="89"/>
      <c r="F77" s="16"/>
      <c r="G77" s="16"/>
      <c r="H77" s="90" t="str">
        <f>IF(G77="Regular",Listas!$K$16,IF(G77="Premium",Listas!$K$17,IF(G77="Diesel",Listas!$K$18,"-")))</f>
        <v>-</v>
      </c>
      <c r="I77" s="17"/>
      <c r="J77" s="18"/>
      <c r="K77" s="19" t="str">
        <f>+IFERROR(IF(G77="Regular",VLOOKUP(C77,'PRECIO TERMINAL PEMEX'!$B$4:$E$35,2,0),IF(G77="Premium",VLOOKUP(C77,'PRECIO TERMINAL PEMEX'!$B$4:$E$35,3,0),IF(G77="Diesel",VLOOKUP(C77,'PRECIO TERMINAL PEMEX'!$B$4:$E$35,4,0),"Seleccione Producto"))),"-")</f>
        <v>Seleccione Producto</v>
      </c>
      <c r="L77" s="93" t="str">
        <f>+IFERROR(IF(F77="VHSA",VLOOKUP(B77,Listas!$C$4:$F$17,2,0),IF(F77="DOS BOCAS",VLOOKUP(B77,Listas!$C$4:$F$17,3,0),IF(F77="GLENCORE",VLOOKUP(B77,Listas!$C$4:$F$17,4,0),"Seleccione TAR"))),"-")</f>
        <v>Seleccione TAR</v>
      </c>
      <c r="M77" s="19" t="str">
        <f>+IFERROR(IF(G77="Regular",VLOOKUP(C77,'DESCUENTO PROVEEDORES'!$B$4:$E$35,2,0),IF(G77="Premium",VLOOKUP(C77,'DESCUENTO PROVEEDORES'!$B$4:$E$35,3,0),IF(G77="Diesel",VLOOKUP(C77,'DESCUENTO PROVEEDORES'!$B$4:$E$35,4,0),"Seleccione Proveedor"))),"-")</f>
        <v>Seleccione Proveedor</v>
      </c>
      <c r="N77" s="20" t="e">
        <f>((((K77-H77)/1.16)-M77))</f>
        <v>#VALUE!</v>
      </c>
      <c r="O77" s="21" t="e">
        <f>((N77*16%)+N77)+H77+L77</f>
        <v>#VALUE!</v>
      </c>
      <c r="P77" s="21" t="e">
        <f>(((J77-O77)-H77)/1.16)+H77</f>
        <v>#VALUE!</v>
      </c>
      <c r="Q77" s="44"/>
      <c r="R77" s="24"/>
      <c r="S77" s="23" t="e">
        <f t="shared" si="3"/>
        <v>#DIV/0!</v>
      </c>
      <c r="T77" s="23" t="e">
        <f t="shared" si="4"/>
        <v>#DIV/0!</v>
      </c>
      <c r="U77" s="22" t="e">
        <f t="shared" si="5"/>
        <v>#DIV/0!</v>
      </c>
      <c r="V77" s="51"/>
      <c r="W77" s="55"/>
      <c r="X77" s="54" t="e">
        <f>+P77-W77</f>
        <v>#VALUE!</v>
      </c>
      <c r="Y77" s="44"/>
      <c r="Z77" s="44"/>
    </row>
    <row r="78" spans="1:26" ht="15.75" customHeight="1">
      <c r="A78" s="44"/>
      <c r="B78" s="14"/>
      <c r="C78" s="53"/>
      <c r="D78" s="15"/>
      <c r="E78" s="89"/>
      <c r="F78" s="16"/>
      <c r="G78" s="16"/>
      <c r="H78" s="90" t="str">
        <f>IF(G78="Regular",Listas!$K$16,IF(G78="Premium",Listas!$K$17,IF(G78="Diesel",Listas!$K$18,"-")))</f>
        <v>-</v>
      </c>
      <c r="I78" s="17"/>
      <c r="J78" s="18"/>
      <c r="K78" s="19" t="str">
        <f>+IFERROR(IF(G78="Regular",VLOOKUP(C78,'PRECIO TERMINAL PEMEX'!$B$4:$E$35,2,0),IF(G78="Premium",VLOOKUP(C78,'PRECIO TERMINAL PEMEX'!$B$4:$E$35,3,0),IF(G78="Diesel",VLOOKUP(C78,'PRECIO TERMINAL PEMEX'!$B$4:$E$35,4,0),"Seleccione Producto"))),"-")</f>
        <v>Seleccione Producto</v>
      </c>
      <c r="L78" s="93" t="str">
        <f>+IFERROR(IF(F78="VHSA",VLOOKUP(B78,Listas!$C$4:$F$17,2,0),IF(F78="DOS BOCAS",VLOOKUP(B78,Listas!$C$4:$F$17,3,0),IF(F78="GLENCORE",VLOOKUP(B78,Listas!$C$4:$F$17,4,0),"Seleccione TAR"))),"-")</f>
        <v>Seleccione TAR</v>
      </c>
      <c r="M78" s="19" t="str">
        <f>+IFERROR(IF(G78="Regular",VLOOKUP(C78,'DESCUENTO PROVEEDORES'!$B$4:$E$35,2,0),IF(G78="Premium",VLOOKUP(C78,'DESCUENTO PROVEEDORES'!$B$4:$E$35,3,0),IF(G78="Diesel",VLOOKUP(C78,'DESCUENTO PROVEEDORES'!$B$4:$E$35,4,0),"Seleccione Proveedor"))),"-")</f>
        <v>Seleccione Proveedor</v>
      </c>
      <c r="N78" s="20" t="e">
        <f>((((K78-H78)/1.16)-M78))</f>
        <v>#VALUE!</v>
      </c>
      <c r="O78" s="21" t="e">
        <f>((N78*16%)+N78)+H78+L78</f>
        <v>#VALUE!</v>
      </c>
      <c r="P78" s="21" t="e">
        <f>(((J78-O78)-H78)/1.16)+H78</f>
        <v>#VALUE!</v>
      </c>
      <c r="Q78" s="44"/>
      <c r="R78" s="24"/>
      <c r="S78" s="23" t="e">
        <f t="shared" si="3"/>
        <v>#DIV/0!</v>
      </c>
      <c r="T78" s="23" t="e">
        <f t="shared" si="4"/>
        <v>#DIV/0!</v>
      </c>
      <c r="U78" s="22" t="e">
        <f t="shared" si="5"/>
        <v>#DIV/0!</v>
      </c>
      <c r="V78" s="51"/>
      <c r="W78" s="55"/>
      <c r="X78" s="54" t="e">
        <f>+P78-W78</f>
        <v>#VALUE!</v>
      </c>
      <c r="Y78" s="44"/>
      <c r="Z78" s="44"/>
    </row>
    <row r="79" spans="1:26" ht="15.75" customHeight="1">
      <c r="A79" s="44"/>
      <c r="B79" s="14"/>
      <c r="C79" s="53"/>
      <c r="D79" s="15"/>
      <c r="E79" s="89"/>
      <c r="F79" s="16"/>
      <c r="G79" s="16"/>
      <c r="H79" s="90" t="str">
        <f>IF(G79="Regular",Listas!$K$16,IF(G79="Premium",Listas!$K$17,IF(G79="Diesel",Listas!$K$18,"-")))</f>
        <v>-</v>
      </c>
      <c r="I79" s="17"/>
      <c r="J79" s="18"/>
      <c r="K79" s="19" t="str">
        <f>+IFERROR(IF(G79="Regular",VLOOKUP(C79,'PRECIO TERMINAL PEMEX'!$B$4:$E$35,2,0),IF(G79="Premium",VLOOKUP(C79,'PRECIO TERMINAL PEMEX'!$B$4:$E$35,3,0),IF(G79="Diesel",VLOOKUP(C79,'PRECIO TERMINAL PEMEX'!$B$4:$E$35,4,0),"Seleccione Producto"))),"-")</f>
        <v>Seleccione Producto</v>
      </c>
      <c r="L79" s="93" t="str">
        <f>+IFERROR(IF(F79="VHSA",VLOOKUP(B79,Listas!$C$4:$F$17,2,0),IF(F79="DOS BOCAS",VLOOKUP(B79,Listas!$C$4:$F$17,3,0),IF(F79="GLENCORE",VLOOKUP(B79,Listas!$C$4:$F$17,4,0),"Seleccione TAR"))),"-")</f>
        <v>Seleccione TAR</v>
      </c>
      <c r="M79" s="19" t="str">
        <f>+IFERROR(IF(G79="Regular",VLOOKUP(C79,'DESCUENTO PROVEEDORES'!$B$4:$E$35,2,0),IF(G79="Premium",VLOOKUP(C79,'DESCUENTO PROVEEDORES'!$B$4:$E$35,3,0),IF(G79="Diesel",VLOOKUP(C79,'DESCUENTO PROVEEDORES'!$B$4:$E$35,4,0),"Seleccione Proveedor"))),"-")</f>
        <v>Seleccione Proveedor</v>
      </c>
      <c r="N79" s="20" t="e">
        <f>((((K79-H79)/1.16)-M79))</f>
        <v>#VALUE!</v>
      </c>
      <c r="O79" s="21" t="e">
        <f>((N79*16%)+N79)+H79+L79</f>
        <v>#VALUE!</v>
      </c>
      <c r="P79" s="21" t="e">
        <f>(((J79-O79)-H79)/1.16)+H79</f>
        <v>#VALUE!</v>
      </c>
      <c r="Q79" s="44"/>
      <c r="R79" s="24"/>
      <c r="S79" s="23" t="e">
        <f t="shared" si="3"/>
        <v>#DIV/0!</v>
      </c>
      <c r="T79" s="23" t="e">
        <f t="shared" si="4"/>
        <v>#DIV/0!</v>
      </c>
      <c r="U79" s="22" t="e">
        <f t="shared" si="5"/>
        <v>#DIV/0!</v>
      </c>
      <c r="V79" s="51"/>
      <c r="W79" s="55"/>
      <c r="X79" s="54" t="e">
        <f>+P79-W79</f>
        <v>#VALUE!</v>
      </c>
      <c r="Y79" s="44"/>
      <c r="Z79" s="44"/>
    </row>
    <row r="80" spans="1:26" ht="15.75" customHeight="1">
      <c r="A80" s="44"/>
      <c r="B80" s="14"/>
      <c r="C80" s="53"/>
      <c r="D80" s="15"/>
      <c r="E80" s="89"/>
      <c r="F80" s="16"/>
      <c r="G80" s="16"/>
      <c r="H80" s="90" t="str">
        <f>IF(G80="Regular",Listas!$K$16,IF(G80="Premium",Listas!$K$17,IF(G80="Diesel",Listas!$K$18,"-")))</f>
        <v>-</v>
      </c>
      <c r="I80" s="17"/>
      <c r="J80" s="18"/>
      <c r="K80" s="19" t="str">
        <f>+IFERROR(IF(G80="Regular",VLOOKUP(C80,'PRECIO TERMINAL PEMEX'!$B$4:$E$35,2,0),IF(G80="Premium",VLOOKUP(C80,'PRECIO TERMINAL PEMEX'!$B$4:$E$35,3,0),IF(G80="Diesel",VLOOKUP(C80,'PRECIO TERMINAL PEMEX'!$B$4:$E$35,4,0),"Seleccione Producto"))),"-")</f>
        <v>Seleccione Producto</v>
      </c>
      <c r="L80" s="93" t="str">
        <f>+IFERROR(IF(F80="VHSA",VLOOKUP(B80,Listas!$C$4:$F$17,2,0),IF(F80="DOS BOCAS",VLOOKUP(B80,Listas!$C$4:$F$17,3,0),IF(F80="GLENCORE",VLOOKUP(B80,Listas!$C$4:$F$17,4,0),"Seleccione TAR"))),"-")</f>
        <v>Seleccione TAR</v>
      </c>
      <c r="M80" s="19" t="str">
        <f>+IFERROR(IF(G80="Regular",VLOOKUP(C80,'DESCUENTO PROVEEDORES'!$B$4:$E$35,2,0),IF(G80="Premium",VLOOKUP(C80,'DESCUENTO PROVEEDORES'!$B$4:$E$35,3,0),IF(G80="Diesel",VLOOKUP(C80,'DESCUENTO PROVEEDORES'!$B$4:$E$35,4,0),"Seleccione Proveedor"))),"-")</f>
        <v>Seleccione Proveedor</v>
      </c>
      <c r="N80" s="20" t="e">
        <f>((((K80-H80)/1.16)-M80))</f>
        <v>#VALUE!</v>
      </c>
      <c r="O80" s="21" t="e">
        <f>((N80*16%)+N80)+H80+L80</f>
        <v>#VALUE!</v>
      </c>
      <c r="P80" s="21" t="e">
        <f>(((J80-O80)-H80)/1.16)+H80</f>
        <v>#VALUE!</v>
      </c>
      <c r="Q80" s="44"/>
      <c r="R80" s="24"/>
      <c r="S80" s="23" t="e">
        <f t="shared" si="3"/>
        <v>#DIV/0!</v>
      </c>
      <c r="T80" s="23" t="e">
        <f t="shared" si="4"/>
        <v>#DIV/0!</v>
      </c>
      <c r="U80" s="22" t="e">
        <f t="shared" si="5"/>
        <v>#DIV/0!</v>
      </c>
      <c r="V80" s="51"/>
      <c r="W80" s="55"/>
      <c r="X80" s="54" t="e">
        <f>+P80-W80</f>
        <v>#VALUE!</v>
      </c>
      <c r="Y80" s="44"/>
      <c r="Z80" s="44"/>
    </row>
    <row r="81" spans="1:26" ht="15.75" customHeight="1">
      <c r="A81" s="44"/>
      <c r="B81" s="14"/>
      <c r="C81" s="53"/>
      <c r="D81" s="15"/>
      <c r="E81" s="89"/>
      <c r="F81" s="16"/>
      <c r="G81" s="16"/>
      <c r="H81" s="90" t="str">
        <f>IF(G81="Regular",Listas!$K$16,IF(G81="Premium",Listas!$K$17,IF(G81="Diesel",Listas!$K$18,"-")))</f>
        <v>-</v>
      </c>
      <c r="I81" s="17"/>
      <c r="J81" s="18"/>
      <c r="K81" s="19" t="str">
        <f>+IFERROR(IF(G81="Regular",VLOOKUP(C81,'PRECIO TERMINAL PEMEX'!$B$4:$E$35,2,0),IF(G81="Premium",VLOOKUP(C81,'PRECIO TERMINAL PEMEX'!$B$4:$E$35,3,0),IF(G81="Diesel",VLOOKUP(C81,'PRECIO TERMINAL PEMEX'!$B$4:$E$35,4,0),"Seleccione Producto"))),"-")</f>
        <v>Seleccione Producto</v>
      </c>
      <c r="L81" s="93" t="str">
        <f>+IFERROR(IF(F81="VHSA",VLOOKUP(B81,Listas!$C$4:$F$17,2,0),IF(F81="DOS BOCAS",VLOOKUP(B81,Listas!$C$4:$F$17,3,0),IF(F81="GLENCORE",VLOOKUP(B81,Listas!$C$4:$F$17,4,0),"Seleccione TAR"))),"-")</f>
        <v>Seleccione TAR</v>
      </c>
      <c r="M81" s="19" t="str">
        <f>+IFERROR(IF(G81="Regular",VLOOKUP(C81,'DESCUENTO PROVEEDORES'!$B$4:$E$35,2,0),IF(G81="Premium",VLOOKUP(C81,'DESCUENTO PROVEEDORES'!$B$4:$E$35,3,0),IF(G81="Diesel",VLOOKUP(C81,'DESCUENTO PROVEEDORES'!$B$4:$E$35,4,0),"Seleccione Proveedor"))),"-")</f>
        <v>Seleccione Proveedor</v>
      </c>
      <c r="N81" s="20" t="e">
        <f>((((K81-H81)/1.16)-M81))</f>
        <v>#VALUE!</v>
      </c>
      <c r="O81" s="21" t="e">
        <f>((N81*16%)+N81)+H81+L81</f>
        <v>#VALUE!</v>
      </c>
      <c r="P81" s="21" t="e">
        <f>(((J81-O81)-H81)/1.16)+H81</f>
        <v>#VALUE!</v>
      </c>
      <c r="Q81" s="44"/>
      <c r="R81" s="24"/>
      <c r="S81" s="23" t="e">
        <f t="shared" si="3"/>
        <v>#DIV/0!</v>
      </c>
      <c r="T81" s="23" t="e">
        <f t="shared" si="4"/>
        <v>#DIV/0!</v>
      </c>
      <c r="U81" s="22" t="e">
        <f t="shared" si="5"/>
        <v>#DIV/0!</v>
      </c>
      <c r="V81" s="51"/>
      <c r="W81" s="55"/>
      <c r="X81" s="54" t="e">
        <f>+P81-W81</f>
        <v>#VALUE!</v>
      </c>
      <c r="Y81" s="44"/>
      <c r="Z81" s="44"/>
    </row>
    <row r="82" spans="1:26" ht="15.75" customHeight="1">
      <c r="A82" s="44"/>
      <c r="B82" s="14"/>
      <c r="C82" s="53"/>
      <c r="D82" s="15"/>
      <c r="E82" s="89"/>
      <c r="F82" s="16"/>
      <c r="G82" s="16"/>
      <c r="H82" s="90" t="str">
        <f>IF(G82="Regular",Listas!$K$16,IF(G82="Premium",Listas!$K$17,IF(G82="Diesel",Listas!$K$18,"-")))</f>
        <v>-</v>
      </c>
      <c r="I82" s="17"/>
      <c r="J82" s="18"/>
      <c r="K82" s="19" t="str">
        <f>+IFERROR(IF(G82="Regular",VLOOKUP(C82,'PRECIO TERMINAL PEMEX'!$B$4:$E$35,2,0),IF(G82="Premium",VLOOKUP(C82,'PRECIO TERMINAL PEMEX'!$B$4:$E$35,3,0),IF(G82="Diesel",VLOOKUP(C82,'PRECIO TERMINAL PEMEX'!$B$4:$E$35,4,0),"Seleccione Producto"))),"-")</f>
        <v>Seleccione Producto</v>
      </c>
      <c r="L82" s="93" t="str">
        <f>+IFERROR(IF(F82="VHSA",VLOOKUP(B82,Listas!$C$4:$F$17,2,0),IF(F82="DOS BOCAS",VLOOKUP(B82,Listas!$C$4:$F$17,3,0),IF(F82="GLENCORE",VLOOKUP(B82,Listas!$C$4:$F$17,4,0),"Seleccione TAR"))),"-")</f>
        <v>Seleccione TAR</v>
      </c>
      <c r="M82" s="19" t="str">
        <f>+IFERROR(IF(G82="Regular",VLOOKUP(C82,'DESCUENTO PROVEEDORES'!$B$4:$E$35,2,0),IF(G82="Premium",VLOOKUP(C82,'DESCUENTO PROVEEDORES'!$B$4:$E$35,3,0),IF(G82="Diesel",VLOOKUP(C82,'DESCUENTO PROVEEDORES'!$B$4:$E$35,4,0),"Seleccione Proveedor"))),"-")</f>
        <v>Seleccione Proveedor</v>
      </c>
      <c r="N82" s="20" t="e">
        <f>((((K82-H82)/1.16)-M82))</f>
        <v>#VALUE!</v>
      </c>
      <c r="O82" s="21" t="e">
        <f>((N82*16%)+N82)+H82+L82</f>
        <v>#VALUE!</v>
      </c>
      <c r="P82" s="21" t="e">
        <f>(((J82-O82)-H82)/1.16)+H82</f>
        <v>#VALUE!</v>
      </c>
      <c r="Q82" s="44"/>
      <c r="R82" s="24"/>
      <c r="S82" s="23" t="e">
        <f t="shared" si="3"/>
        <v>#DIV/0!</v>
      </c>
      <c r="T82" s="23" t="e">
        <f t="shared" si="4"/>
        <v>#DIV/0!</v>
      </c>
      <c r="U82" s="22" t="e">
        <f t="shared" si="5"/>
        <v>#DIV/0!</v>
      </c>
      <c r="V82" s="51"/>
      <c r="W82" s="55"/>
      <c r="X82" s="54" t="e">
        <f>+P82-W82</f>
        <v>#VALUE!</v>
      </c>
      <c r="Y82" s="44"/>
      <c r="Z82" s="44"/>
    </row>
    <row r="83" spans="1:26" ht="15.75" customHeight="1">
      <c r="A83" s="44"/>
      <c r="B83" s="14"/>
      <c r="C83" s="53"/>
      <c r="D83" s="15"/>
      <c r="E83" s="89"/>
      <c r="F83" s="16"/>
      <c r="G83" s="16"/>
      <c r="H83" s="90" t="str">
        <f>IF(G83="Regular",Listas!$K$16,IF(G83="Premium",Listas!$K$17,IF(G83="Diesel",Listas!$K$18,"-")))</f>
        <v>-</v>
      </c>
      <c r="I83" s="17"/>
      <c r="J83" s="18"/>
      <c r="K83" s="19" t="str">
        <f>+IFERROR(IF(G83="Regular",VLOOKUP(C83,'PRECIO TERMINAL PEMEX'!$B$4:$E$35,2,0),IF(G83="Premium",VLOOKUP(C83,'PRECIO TERMINAL PEMEX'!$B$4:$E$35,3,0),IF(G83="Diesel",VLOOKUP(C83,'PRECIO TERMINAL PEMEX'!$B$4:$E$35,4,0),"Seleccione Producto"))),"-")</f>
        <v>Seleccione Producto</v>
      </c>
      <c r="L83" s="93" t="str">
        <f>+IFERROR(IF(F83="VHSA",VLOOKUP(B83,Listas!$C$4:$F$17,2,0),IF(F83="DOS BOCAS",VLOOKUP(B83,Listas!$C$4:$F$17,3,0),IF(F83="GLENCORE",VLOOKUP(B83,Listas!$C$4:$F$17,4,0),"Seleccione TAR"))),"-")</f>
        <v>Seleccione TAR</v>
      </c>
      <c r="M83" s="19" t="str">
        <f>+IFERROR(IF(G83="Regular",VLOOKUP(C83,'DESCUENTO PROVEEDORES'!$B$4:$E$35,2,0),IF(G83="Premium",VLOOKUP(C83,'DESCUENTO PROVEEDORES'!$B$4:$E$35,3,0),IF(G83="Diesel",VLOOKUP(C83,'DESCUENTO PROVEEDORES'!$B$4:$E$35,4,0),"Seleccione Proveedor"))),"-")</f>
        <v>Seleccione Proveedor</v>
      </c>
      <c r="N83" s="20" t="e">
        <f>((((K83-H83)/1.16)-M83))</f>
        <v>#VALUE!</v>
      </c>
      <c r="O83" s="21" t="e">
        <f>((N83*16%)+N83)+H83+L83</f>
        <v>#VALUE!</v>
      </c>
      <c r="P83" s="21" t="e">
        <f>(((J83-O83)-H83)/1.16)+H83</f>
        <v>#VALUE!</v>
      </c>
      <c r="Q83" s="44"/>
      <c r="R83" s="24"/>
      <c r="S83" s="23" t="e">
        <f t="shared" si="3"/>
        <v>#DIV/0!</v>
      </c>
      <c r="T83" s="23" t="e">
        <f t="shared" si="4"/>
        <v>#DIV/0!</v>
      </c>
      <c r="U83" s="22" t="e">
        <f t="shared" si="5"/>
        <v>#DIV/0!</v>
      </c>
      <c r="V83" s="51"/>
      <c r="W83" s="55"/>
      <c r="X83" s="54" t="e">
        <f>+P83-W83</f>
        <v>#VALUE!</v>
      </c>
      <c r="Y83" s="44"/>
      <c r="Z83" s="44"/>
    </row>
    <row r="84" spans="1:26" ht="15.75" customHeight="1">
      <c r="A84" s="44"/>
      <c r="B84" s="14"/>
      <c r="C84" s="53"/>
      <c r="D84" s="15"/>
      <c r="E84" s="89"/>
      <c r="F84" s="16"/>
      <c r="G84" s="16"/>
      <c r="H84" s="90" t="str">
        <f>IF(G84="Regular",Listas!$K$16,IF(G84="Premium",Listas!$K$17,IF(G84="Diesel",Listas!$K$18,"-")))</f>
        <v>-</v>
      </c>
      <c r="I84" s="17"/>
      <c r="J84" s="18"/>
      <c r="K84" s="19" t="str">
        <f>+IFERROR(IF(G84="Regular",VLOOKUP(C84,'PRECIO TERMINAL PEMEX'!$B$4:$E$35,2,0),IF(G84="Premium",VLOOKUP(C84,'PRECIO TERMINAL PEMEX'!$B$4:$E$35,3,0),IF(G84="Diesel",VLOOKUP(C84,'PRECIO TERMINAL PEMEX'!$B$4:$E$35,4,0),"Seleccione Producto"))),"-")</f>
        <v>Seleccione Producto</v>
      </c>
      <c r="L84" s="93" t="str">
        <f>+IFERROR(IF(F84="VHSA",VLOOKUP(B84,Listas!$C$4:$F$17,2,0),IF(F84="DOS BOCAS",VLOOKUP(B84,Listas!$C$4:$F$17,3,0),IF(F84="GLENCORE",VLOOKUP(B84,Listas!$C$4:$F$17,4,0),"Seleccione TAR"))),"-")</f>
        <v>Seleccione TAR</v>
      </c>
      <c r="M84" s="19" t="str">
        <f>+IFERROR(IF(G84="Regular",VLOOKUP(C84,'DESCUENTO PROVEEDORES'!$B$4:$E$35,2,0),IF(G84="Premium",VLOOKUP(C84,'DESCUENTO PROVEEDORES'!$B$4:$E$35,3,0),IF(G84="Diesel",VLOOKUP(C84,'DESCUENTO PROVEEDORES'!$B$4:$E$35,4,0),"Seleccione Proveedor"))),"-")</f>
        <v>Seleccione Proveedor</v>
      </c>
      <c r="N84" s="20" t="e">
        <f>((((K84-H84)/1.16)-M84))</f>
        <v>#VALUE!</v>
      </c>
      <c r="O84" s="21" t="e">
        <f>((N84*16%)+N84)+H84+L84</f>
        <v>#VALUE!</v>
      </c>
      <c r="P84" s="21" t="e">
        <f>(((J84-O84)-H84)/1.16)+H84</f>
        <v>#VALUE!</v>
      </c>
      <c r="Q84" s="44"/>
      <c r="R84" s="24"/>
      <c r="S84" s="23" t="e">
        <f t="shared" si="3"/>
        <v>#DIV/0!</v>
      </c>
      <c r="T84" s="23" t="e">
        <f t="shared" si="4"/>
        <v>#DIV/0!</v>
      </c>
      <c r="U84" s="22" t="e">
        <f t="shared" si="5"/>
        <v>#DIV/0!</v>
      </c>
      <c r="V84" s="51"/>
      <c r="W84" s="55"/>
      <c r="X84" s="54" t="e">
        <f>+P84-W84</f>
        <v>#VALUE!</v>
      </c>
      <c r="Y84" s="44"/>
      <c r="Z84" s="44"/>
    </row>
    <row r="85" spans="1:26" ht="15.75" customHeight="1">
      <c r="A85" s="44"/>
      <c r="B85" s="14"/>
      <c r="C85" s="53"/>
      <c r="D85" s="15"/>
      <c r="E85" s="89"/>
      <c r="F85" s="16"/>
      <c r="G85" s="16"/>
      <c r="H85" s="90" t="str">
        <f>IF(G85="Regular",Listas!$K$16,IF(G85="Premium",Listas!$K$17,IF(G85="Diesel",Listas!$K$18,"-")))</f>
        <v>-</v>
      </c>
      <c r="I85" s="17"/>
      <c r="J85" s="18"/>
      <c r="K85" s="19" t="str">
        <f>+IFERROR(IF(G85="Regular",VLOOKUP(C85,'PRECIO TERMINAL PEMEX'!$B$4:$E$35,2,0),IF(G85="Premium",VLOOKUP(C85,'PRECIO TERMINAL PEMEX'!$B$4:$E$35,3,0),IF(G85="Diesel",VLOOKUP(C85,'PRECIO TERMINAL PEMEX'!$B$4:$E$35,4,0),"Seleccione Producto"))),"-")</f>
        <v>Seleccione Producto</v>
      </c>
      <c r="L85" s="93" t="str">
        <f>+IFERROR(IF(F85="VHSA",VLOOKUP(B85,Listas!$C$4:$F$17,2,0),IF(F85="DOS BOCAS",VLOOKUP(B85,Listas!$C$4:$F$17,3,0),IF(F85="GLENCORE",VLOOKUP(B85,Listas!$C$4:$F$17,4,0),"Seleccione TAR"))),"-")</f>
        <v>Seleccione TAR</v>
      </c>
      <c r="M85" s="19" t="str">
        <f>+IFERROR(IF(G85="Regular",VLOOKUP(C85,'DESCUENTO PROVEEDORES'!$B$4:$E$35,2,0),IF(G85="Premium",VLOOKUP(C85,'DESCUENTO PROVEEDORES'!$B$4:$E$35,3,0),IF(G85="Diesel",VLOOKUP(C85,'DESCUENTO PROVEEDORES'!$B$4:$E$35,4,0),"Seleccione Proveedor"))),"-")</f>
        <v>Seleccione Proveedor</v>
      </c>
      <c r="N85" s="20" t="e">
        <f>((((K85-H85)/1.16)-M85))</f>
        <v>#VALUE!</v>
      </c>
      <c r="O85" s="21" t="e">
        <f>((N85*16%)+N85)+H85+L85</f>
        <v>#VALUE!</v>
      </c>
      <c r="P85" s="21" t="e">
        <f>(((J85-O85)-H85)/1.16)+H85</f>
        <v>#VALUE!</v>
      </c>
      <c r="Q85" s="44"/>
      <c r="R85" s="24"/>
      <c r="S85" s="23" t="e">
        <f t="shared" si="3"/>
        <v>#DIV/0!</v>
      </c>
      <c r="T85" s="23" t="e">
        <f t="shared" si="4"/>
        <v>#DIV/0!</v>
      </c>
      <c r="U85" s="22" t="e">
        <f t="shared" si="5"/>
        <v>#DIV/0!</v>
      </c>
      <c r="V85" s="51"/>
      <c r="W85" s="55"/>
      <c r="X85" s="54" t="e">
        <f>+P85-W85</f>
        <v>#VALUE!</v>
      </c>
      <c r="Y85" s="44"/>
      <c r="Z85" s="44"/>
    </row>
    <row r="86" spans="1:26" ht="15.75" customHeight="1">
      <c r="A86" s="44"/>
      <c r="B86" s="14"/>
      <c r="C86" s="53"/>
      <c r="D86" s="15"/>
      <c r="E86" s="89"/>
      <c r="F86" s="16"/>
      <c r="G86" s="16"/>
      <c r="H86" s="90" t="str">
        <f>IF(G86="Regular",Listas!$K$16,IF(G86="Premium",Listas!$K$17,IF(G86="Diesel",Listas!$K$18,"-")))</f>
        <v>-</v>
      </c>
      <c r="I86" s="17"/>
      <c r="J86" s="18"/>
      <c r="K86" s="19" t="str">
        <f>+IFERROR(IF(G86="Regular",VLOOKUP(C86,'PRECIO TERMINAL PEMEX'!$B$4:$E$35,2,0),IF(G86="Premium",VLOOKUP(C86,'PRECIO TERMINAL PEMEX'!$B$4:$E$35,3,0),IF(G86="Diesel",VLOOKUP(C86,'PRECIO TERMINAL PEMEX'!$B$4:$E$35,4,0),"Seleccione Producto"))),"-")</f>
        <v>Seleccione Producto</v>
      </c>
      <c r="L86" s="93" t="str">
        <f>+IFERROR(IF(F86="VHSA",VLOOKUP(B86,Listas!$C$4:$F$17,2,0),IF(F86="DOS BOCAS",VLOOKUP(B86,Listas!$C$4:$F$17,3,0),IF(F86="GLENCORE",VLOOKUP(B86,Listas!$C$4:$F$17,4,0),"Seleccione TAR"))),"-")</f>
        <v>Seleccione TAR</v>
      </c>
      <c r="M86" s="19" t="str">
        <f>+IFERROR(IF(G86="Regular",VLOOKUP(C86,'DESCUENTO PROVEEDORES'!$B$4:$E$35,2,0),IF(G86="Premium",VLOOKUP(C86,'DESCUENTO PROVEEDORES'!$B$4:$E$35,3,0),IF(G86="Diesel",VLOOKUP(C86,'DESCUENTO PROVEEDORES'!$B$4:$E$35,4,0),"Seleccione Proveedor"))),"-")</f>
        <v>Seleccione Proveedor</v>
      </c>
      <c r="N86" s="20" t="e">
        <f>((((K86-H86)/1.16)-M86))</f>
        <v>#VALUE!</v>
      </c>
      <c r="O86" s="21" t="e">
        <f>((N86*16%)+N86)+H86+L86</f>
        <v>#VALUE!</v>
      </c>
      <c r="P86" s="21" t="e">
        <f>(((J86-O86)-H86)/1.16)+H86</f>
        <v>#VALUE!</v>
      </c>
      <c r="Q86" s="44"/>
      <c r="R86" s="24"/>
      <c r="S86" s="23" t="e">
        <f t="shared" si="3"/>
        <v>#DIV/0!</v>
      </c>
      <c r="T86" s="23" t="e">
        <f t="shared" si="4"/>
        <v>#DIV/0!</v>
      </c>
      <c r="U86" s="22" t="e">
        <f t="shared" si="5"/>
        <v>#DIV/0!</v>
      </c>
      <c r="V86" s="51"/>
      <c r="W86" s="55"/>
      <c r="X86" s="54"/>
      <c r="Y86" s="44"/>
      <c r="Z86" s="44"/>
    </row>
    <row r="87" spans="1:26" ht="15.75" customHeight="1">
      <c r="A87" s="44"/>
      <c r="B87" s="14"/>
      <c r="C87" s="53"/>
      <c r="D87" s="15"/>
      <c r="E87" s="89"/>
      <c r="F87" s="16"/>
      <c r="G87" s="16"/>
      <c r="H87" s="90" t="str">
        <f>IF(G87="Regular",Listas!$K$16,IF(G87="Premium",Listas!$K$17,IF(G87="Diesel",Listas!$K$18,"-")))</f>
        <v>-</v>
      </c>
      <c r="I87" s="17"/>
      <c r="J87" s="18"/>
      <c r="K87" s="19" t="str">
        <f>+IFERROR(IF(G87="Regular",VLOOKUP(C87,'PRECIO TERMINAL PEMEX'!$B$4:$E$35,2,0),IF(G87="Premium",VLOOKUP(C87,'PRECIO TERMINAL PEMEX'!$B$4:$E$35,3,0),IF(G87="Diesel",VLOOKUP(C87,'PRECIO TERMINAL PEMEX'!$B$4:$E$35,4,0),"Seleccione Producto"))),"-")</f>
        <v>Seleccione Producto</v>
      </c>
      <c r="L87" s="93" t="str">
        <f>+IFERROR(IF(F87="VHSA",VLOOKUP(B87,Listas!$C$4:$F$17,2,0),IF(F87="DOS BOCAS",VLOOKUP(B87,Listas!$C$4:$F$17,3,0),IF(F87="GLENCORE",VLOOKUP(B87,Listas!$C$4:$F$17,4,0),"Seleccione TAR"))),"-")</f>
        <v>Seleccione TAR</v>
      </c>
      <c r="M87" s="19" t="str">
        <f>+IFERROR(IF(G87="Regular",VLOOKUP(C87,'DESCUENTO PROVEEDORES'!$B$4:$E$35,2,0),IF(G87="Premium",VLOOKUP(C87,'DESCUENTO PROVEEDORES'!$B$4:$E$35,3,0),IF(G87="Diesel",VLOOKUP(C87,'DESCUENTO PROVEEDORES'!$B$4:$E$35,4,0),"Seleccione Proveedor"))),"-")</f>
        <v>Seleccione Proveedor</v>
      </c>
      <c r="N87" s="20" t="e">
        <f>((((K87-H87)/1.16)-M87))</f>
        <v>#VALUE!</v>
      </c>
      <c r="O87" s="21" t="e">
        <f>((N87*16%)+N87)+H87+L87</f>
        <v>#VALUE!</v>
      </c>
      <c r="P87" s="21" t="e">
        <f>(((J87-O87)-H87)/1.16)+H87</f>
        <v>#VALUE!</v>
      </c>
      <c r="Q87" s="44"/>
      <c r="R87" s="24"/>
      <c r="S87" s="23" t="e">
        <f t="shared" si="3"/>
        <v>#DIV/0!</v>
      </c>
      <c r="T87" s="23" t="e">
        <f t="shared" si="4"/>
        <v>#DIV/0!</v>
      </c>
      <c r="U87" s="22" t="e">
        <f t="shared" si="5"/>
        <v>#DIV/0!</v>
      </c>
      <c r="V87" s="51"/>
      <c r="W87" s="55"/>
      <c r="X87" s="54" t="e">
        <f>+P87-W87</f>
        <v>#VALUE!</v>
      </c>
      <c r="Y87" s="44"/>
      <c r="Z87" s="44"/>
    </row>
    <row r="88" spans="1:26" ht="15.75" customHeight="1">
      <c r="A88" s="44"/>
      <c r="B88" s="14"/>
      <c r="C88" s="53"/>
      <c r="D88" s="15"/>
      <c r="E88" s="89"/>
      <c r="F88" s="16"/>
      <c r="G88" s="16"/>
      <c r="H88" s="90" t="str">
        <f>IF(G88="Regular",Listas!$K$16,IF(G88="Premium",Listas!$K$17,IF(G88="Diesel",Listas!$K$18,"-")))</f>
        <v>-</v>
      </c>
      <c r="I88" s="17"/>
      <c r="J88" s="18"/>
      <c r="K88" s="19" t="str">
        <f>+IFERROR(IF(G88="Regular",VLOOKUP(C88,'PRECIO TERMINAL PEMEX'!$B$4:$E$35,2,0),IF(G88="Premium",VLOOKUP(C88,'PRECIO TERMINAL PEMEX'!$B$4:$E$35,3,0),IF(G88="Diesel",VLOOKUP(C88,'PRECIO TERMINAL PEMEX'!$B$4:$E$35,4,0),"Seleccione Producto"))),"-")</f>
        <v>Seleccione Producto</v>
      </c>
      <c r="L88" s="93" t="str">
        <f>+IFERROR(IF(F88="VHSA",VLOOKUP(B88,Listas!$C$4:$F$17,2,0),IF(F88="DOS BOCAS",VLOOKUP(B88,Listas!$C$4:$F$17,3,0),IF(F88="GLENCORE",VLOOKUP(B88,Listas!$C$4:$F$17,4,0),"Seleccione TAR"))),"-")</f>
        <v>Seleccione TAR</v>
      </c>
      <c r="M88" s="19" t="str">
        <f>+IFERROR(IF(G88="Regular",VLOOKUP(C88,'DESCUENTO PROVEEDORES'!$B$4:$E$35,2,0),IF(G88="Premium",VLOOKUP(C88,'DESCUENTO PROVEEDORES'!$B$4:$E$35,3,0),IF(G88="Diesel",VLOOKUP(C88,'DESCUENTO PROVEEDORES'!$B$4:$E$35,4,0),"Seleccione Proveedor"))),"-")</f>
        <v>Seleccione Proveedor</v>
      </c>
      <c r="N88" s="20" t="e">
        <f>((((K88-H88)/1.16)-M88))</f>
        <v>#VALUE!</v>
      </c>
      <c r="O88" s="21" t="e">
        <f>((N88*16%)+N88)+H88+L88</f>
        <v>#VALUE!</v>
      </c>
      <c r="P88" s="21" t="e">
        <f>(((J88-O88)-H88)/1.16)+H88</f>
        <v>#VALUE!</v>
      </c>
      <c r="Q88" s="44"/>
      <c r="R88" s="24"/>
      <c r="S88" s="23" t="e">
        <f t="shared" si="3"/>
        <v>#DIV/0!</v>
      </c>
      <c r="T88" s="23" t="e">
        <f t="shared" si="4"/>
        <v>#DIV/0!</v>
      </c>
      <c r="U88" s="22" t="e">
        <f t="shared" si="5"/>
        <v>#DIV/0!</v>
      </c>
      <c r="V88" s="51"/>
      <c r="W88" s="55"/>
      <c r="X88" s="54" t="e">
        <f>+P88-W88</f>
        <v>#VALUE!</v>
      </c>
      <c r="Y88" s="44"/>
      <c r="Z88" s="44"/>
    </row>
    <row r="89" spans="1:26" ht="15.75" customHeight="1">
      <c r="A89" s="44"/>
      <c r="B89" s="14"/>
      <c r="C89" s="53"/>
      <c r="D89" s="15"/>
      <c r="E89" s="89"/>
      <c r="F89" s="16"/>
      <c r="G89" s="16"/>
      <c r="H89" s="90" t="str">
        <f>IF(G89="Regular",Listas!$K$16,IF(G89="Premium",Listas!$K$17,IF(G89="Diesel",Listas!$K$18,"-")))</f>
        <v>-</v>
      </c>
      <c r="I89" s="17"/>
      <c r="J89" s="18"/>
      <c r="K89" s="19" t="str">
        <f>+IFERROR(IF(G89="Regular",VLOOKUP(C89,'PRECIO TERMINAL PEMEX'!$B$4:$E$35,2,0),IF(G89="Premium",VLOOKUP(C89,'PRECIO TERMINAL PEMEX'!$B$4:$E$35,3,0),IF(G89="Diesel",VLOOKUP(C89,'PRECIO TERMINAL PEMEX'!$B$4:$E$35,4,0),"Seleccione Producto"))),"-")</f>
        <v>Seleccione Producto</v>
      </c>
      <c r="L89" s="93" t="str">
        <f>+IFERROR(IF(F89="VHSA",VLOOKUP(B89,Listas!$C$4:$F$17,2,0),IF(F89="DOS BOCAS",VLOOKUP(B89,Listas!$C$4:$F$17,3,0),IF(F89="GLENCORE",VLOOKUP(B89,Listas!$C$4:$F$17,4,0),"Seleccione TAR"))),"-")</f>
        <v>Seleccione TAR</v>
      </c>
      <c r="M89" s="19" t="str">
        <f>+IFERROR(IF(G89="Regular",VLOOKUP(C89,'DESCUENTO PROVEEDORES'!$B$4:$E$35,2,0),IF(G89="Premium",VLOOKUP(C89,'DESCUENTO PROVEEDORES'!$B$4:$E$35,3,0),IF(G89="Diesel",VLOOKUP(C89,'DESCUENTO PROVEEDORES'!$B$4:$E$35,4,0),"Seleccione Proveedor"))),"-")</f>
        <v>Seleccione Proveedor</v>
      </c>
      <c r="N89" s="20" t="e">
        <f>((((K89-H89)/1.16)-M89))</f>
        <v>#VALUE!</v>
      </c>
      <c r="O89" s="21" t="e">
        <f>((N89*16%)+N89)+H89+L89</f>
        <v>#VALUE!</v>
      </c>
      <c r="P89" s="21" t="e">
        <f>(((J89-O89)-H89)/1.16)+H89</f>
        <v>#VALUE!</v>
      </c>
      <c r="Q89" s="44"/>
      <c r="R89" s="24"/>
      <c r="S89" s="23" t="e">
        <f t="shared" si="3"/>
        <v>#DIV/0!</v>
      </c>
      <c r="T89" s="23" t="e">
        <f t="shared" si="4"/>
        <v>#DIV/0!</v>
      </c>
      <c r="U89" s="22" t="e">
        <f t="shared" si="5"/>
        <v>#DIV/0!</v>
      </c>
      <c r="V89" s="51"/>
      <c r="W89" s="55"/>
      <c r="X89" s="54" t="e">
        <f>+P89-W89</f>
        <v>#VALUE!</v>
      </c>
      <c r="Y89" s="44"/>
      <c r="Z89" s="44"/>
    </row>
    <row r="90" spans="1:26" ht="15.75" customHeight="1">
      <c r="A90" s="44"/>
      <c r="B90" s="14"/>
      <c r="C90" s="53"/>
      <c r="D90" s="15"/>
      <c r="E90" s="89"/>
      <c r="F90" s="16"/>
      <c r="G90" s="16"/>
      <c r="H90" s="90" t="str">
        <f>IF(G90="Regular",Listas!$K$16,IF(G90="Premium",Listas!$K$17,IF(G90="Diesel",Listas!$K$18,"-")))</f>
        <v>-</v>
      </c>
      <c r="I90" s="17"/>
      <c r="J90" s="18"/>
      <c r="K90" s="19" t="str">
        <f>+IFERROR(IF(G90="Regular",VLOOKUP(C90,'PRECIO TERMINAL PEMEX'!$B$4:$E$35,2,0),IF(G90="Premium",VLOOKUP(C90,'PRECIO TERMINAL PEMEX'!$B$4:$E$35,3,0),IF(G90="Diesel",VLOOKUP(C90,'PRECIO TERMINAL PEMEX'!$B$4:$E$35,4,0),"Seleccione Producto"))),"-")</f>
        <v>Seleccione Producto</v>
      </c>
      <c r="L90" s="93" t="str">
        <f>+IFERROR(IF(F90="VHSA",VLOOKUP(B90,Listas!$C$4:$F$17,2,0),IF(F90="DOS BOCAS",VLOOKUP(B90,Listas!$C$4:$F$17,3,0),IF(F90="GLENCORE",VLOOKUP(B90,Listas!$C$4:$F$17,4,0),"Seleccione TAR"))),"-")</f>
        <v>Seleccione TAR</v>
      </c>
      <c r="M90" s="19" t="str">
        <f>+IFERROR(IF(G90="Regular",VLOOKUP(C90,'DESCUENTO PROVEEDORES'!$B$4:$E$35,2,0),IF(G90="Premium",VLOOKUP(C90,'DESCUENTO PROVEEDORES'!$B$4:$E$35,3,0),IF(G90="Diesel",VLOOKUP(C90,'DESCUENTO PROVEEDORES'!$B$4:$E$35,4,0),"Seleccione Proveedor"))),"-")</f>
        <v>Seleccione Proveedor</v>
      </c>
      <c r="N90" s="20" t="e">
        <f>((((K90-H90)/1.16)-M90))</f>
        <v>#VALUE!</v>
      </c>
      <c r="O90" s="21" t="e">
        <f>((N90*16%)+N90)+H90+L90</f>
        <v>#VALUE!</v>
      </c>
      <c r="P90" s="21" t="e">
        <f>(((J90-O90)-H90)/1.16)+H90</f>
        <v>#VALUE!</v>
      </c>
      <c r="Q90" s="44"/>
      <c r="R90" s="24"/>
      <c r="S90" s="23" t="e">
        <f t="shared" si="3"/>
        <v>#DIV/0!</v>
      </c>
      <c r="T90" s="23" t="e">
        <f t="shared" si="4"/>
        <v>#DIV/0!</v>
      </c>
      <c r="U90" s="22" t="e">
        <f t="shared" si="5"/>
        <v>#DIV/0!</v>
      </c>
      <c r="V90" s="51"/>
      <c r="W90" s="54"/>
      <c r="X90" s="54" t="e">
        <f>+P90-W90</f>
        <v>#VALUE!</v>
      </c>
      <c r="Y90" s="44"/>
      <c r="Z90" s="44"/>
    </row>
    <row r="91" spans="1:26" ht="15.75" customHeight="1">
      <c r="A91" s="44" t="s">
        <v>37</v>
      </c>
      <c r="B91" s="14"/>
      <c r="C91" s="53"/>
      <c r="D91" s="15"/>
      <c r="E91" s="89"/>
      <c r="F91" s="16"/>
      <c r="G91" s="16"/>
      <c r="H91" s="90" t="str">
        <f>IF(G91="Regular",Listas!$K$16,IF(G91="Premium",Listas!$K$17,IF(G91="Diesel",Listas!$K$18,"-")))</f>
        <v>-</v>
      </c>
      <c r="I91" s="17"/>
      <c r="J91" s="18"/>
      <c r="K91" s="19" t="str">
        <f>+IFERROR(IF(G91="Regular",VLOOKUP(C91,'PRECIO TERMINAL PEMEX'!$B$4:$E$35,2,0),IF(G91="Premium",VLOOKUP(C91,'PRECIO TERMINAL PEMEX'!$B$4:$E$35,3,0),IF(G91="Diesel",VLOOKUP(C91,'PRECIO TERMINAL PEMEX'!$B$4:$E$35,4,0),"Seleccione Producto"))),"-")</f>
        <v>Seleccione Producto</v>
      </c>
      <c r="L91" s="93" t="str">
        <f>+IFERROR(IF(F91="VHSA",VLOOKUP(B91,Listas!$C$4:$F$17,2,0),IF(F91="DOS BOCAS",VLOOKUP(B91,Listas!$C$4:$F$17,3,0),IF(F91="GLENCORE",VLOOKUP(B91,Listas!$C$4:$F$17,4,0),"Seleccione TAR"))),"-")</f>
        <v>Seleccione TAR</v>
      </c>
      <c r="M91" s="19" t="str">
        <f>+IFERROR(IF(G91="Regular",VLOOKUP(C91,'DESCUENTO PROVEEDORES'!$B$4:$E$35,2,0),IF(G91="Premium",VLOOKUP(C91,'DESCUENTO PROVEEDORES'!$B$4:$E$35,3,0),IF(G91="Diesel",VLOOKUP(C91,'DESCUENTO PROVEEDORES'!$B$4:$E$35,4,0),"Seleccione Proveedor"))),"-")</f>
        <v>Seleccione Proveedor</v>
      </c>
      <c r="N91" s="20" t="e">
        <f>((((K91-H91)/1.16)-M91))</f>
        <v>#VALUE!</v>
      </c>
      <c r="O91" s="21" t="e">
        <f>((N91*16%)+N91)+H91+L91</f>
        <v>#VALUE!</v>
      </c>
      <c r="P91" s="21" t="e">
        <f>(((J91-O91)-H91)/1.16)+H91</f>
        <v>#VALUE!</v>
      </c>
      <c r="Q91" s="44"/>
      <c r="R91" s="24"/>
      <c r="S91" s="23" t="e">
        <f t="shared" si="3"/>
        <v>#DIV/0!</v>
      </c>
      <c r="T91" s="23" t="e">
        <f t="shared" si="4"/>
        <v>#DIV/0!</v>
      </c>
      <c r="U91" s="22" t="e">
        <f t="shared" si="5"/>
        <v>#DIV/0!</v>
      </c>
      <c r="V91" s="51"/>
      <c r="W91" s="54"/>
      <c r="X91" s="54" t="e">
        <f>+P91-W91</f>
        <v>#VALUE!</v>
      </c>
      <c r="Y91" s="44"/>
      <c r="Z91" s="44"/>
    </row>
    <row r="92" spans="1:26" ht="15.75" customHeight="1">
      <c r="A92" s="44"/>
      <c r="B92" s="14"/>
      <c r="C92" s="53"/>
      <c r="D92" s="15"/>
      <c r="E92" s="89"/>
      <c r="F92" s="16"/>
      <c r="G92" s="16"/>
      <c r="H92" s="90" t="str">
        <f>IF(G92="Regular",Listas!$K$16,IF(G92="Premium",Listas!$K$17,IF(G92="Diesel",Listas!$K$18,"-")))</f>
        <v>-</v>
      </c>
      <c r="I92" s="17"/>
      <c r="J92" s="18"/>
      <c r="K92" s="19" t="str">
        <f>+IFERROR(IF(G92="Regular",VLOOKUP(C92,'PRECIO TERMINAL PEMEX'!$B$4:$E$35,2,0),IF(G92="Premium",VLOOKUP(C92,'PRECIO TERMINAL PEMEX'!$B$4:$E$35,3,0),IF(G92="Diesel",VLOOKUP(C92,'PRECIO TERMINAL PEMEX'!$B$4:$E$35,4,0),"Seleccione Producto"))),"-")</f>
        <v>Seleccione Producto</v>
      </c>
      <c r="L92" s="93" t="str">
        <f>+IFERROR(IF(F92="VHSA",VLOOKUP(B92,Listas!$C$4:$F$17,2,0),IF(F92="DOS BOCAS",VLOOKUP(B92,Listas!$C$4:$F$17,3,0),IF(F92="GLENCORE",VLOOKUP(B92,Listas!$C$4:$F$17,4,0),"Seleccione TAR"))),"-")</f>
        <v>Seleccione TAR</v>
      </c>
      <c r="M92" s="19" t="str">
        <f>+IFERROR(IF(G92="Regular",VLOOKUP(C92,'DESCUENTO PROVEEDORES'!$B$4:$E$35,2,0),IF(G92="Premium",VLOOKUP(C92,'DESCUENTO PROVEEDORES'!$B$4:$E$35,3,0),IF(G92="Diesel",VLOOKUP(C92,'DESCUENTO PROVEEDORES'!$B$4:$E$35,4,0),"Seleccione Proveedor"))),"-")</f>
        <v>Seleccione Proveedor</v>
      </c>
      <c r="N92" s="20" t="e">
        <f>((((K92-H92)/1.16)-M92))</f>
        <v>#VALUE!</v>
      </c>
      <c r="O92" s="21" t="e">
        <f>((N92*16%)+N92)+H92+L92</f>
        <v>#VALUE!</v>
      </c>
      <c r="P92" s="21" t="e">
        <f>(((J92-O92)-H92)/1.16)+H92</f>
        <v>#VALUE!</v>
      </c>
      <c r="Q92" s="44"/>
      <c r="R92" s="24"/>
      <c r="S92" s="23" t="e">
        <f t="shared" si="3"/>
        <v>#DIV/0!</v>
      </c>
      <c r="T92" s="23" t="e">
        <f t="shared" si="4"/>
        <v>#DIV/0!</v>
      </c>
      <c r="U92" s="22" t="e">
        <f t="shared" si="5"/>
        <v>#DIV/0!</v>
      </c>
      <c r="V92" s="51"/>
      <c r="W92" s="54"/>
      <c r="X92" s="54" t="e">
        <f>+P92-W92</f>
        <v>#VALUE!</v>
      </c>
      <c r="Y92" s="44"/>
      <c r="Z92" s="44"/>
    </row>
    <row r="93" spans="1:26" ht="15.75" customHeight="1">
      <c r="A93" s="44"/>
      <c r="B93" s="14"/>
      <c r="C93" s="53"/>
      <c r="D93" s="15"/>
      <c r="E93" s="89"/>
      <c r="F93" s="16"/>
      <c r="G93" s="16"/>
      <c r="H93" s="90" t="str">
        <f>IF(G93="Regular",Listas!$K$16,IF(G93="Premium",Listas!$K$17,IF(G93="Diesel",Listas!$K$18,"-")))</f>
        <v>-</v>
      </c>
      <c r="I93" s="17"/>
      <c r="J93" s="18"/>
      <c r="K93" s="19" t="str">
        <f>+IFERROR(IF(G93="Regular",VLOOKUP(C93,'PRECIO TERMINAL PEMEX'!$B$4:$E$35,2,0),IF(G93="Premium",VLOOKUP(C93,'PRECIO TERMINAL PEMEX'!$B$4:$E$35,3,0),IF(G93="Diesel",VLOOKUP(C93,'PRECIO TERMINAL PEMEX'!$B$4:$E$35,4,0),"Seleccione Producto"))),"-")</f>
        <v>Seleccione Producto</v>
      </c>
      <c r="L93" s="93" t="str">
        <f>+IFERROR(IF(F93="VHSA",VLOOKUP(B93,Listas!$C$4:$F$17,2,0),IF(F93="DOS BOCAS",VLOOKUP(B93,Listas!$C$4:$F$17,3,0),IF(F93="GLENCORE",VLOOKUP(B93,Listas!$C$4:$F$17,4,0),"Seleccione TAR"))),"-")</f>
        <v>Seleccione TAR</v>
      </c>
      <c r="M93" s="19" t="str">
        <f>+IFERROR(IF(G93="Regular",VLOOKUP(C93,'DESCUENTO PROVEEDORES'!$B$4:$E$35,2,0),IF(G93="Premium",VLOOKUP(C93,'DESCUENTO PROVEEDORES'!$B$4:$E$35,3,0),IF(G93="Diesel",VLOOKUP(C93,'DESCUENTO PROVEEDORES'!$B$4:$E$35,4,0),"Seleccione Proveedor"))),"-")</f>
        <v>Seleccione Proveedor</v>
      </c>
      <c r="N93" s="20" t="e">
        <f>((((K93-H93)/1.16)-M93))</f>
        <v>#VALUE!</v>
      </c>
      <c r="O93" s="21" t="e">
        <f>((N93*16%)+N93)+H93+L93</f>
        <v>#VALUE!</v>
      </c>
      <c r="P93" s="21" t="e">
        <f>(((J93-O93)-H93)/1.16)+H93</f>
        <v>#VALUE!</v>
      </c>
      <c r="Q93" s="44"/>
      <c r="R93" s="24"/>
      <c r="S93" s="23" t="e">
        <f t="shared" si="3"/>
        <v>#DIV/0!</v>
      </c>
      <c r="T93" s="23" t="e">
        <f t="shared" si="4"/>
        <v>#DIV/0!</v>
      </c>
      <c r="U93" s="22" t="e">
        <f t="shared" si="5"/>
        <v>#DIV/0!</v>
      </c>
      <c r="V93" s="51"/>
      <c r="W93" s="54"/>
      <c r="X93" s="54" t="e">
        <f>+P93-W93</f>
        <v>#VALUE!</v>
      </c>
      <c r="Y93" s="44"/>
      <c r="Z93" s="44"/>
    </row>
    <row r="94" spans="1:26" ht="15.75" customHeight="1">
      <c r="A94" s="44"/>
      <c r="B94" s="14"/>
      <c r="C94" s="53"/>
      <c r="D94" s="15"/>
      <c r="E94" s="89"/>
      <c r="F94" s="16"/>
      <c r="G94" s="16"/>
      <c r="H94" s="90" t="str">
        <f>IF(G94="Regular",Listas!$K$16,IF(G94="Premium",Listas!$K$17,IF(G94="Diesel",Listas!$K$18,"-")))</f>
        <v>-</v>
      </c>
      <c r="I94" s="17"/>
      <c r="J94" s="18"/>
      <c r="K94" s="19" t="str">
        <f>+IFERROR(IF(G94="Regular",VLOOKUP(C94,'PRECIO TERMINAL PEMEX'!$B$4:$E$35,2,0),IF(G94="Premium",VLOOKUP(C94,'PRECIO TERMINAL PEMEX'!$B$4:$E$35,3,0),IF(G94="Diesel",VLOOKUP(C94,'PRECIO TERMINAL PEMEX'!$B$4:$E$35,4,0),"Seleccione Producto"))),"-")</f>
        <v>Seleccione Producto</v>
      </c>
      <c r="L94" s="93" t="str">
        <f>+IFERROR(IF(F94="VHSA",VLOOKUP(B94,Listas!$C$4:$F$17,2,0),IF(F94="DOS BOCAS",VLOOKUP(B94,Listas!$C$4:$F$17,3,0),IF(F94="GLENCORE",VLOOKUP(B94,Listas!$C$4:$F$17,4,0),"Seleccione TAR"))),"-")</f>
        <v>Seleccione TAR</v>
      </c>
      <c r="M94" s="19" t="str">
        <f>+IFERROR(IF(G94="Regular",VLOOKUP(C94,'DESCUENTO PROVEEDORES'!$B$4:$E$35,2,0),IF(G94="Premium",VLOOKUP(C94,'DESCUENTO PROVEEDORES'!$B$4:$E$35,3,0),IF(G94="Diesel",VLOOKUP(C94,'DESCUENTO PROVEEDORES'!$B$4:$E$35,4,0),"Seleccione Proveedor"))),"-")</f>
        <v>Seleccione Proveedor</v>
      </c>
      <c r="N94" s="20" t="e">
        <f>((((K94-H94)/1.16)-M94))</f>
        <v>#VALUE!</v>
      </c>
      <c r="O94" s="21" t="e">
        <f>((N94*16%)+N94)+H94+L94</f>
        <v>#VALUE!</v>
      </c>
      <c r="P94" s="21" t="e">
        <f>(((J94-O94)-H94)/1.16)+H94</f>
        <v>#VALUE!</v>
      </c>
      <c r="Q94" s="44"/>
      <c r="R94" s="24"/>
      <c r="S94" s="23" t="e">
        <f t="shared" si="3"/>
        <v>#DIV/0!</v>
      </c>
      <c r="T94" s="23" t="e">
        <f t="shared" si="4"/>
        <v>#DIV/0!</v>
      </c>
      <c r="U94" s="22" t="e">
        <f t="shared" si="5"/>
        <v>#DIV/0!</v>
      </c>
      <c r="V94" s="51"/>
      <c r="W94" s="54"/>
      <c r="X94" s="54" t="e">
        <f>+P94-W94</f>
        <v>#VALUE!</v>
      </c>
      <c r="Y94" s="44"/>
      <c r="Z94" s="44"/>
    </row>
    <row r="95" spans="1:26" ht="15.75" customHeight="1">
      <c r="A95" s="44"/>
      <c r="B95" s="14"/>
      <c r="C95" s="53"/>
      <c r="D95" s="15"/>
      <c r="E95" s="89"/>
      <c r="F95" s="16"/>
      <c r="G95" s="16"/>
      <c r="H95" s="90" t="str">
        <f>IF(G95="Regular",Listas!$K$16,IF(G95="Premium",Listas!$K$17,IF(G95="Diesel",Listas!$K$18,"-")))</f>
        <v>-</v>
      </c>
      <c r="I95" s="17"/>
      <c r="J95" s="18"/>
      <c r="K95" s="19" t="str">
        <f>+IFERROR(IF(G95="Regular",VLOOKUP(C95,'PRECIO TERMINAL PEMEX'!$B$4:$E$35,2,0),IF(G95="Premium",VLOOKUP(C95,'PRECIO TERMINAL PEMEX'!$B$4:$E$35,3,0),IF(G95="Diesel",VLOOKUP(C95,'PRECIO TERMINAL PEMEX'!$B$4:$E$35,4,0),"Seleccione Producto"))),"-")</f>
        <v>Seleccione Producto</v>
      </c>
      <c r="L95" s="93" t="str">
        <f>+IFERROR(IF(F95="VHSA",VLOOKUP(B95,Listas!$C$4:$F$17,2,0),IF(F95="DOS BOCAS",VLOOKUP(B95,Listas!$C$4:$F$17,3,0),IF(F95="GLENCORE",VLOOKUP(B95,Listas!$C$4:$F$17,4,0),"Seleccione TAR"))),"-")</f>
        <v>Seleccione TAR</v>
      </c>
      <c r="M95" s="19" t="str">
        <f>+IFERROR(IF(G95="Regular",VLOOKUP(C95,'DESCUENTO PROVEEDORES'!$B$4:$E$35,2,0),IF(G95="Premium",VLOOKUP(C95,'DESCUENTO PROVEEDORES'!$B$4:$E$35,3,0),IF(G95="Diesel",VLOOKUP(C95,'DESCUENTO PROVEEDORES'!$B$4:$E$35,4,0),"Seleccione Proveedor"))),"-")</f>
        <v>Seleccione Proveedor</v>
      </c>
      <c r="N95" s="20" t="e">
        <f>((((K95-H95)/1.16)-M95))</f>
        <v>#VALUE!</v>
      </c>
      <c r="O95" s="21" t="e">
        <f>((N95*16%)+N95)+H95+L95</f>
        <v>#VALUE!</v>
      </c>
      <c r="P95" s="21" t="e">
        <f>(((J95-O95)-H95)/1.16)+H95</f>
        <v>#VALUE!</v>
      </c>
      <c r="Q95" s="44"/>
      <c r="R95" s="24"/>
      <c r="S95" s="23" t="e">
        <f t="shared" si="3"/>
        <v>#DIV/0!</v>
      </c>
      <c r="T95" s="23" t="e">
        <f t="shared" si="4"/>
        <v>#DIV/0!</v>
      </c>
      <c r="U95" s="22" t="e">
        <f t="shared" si="5"/>
        <v>#DIV/0!</v>
      </c>
      <c r="V95" s="51"/>
      <c r="W95" s="54"/>
      <c r="X95" s="54" t="e">
        <f>+P95-W95</f>
        <v>#VALUE!</v>
      </c>
      <c r="Y95" s="44"/>
      <c r="Z95" s="44"/>
    </row>
    <row r="96" spans="1:26" ht="15.75" customHeight="1">
      <c r="A96" s="44"/>
      <c r="B96" s="14"/>
      <c r="C96" s="53"/>
      <c r="D96" s="15"/>
      <c r="E96" s="89"/>
      <c r="F96" s="16"/>
      <c r="G96" s="16"/>
      <c r="H96" s="90" t="str">
        <f>IF(G96="Regular",Listas!$K$16,IF(G96="Premium",Listas!$K$17,IF(G96="Diesel",Listas!$K$18,"-")))</f>
        <v>-</v>
      </c>
      <c r="I96" s="17"/>
      <c r="J96" s="18"/>
      <c r="K96" s="19" t="str">
        <f>+IFERROR(IF(G96="Regular",VLOOKUP(C96,'PRECIO TERMINAL PEMEX'!$B$4:$E$35,2,0),IF(G96="Premium",VLOOKUP(C96,'PRECIO TERMINAL PEMEX'!$B$4:$E$35,3,0),IF(G96="Diesel",VLOOKUP(C96,'PRECIO TERMINAL PEMEX'!$B$4:$E$35,4,0),"Seleccione Producto"))),"-")</f>
        <v>Seleccione Producto</v>
      </c>
      <c r="L96" s="93" t="str">
        <f>+IFERROR(IF(F96="VHSA",VLOOKUP(B96,Listas!$C$4:$F$17,2,0),IF(F96="DOS BOCAS",VLOOKUP(B96,Listas!$C$4:$F$17,3,0),IF(F96="GLENCORE",VLOOKUP(B96,Listas!$C$4:$F$17,4,0),"Seleccione TAR"))),"-")</f>
        <v>Seleccione TAR</v>
      </c>
      <c r="M96" s="19" t="str">
        <f>+IFERROR(IF(G96="Regular",VLOOKUP(C96,'DESCUENTO PROVEEDORES'!$B$4:$E$35,2,0),IF(G96="Premium",VLOOKUP(C96,'DESCUENTO PROVEEDORES'!$B$4:$E$35,3,0),IF(G96="Diesel",VLOOKUP(C96,'DESCUENTO PROVEEDORES'!$B$4:$E$35,4,0),"Seleccione Proveedor"))),"-")</f>
        <v>Seleccione Proveedor</v>
      </c>
      <c r="N96" s="20" t="e">
        <f>((((K96-H96)/1.16)-M96))</f>
        <v>#VALUE!</v>
      </c>
      <c r="O96" s="21" t="e">
        <f>((N96*16%)+N96)+H96+L96</f>
        <v>#VALUE!</v>
      </c>
      <c r="P96" s="21" t="e">
        <f>(((J96-O96)-H96)/1.16)+H96</f>
        <v>#VALUE!</v>
      </c>
      <c r="Q96" s="44"/>
      <c r="R96" s="24"/>
      <c r="S96" s="23" t="e">
        <f t="shared" si="3"/>
        <v>#DIV/0!</v>
      </c>
      <c r="T96" s="23" t="e">
        <f t="shared" si="4"/>
        <v>#DIV/0!</v>
      </c>
      <c r="U96" s="22" t="e">
        <f t="shared" si="5"/>
        <v>#DIV/0!</v>
      </c>
      <c r="V96" s="51"/>
      <c r="W96" s="54"/>
      <c r="X96" s="54" t="e">
        <f>+P96-W96</f>
        <v>#VALUE!</v>
      </c>
      <c r="Y96" s="44"/>
      <c r="Z96" s="44"/>
    </row>
    <row r="97" spans="1:26" ht="15.75" customHeight="1">
      <c r="A97" s="44"/>
      <c r="B97" s="14"/>
      <c r="C97" s="53"/>
      <c r="D97" s="15"/>
      <c r="E97" s="89"/>
      <c r="F97" s="16"/>
      <c r="G97" s="16"/>
      <c r="H97" s="90" t="str">
        <f>IF(G97="Regular",Listas!$K$16,IF(G97="Premium",Listas!$K$17,IF(G97="Diesel",Listas!$K$18,"-")))</f>
        <v>-</v>
      </c>
      <c r="I97" s="17"/>
      <c r="J97" s="18"/>
      <c r="K97" s="19" t="str">
        <f>+IFERROR(IF(G97="Regular",VLOOKUP(C97,'PRECIO TERMINAL PEMEX'!$B$4:$E$35,2,0),IF(G97="Premium",VLOOKUP(C97,'PRECIO TERMINAL PEMEX'!$B$4:$E$35,3,0),IF(G97="Diesel",VLOOKUP(C97,'PRECIO TERMINAL PEMEX'!$B$4:$E$35,4,0),"Seleccione Producto"))),"-")</f>
        <v>Seleccione Producto</v>
      </c>
      <c r="L97" s="93" t="str">
        <f>+IFERROR(IF(F97="VHSA",VLOOKUP(B97,Listas!$C$4:$F$17,2,0),IF(F97="DOS BOCAS",VLOOKUP(B97,Listas!$C$4:$F$17,3,0),IF(F97="GLENCORE",VLOOKUP(B97,Listas!$C$4:$F$17,4,0),"Seleccione TAR"))),"-")</f>
        <v>Seleccione TAR</v>
      </c>
      <c r="M97" s="19" t="str">
        <f>+IFERROR(IF(G97="Regular",VLOOKUP(C97,'DESCUENTO PROVEEDORES'!$B$4:$E$35,2,0),IF(G97="Premium",VLOOKUP(C97,'DESCUENTO PROVEEDORES'!$B$4:$E$35,3,0),IF(G97="Diesel",VLOOKUP(C97,'DESCUENTO PROVEEDORES'!$B$4:$E$35,4,0),"Seleccione Proveedor"))),"-")</f>
        <v>Seleccione Proveedor</v>
      </c>
      <c r="N97" s="20" t="e">
        <f>((((K97-H97)/1.16)-M97))</f>
        <v>#VALUE!</v>
      </c>
      <c r="O97" s="21" t="e">
        <f>((N97*16%)+N97)+H97+L97</f>
        <v>#VALUE!</v>
      </c>
      <c r="P97" s="21" t="e">
        <f>(((J97-O97)-H97)/1.16)+H97</f>
        <v>#VALUE!</v>
      </c>
      <c r="Q97" s="44"/>
      <c r="R97" s="24"/>
      <c r="S97" s="23" t="e">
        <f t="shared" si="3"/>
        <v>#DIV/0!</v>
      </c>
      <c r="T97" s="23" t="e">
        <f t="shared" si="4"/>
        <v>#DIV/0!</v>
      </c>
      <c r="U97" s="22" t="e">
        <f t="shared" si="5"/>
        <v>#DIV/0!</v>
      </c>
      <c r="V97" s="51"/>
      <c r="W97" s="54"/>
      <c r="X97" s="54" t="e">
        <f>+P97-W97</f>
        <v>#VALUE!</v>
      </c>
      <c r="Y97" s="44"/>
      <c r="Z97" s="44"/>
    </row>
    <row r="98" spans="1:26" ht="15.75" customHeight="1">
      <c r="A98" s="44"/>
      <c r="B98" s="14"/>
      <c r="C98" s="53"/>
      <c r="D98" s="15"/>
      <c r="E98" s="89"/>
      <c r="F98" s="16"/>
      <c r="G98" s="16"/>
      <c r="H98" s="90" t="str">
        <f>IF(G98="Regular",Listas!$K$16,IF(G98="Premium",Listas!$K$17,IF(G98="Diesel",Listas!$K$18,"-")))</f>
        <v>-</v>
      </c>
      <c r="I98" s="17"/>
      <c r="J98" s="18"/>
      <c r="K98" s="19" t="str">
        <f>+IFERROR(IF(G98="Regular",VLOOKUP(C98,'PRECIO TERMINAL PEMEX'!$B$4:$E$35,2,0),IF(G98="Premium",VLOOKUP(C98,'PRECIO TERMINAL PEMEX'!$B$4:$E$35,3,0),IF(G98="Diesel",VLOOKUP(C98,'PRECIO TERMINAL PEMEX'!$B$4:$E$35,4,0),"Seleccione Producto"))),"-")</f>
        <v>Seleccione Producto</v>
      </c>
      <c r="L98" s="93" t="str">
        <f>+IFERROR(IF(F98="VHSA",VLOOKUP(B98,Listas!$C$4:$F$17,2,0),IF(F98="DOS BOCAS",VLOOKUP(B98,Listas!$C$4:$F$17,3,0),IF(F98="GLENCORE",VLOOKUP(B98,Listas!$C$4:$F$17,4,0),"Seleccione TAR"))),"-")</f>
        <v>Seleccione TAR</v>
      </c>
      <c r="M98" s="19" t="str">
        <f>+IFERROR(IF(G98="Regular",VLOOKUP(C98,'DESCUENTO PROVEEDORES'!$B$4:$E$35,2,0),IF(G98="Premium",VLOOKUP(C98,'DESCUENTO PROVEEDORES'!$B$4:$E$35,3,0),IF(G98="Diesel",VLOOKUP(C98,'DESCUENTO PROVEEDORES'!$B$4:$E$35,4,0),"Seleccione Proveedor"))),"-")</f>
        <v>Seleccione Proveedor</v>
      </c>
      <c r="N98" s="20" t="e">
        <f>((((K98-H98)/1.16)-M98))</f>
        <v>#VALUE!</v>
      </c>
      <c r="O98" s="21" t="e">
        <f>((N98*16%)+N98)+H98+L98</f>
        <v>#VALUE!</v>
      </c>
      <c r="P98" s="21" t="e">
        <f>(((J98-O98)-H98)/1.16)+H98</f>
        <v>#VALUE!</v>
      </c>
      <c r="Q98" s="44"/>
      <c r="R98" s="24"/>
      <c r="S98" s="23" t="e">
        <f t="shared" si="3"/>
        <v>#DIV/0!</v>
      </c>
      <c r="T98" s="23" t="e">
        <f t="shared" si="4"/>
        <v>#DIV/0!</v>
      </c>
      <c r="U98" s="22" t="e">
        <f t="shared" si="5"/>
        <v>#DIV/0!</v>
      </c>
      <c r="V98" s="51"/>
      <c r="W98" s="54"/>
      <c r="X98" s="54" t="e">
        <f>+P98-W98</f>
        <v>#VALUE!</v>
      </c>
      <c r="Y98" s="44"/>
      <c r="Z98" s="44"/>
    </row>
    <row r="99" spans="1:26" ht="15.75" customHeight="1">
      <c r="A99" s="44"/>
      <c r="B99" s="14"/>
      <c r="C99" s="53"/>
      <c r="D99" s="15"/>
      <c r="E99" s="89"/>
      <c r="F99" s="16"/>
      <c r="G99" s="16"/>
      <c r="H99" s="90" t="str">
        <f>IF(G99="Regular",Listas!$K$16,IF(G99="Premium",Listas!$K$17,IF(G99="Diesel",Listas!$K$18,"-")))</f>
        <v>-</v>
      </c>
      <c r="I99" s="17"/>
      <c r="J99" s="18"/>
      <c r="K99" s="19" t="str">
        <f>+IFERROR(IF(G99="Regular",VLOOKUP(C99,'PRECIO TERMINAL PEMEX'!$B$4:$E$35,2,0),IF(G99="Premium",VLOOKUP(C99,'PRECIO TERMINAL PEMEX'!$B$4:$E$35,3,0),IF(G99="Diesel",VLOOKUP(C99,'PRECIO TERMINAL PEMEX'!$B$4:$E$35,4,0),"Seleccione Producto"))),"-")</f>
        <v>Seleccione Producto</v>
      </c>
      <c r="L99" s="93" t="str">
        <f>+IFERROR(IF(F99="VHSA",VLOOKUP(B99,Listas!$C$4:$F$17,2,0),IF(F99="DOS BOCAS",VLOOKUP(B99,Listas!$C$4:$F$17,3,0),IF(F99="GLENCORE",VLOOKUP(B99,Listas!$C$4:$F$17,4,0),"Seleccione TAR"))),"-")</f>
        <v>Seleccione TAR</v>
      </c>
      <c r="M99" s="19" t="str">
        <f>+IFERROR(IF(G99="Regular",VLOOKUP(C99,'DESCUENTO PROVEEDORES'!$B$4:$E$35,2,0),IF(G99="Premium",VLOOKUP(C99,'DESCUENTO PROVEEDORES'!$B$4:$E$35,3,0),IF(G99="Diesel",VLOOKUP(C99,'DESCUENTO PROVEEDORES'!$B$4:$E$35,4,0),"Seleccione Proveedor"))),"-")</f>
        <v>Seleccione Proveedor</v>
      </c>
      <c r="N99" s="20" t="e">
        <f>((((K99-H99)/1.16)-M99))</f>
        <v>#VALUE!</v>
      </c>
      <c r="O99" s="21" t="e">
        <f>((N99*16%)+N99)+H99+L99</f>
        <v>#VALUE!</v>
      </c>
      <c r="P99" s="21" t="e">
        <f>(((J99-O99)-H99)/1.16)+H99</f>
        <v>#VALUE!</v>
      </c>
      <c r="Q99" s="44"/>
      <c r="R99" s="24"/>
      <c r="S99" s="23" t="e">
        <f t="shared" si="3"/>
        <v>#DIV/0!</v>
      </c>
      <c r="T99" s="23" t="e">
        <f t="shared" si="4"/>
        <v>#DIV/0!</v>
      </c>
      <c r="U99" s="22" t="e">
        <f t="shared" si="5"/>
        <v>#DIV/0!</v>
      </c>
      <c r="V99" s="51"/>
      <c r="W99" s="54"/>
      <c r="X99" s="54" t="e">
        <f>+P99-W99</f>
        <v>#VALUE!</v>
      </c>
      <c r="Y99" s="44"/>
      <c r="Z99" s="44"/>
    </row>
    <row r="100" spans="1:26" ht="15.75" customHeight="1">
      <c r="A100" s="44"/>
      <c r="B100" s="14"/>
      <c r="C100" s="53"/>
      <c r="D100" s="15"/>
      <c r="E100" s="89"/>
      <c r="F100" s="16"/>
      <c r="G100" s="16"/>
      <c r="H100" s="90" t="str">
        <f>IF(G100="Regular",Listas!$K$16,IF(G100="Premium",Listas!$K$17,IF(G100="Diesel",Listas!$K$18,"-")))</f>
        <v>-</v>
      </c>
      <c r="I100" s="17"/>
      <c r="J100" s="18"/>
      <c r="K100" s="19" t="str">
        <f>+IFERROR(IF(G100="Regular",VLOOKUP(C100,'PRECIO TERMINAL PEMEX'!$B$4:$E$35,2,0),IF(G100="Premium",VLOOKUP(C100,'PRECIO TERMINAL PEMEX'!$B$4:$E$35,3,0),IF(G100="Diesel",VLOOKUP(C100,'PRECIO TERMINAL PEMEX'!$B$4:$E$35,4,0),"Seleccione Producto"))),"-")</f>
        <v>Seleccione Producto</v>
      </c>
      <c r="L100" s="93" t="str">
        <f>+IFERROR(IF(F100="VHSA",VLOOKUP(B100,Listas!$C$4:$F$17,2,0),IF(F100="DOS BOCAS",VLOOKUP(B100,Listas!$C$4:$F$17,3,0),IF(F100="GLENCORE",VLOOKUP(B100,Listas!$C$4:$F$17,4,0),"Seleccione TAR"))),"-")</f>
        <v>Seleccione TAR</v>
      </c>
      <c r="M100" s="19" t="str">
        <f>+IFERROR(IF(G100="Regular",VLOOKUP(C100,'DESCUENTO PROVEEDORES'!$B$4:$E$35,2,0),IF(G100="Premium",VLOOKUP(C100,'DESCUENTO PROVEEDORES'!$B$4:$E$35,3,0),IF(G100="Diesel",VLOOKUP(C100,'DESCUENTO PROVEEDORES'!$B$4:$E$35,4,0),"Seleccione Proveedor"))),"-")</f>
        <v>Seleccione Proveedor</v>
      </c>
      <c r="N100" s="20" t="e">
        <f>((((K100-H100)/1.16)-M100))</f>
        <v>#VALUE!</v>
      </c>
      <c r="O100" s="21" t="e">
        <f>((N100*16%)+N100)+H100+L100</f>
        <v>#VALUE!</v>
      </c>
      <c r="P100" s="21" t="e">
        <f>(((J100-O100)-H100)/1.16)+H100</f>
        <v>#VALUE!</v>
      </c>
      <c r="Q100" s="44"/>
      <c r="R100" s="24"/>
      <c r="S100" s="23" t="e">
        <f t="shared" si="3"/>
        <v>#DIV/0!</v>
      </c>
      <c r="T100" s="23" t="e">
        <f t="shared" si="4"/>
        <v>#DIV/0!</v>
      </c>
      <c r="U100" s="22" t="e">
        <f t="shared" si="5"/>
        <v>#DIV/0!</v>
      </c>
      <c r="V100" s="51"/>
      <c r="W100" s="54"/>
      <c r="X100" s="54" t="e">
        <f>+P100-W100</f>
        <v>#VALUE!</v>
      </c>
      <c r="Y100" s="44"/>
      <c r="Z100" s="44"/>
    </row>
    <row r="101" spans="1:26" ht="15.75" customHeight="1">
      <c r="A101" s="44"/>
      <c r="B101" s="14"/>
      <c r="C101" s="53"/>
      <c r="D101" s="15"/>
      <c r="E101" s="89"/>
      <c r="F101" s="16"/>
      <c r="G101" s="16"/>
      <c r="H101" s="90" t="str">
        <f>IF(G101="Regular",Listas!$K$16,IF(G101="Premium",Listas!$K$17,IF(G101="Diesel",Listas!$K$18,"-")))</f>
        <v>-</v>
      </c>
      <c r="I101" s="17"/>
      <c r="J101" s="18"/>
      <c r="K101" s="19" t="str">
        <f>+IFERROR(IF(G101="Regular",VLOOKUP(C101,'PRECIO TERMINAL PEMEX'!$B$4:$E$35,2,0),IF(G101="Premium",VLOOKUP(C101,'PRECIO TERMINAL PEMEX'!$B$4:$E$35,3,0),IF(G101="Diesel",VLOOKUP(C101,'PRECIO TERMINAL PEMEX'!$B$4:$E$35,4,0),"Seleccione Producto"))),"-")</f>
        <v>Seleccione Producto</v>
      </c>
      <c r="L101" s="93" t="str">
        <f>+IFERROR(IF(F101="VHSA",VLOOKUP(B101,Listas!$C$4:$F$17,2,0),IF(F101="DOS BOCAS",VLOOKUP(B101,Listas!$C$4:$F$17,3,0),IF(F101="GLENCORE",VLOOKUP(B101,Listas!$C$4:$F$17,4,0),"Seleccione TAR"))),"-")</f>
        <v>Seleccione TAR</v>
      </c>
      <c r="M101" s="19" t="str">
        <f>+IFERROR(IF(G101="Regular",VLOOKUP(C101,'DESCUENTO PROVEEDORES'!$B$4:$E$35,2,0),IF(G101="Premium",VLOOKUP(C101,'DESCUENTO PROVEEDORES'!$B$4:$E$35,3,0),IF(G101="Diesel",VLOOKUP(C101,'DESCUENTO PROVEEDORES'!$B$4:$E$35,4,0),"Seleccione Proveedor"))),"-")</f>
        <v>Seleccione Proveedor</v>
      </c>
      <c r="N101" s="20" t="e">
        <f>((((K101-H101)/1.16)-M101))</f>
        <v>#VALUE!</v>
      </c>
      <c r="O101" s="21" t="e">
        <f>((N101*16%)+N101)+H101+L101</f>
        <v>#VALUE!</v>
      </c>
      <c r="P101" s="21" t="e">
        <f>(((J101-O101)-H101)/1.16)+H101</f>
        <v>#VALUE!</v>
      </c>
      <c r="Q101" s="44"/>
      <c r="R101" s="24"/>
      <c r="S101" s="23" t="e">
        <f t="shared" si="3"/>
        <v>#DIV/0!</v>
      </c>
      <c r="T101" s="23" t="e">
        <f t="shared" si="4"/>
        <v>#DIV/0!</v>
      </c>
      <c r="U101" s="22" t="e">
        <f t="shared" si="5"/>
        <v>#DIV/0!</v>
      </c>
      <c r="V101" s="51"/>
      <c r="W101" s="54"/>
      <c r="X101" s="54" t="e">
        <f>+P101-W101</f>
        <v>#VALUE!</v>
      </c>
      <c r="Y101" s="44"/>
      <c r="Z101" s="44"/>
    </row>
    <row r="102" spans="1:26" ht="15.75" customHeight="1">
      <c r="A102" s="44"/>
      <c r="B102" s="14"/>
      <c r="C102" s="53"/>
      <c r="D102" s="15"/>
      <c r="E102" s="89"/>
      <c r="F102" s="16"/>
      <c r="G102" s="16"/>
      <c r="H102" s="90" t="str">
        <f>IF(G102="Regular",Listas!$K$16,IF(G102="Premium",Listas!$K$17,IF(G102="Diesel",Listas!$K$18,"-")))</f>
        <v>-</v>
      </c>
      <c r="I102" s="17"/>
      <c r="J102" s="18"/>
      <c r="K102" s="19" t="str">
        <f>+IFERROR(IF(G102="Regular",VLOOKUP(C102,'PRECIO TERMINAL PEMEX'!$B$4:$E$35,2,0),IF(G102="Premium",VLOOKUP(C102,'PRECIO TERMINAL PEMEX'!$B$4:$E$35,3,0),IF(G102="Diesel",VLOOKUP(C102,'PRECIO TERMINAL PEMEX'!$B$4:$E$35,4,0),"Seleccione Producto"))),"-")</f>
        <v>Seleccione Producto</v>
      </c>
      <c r="L102" s="93" t="str">
        <f>+IFERROR(IF(F102="VHSA",VLOOKUP(B102,Listas!$C$4:$F$17,2,0),IF(F102="DOS BOCAS",VLOOKUP(B102,Listas!$C$4:$F$17,3,0),IF(F102="GLENCORE",VLOOKUP(B102,Listas!$C$4:$F$17,4,0),"Seleccione TAR"))),"-")</f>
        <v>Seleccione TAR</v>
      </c>
      <c r="M102" s="19" t="str">
        <f>+IFERROR(IF(G102="Regular",VLOOKUP(C102,'DESCUENTO PROVEEDORES'!$B$4:$E$35,2,0),IF(G102="Premium",VLOOKUP(C102,'DESCUENTO PROVEEDORES'!$B$4:$E$35,3,0),IF(G102="Diesel",VLOOKUP(C102,'DESCUENTO PROVEEDORES'!$B$4:$E$35,4,0),"Seleccione Proveedor"))),"-")</f>
        <v>Seleccione Proveedor</v>
      </c>
      <c r="N102" s="20" t="e">
        <f>((((K102-H102)/1.16)-M102))</f>
        <v>#VALUE!</v>
      </c>
      <c r="O102" s="21" t="e">
        <f>((N102*16%)+N102)+H102+L102</f>
        <v>#VALUE!</v>
      </c>
      <c r="P102" s="21" t="e">
        <f>(((J102-O102)-H102)/1.16)+H102</f>
        <v>#VALUE!</v>
      </c>
      <c r="Q102" s="44"/>
      <c r="R102" s="24"/>
      <c r="S102" s="23" t="e">
        <f t="shared" si="3"/>
        <v>#DIV/0!</v>
      </c>
      <c r="T102" s="23" t="e">
        <f t="shared" si="4"/>
        <v>#DIV/0!</v>
      </c>
      <c r="U102" s="22" t="e">
        <f t="shared" si="5"/>
        <v>#DIV/0!</v>
      </c>
      <c r="V102" s="51"/>
      <c r="W102" s="54"/>
      <c r="X102" s="54" t="e">
        <f>+P102-W102</f>
        <v>#VALUE!</v>
      </c>
      <c r="Y102" s="44"/>
      <c r="Z102" s="44"/>
    </row>
    <row r="103" spans="1:26" ht="15.75" customHeight="1">
      <c r="A103" s="44"/>
      <c r="B103" s="14"/>
      <c r="C103" s="53"/>
      <c r="D103" s="15"/>
      <c r="E103" s="89"/>
      <c r="F103" s="16"/>
      <c r="G103" s="16"/>
      <c r="H103" s="90" t="str">
        <f>IF(G103="Regular",Listas!$K$16,IF(G103="Premium",Listas!$K$17,IF(G103="Diesel",Listas!$K$18,"-")))</f>
        <v>-</v>
      </c>
      <c r="I103" s="17"/>
      <c r="J103" s="18"/>
      <c r="K103" s="19" t="str">
        <f>+IFERROR(IF(G103="Regular",VLOOKUP(C103,'PRECIO TERMINAL PEMEX'!$B$4:$E$35,2,0),IF(G103="Premium",VLOOKUP(C103,'PRECIO TERMINAL PEMEX'!$B$4:$E$35,3,0),IF(G103="Diesel",VLOOKUP(C103,'PRECIO TERMINAL PEMEX'!$B$4:$E$35,4,0),"Seleccione Producto"))),"-")</f>
        <v>Seleccione Producto</v>
      </c>
      <c r="L103" s="93" t="str">
        <f>+IFERROR(IF(F103="VHSA",VLOOKUP(B103,Listas!$C$4:$F$17,2,0),IF(F103="DOS BOCAS",VLOOKUP(B103,Listas!$C$4:$F$17,3,0),IF(F103="GLENCORE",VLOOKUP(B103,Listas!$C$4:$F$17,4,0),"Seleccione TAR"))),"-")</f>
        <v>Seleccione TAR</v>
      </c>
      <c r="M103" s="19" t="str">
        <f>+IFERROR(IF(G103="Regular",VLOOKUP(C103,'DESCUENTO PROVEEDORES'!$B$4:$E$35,2,0),IF(G103="Premium",VLOOKUP(C103,'DESCUENTO PROVEEDORES'!$B$4:$E$35,3,0),IF(G103="Diesel",VLOOKUP(C103,'DESCUENTO PROVEEDORES'!$B$4:$E$35,4,0),"Seleccione Proveedor"))),"-")</f>
        <v>Seleccione Proveedor</v>
      </c>
      <c r="N103" s="20" t="e">
        <f>((((K103-H103)/1.16)-M103))</f>
        <v>#VALUE!</v>
      </c>
      <c r="O103" s="21" t="e">
        <f>((N103*16%)+N103)+H103+L103</f>
        <v>#VALUE!</v>
      </c>
      <c r="P103" s="21" t="e">
        <f>(((J103-O103)-H103)/1.16)+H103</f>
        <v>#VALUE!</v>
      </c>
      <c r="Q103" s="44"/>
      <c r="R103" s="24"/>
      <c r="S103" s="23" t="e">
        <f t="shared" si="3"/>
        <v>#DIV/0!</v>
      </c>
      <c r="T103" s="23" t="e">
        <f t="shared" si="4"/>
        <v>#DIV/0!</v>
      </c>
      <c r="U103" s="22" t="e">
        <f t="shared" si="5"/>
        <v>#DIV/0!</v>
      </c>
      <c r="V103" s="51"/>
      <c r="W103" s="54"/>
      <c r="X103" s="54" t="e">
        <f>+P103-W103</f>
        <v>#VALUE!</v>
      </c>
      <c r="Y103" s="44"/>
      <c r="Z103" s="44"/>
    </row>
    <row r="104" spans="1:26" ht="15.75" customHeight="1">
      <c r="A104" s="44"/>
      <c r="B104" s="14"/>
      <c r="C104" s="53"/>
      <c r="D104" s="15"/>
      <c r="E104" s="89"/>
      <c r="F104" s="16"/>
      <c r="G104" s="16"/>
      <c r="H104" s="90" t="str">
        <f>IF(G104="Regular",Listas!$K$16,IF(G104="Premium",Listas!$K$17,IF(G104="Diesel",Listas!$K$18,"-")))</f>
        <v>-</v>
      </c>
      <c r="I104" s="17"/>
      <c r="J104" s="18"/>
      <c r="K104" s="19" t="str">
        <f>+IFERROR(IF(G104="Regular",VLOOKUP(C104,'PRECIO TERMINAL PEMEX'!$B$4:$E$35,2,0),IF(G104="Premium",VLOOKUP(C104,'PRECIO TERMINAL PEMEX'!$B$4:$E$35,3,0),IF(G104="Diesel",VLOOKUP(C104,'PRECIO TERMINAL PEMEX'!$B$4:$E$35,4,0),"Seleccione Producto"))),"-")</f>
        <v>Seleccione Producto</v>
      </c>
      <c r="L104" s="93" t="str">
        <f>+IFERROR(IF(F104="VHSA",VLOOKUP(B104,Listas!$C$4:$F$17,2,0),IF(F104="DOS BOCAS",VLOOKUP(B104,Listas!$C$4:$F$17,3,0),IF(F104="GLENCORE",VLOOKUP(B104,Listas!$C$4:$F$17,4,0),"Seleccione TAR"))),"-")</f>
        <v>Seleccione TAR</v>
      </c>
      <c r="M104" s="19" t="str">
        <f>+IFERROR(IF(G104="Regular",VLOOKUP(C104,'DESCUENTO PROVEEDORES'!$B$4:$E$35,2,0),IF(G104="Premium",VLOOKUP(C104,'DESCUENTO PROVEEDORES'!$B$4:$E$35,3,0),IF(G104="Diesel",VLOOKUP(C104,'DESCUENTO PROVEEDORES'!$B$4:$E$35,4,0),"Seleccione Proveedor"))),"-")</f>
        <v>Seleccione Proveedor</v>
      </c>
      <c r="N104" s="20" t="e">
        <f>((((K104-H104)/1.16)-M104))</f>
        <v>#VALUE!</v>
      </c>
      <c r="O104" s="21" t="e">
        <f>((N104*16%)+N104)+H104+L104</f>
        <v>#VALUE!</v>
      </c>
      <c r="P104" s="21" t="e">
        <f>(((J104-O104)-H104)/1.16)+H104</f>
        <v>#VALUE!</v>
      </c>
      <c r="Q104" s="44"/>
      <c r="R104" s="24"/>
      <c r="S104" s="23" t="e">
        <f t="shared" si="3"/>
        <v>#DIV/0!</v>
      </c>
      <c r="T104" s="23" t="e">
        <f t="shared" si="4"/>
        <v>#DIV/0!</v>
      </c>
      <c r="U104" s="22" t="e">
        <f t="shared" si="5"/>
        <v>#DIV/0!</v>
      </c>
      <c r="V104" s="51"/>
      <c r="W104" s="54"/>
      <c r="X104" s="54" t="e">
        <f>+P104-W104</f>
        <v>#VALUE!</v>
      </c>
      <c r="Y104" s="44"/>
      <c r="Z104" s="44"/>
    </row>
    <row r="105" spans="1:26" ht="15.75" customHeight="1">
      <c r="A105" s="44"/>
      <c r="B105" s="14"/>
      <c r="C105" s="53"/>
      <c r="D105" s="15"/>
      <c r="E105" s="89"/>
      <c r="F105" s="16"/>
      <c r="G105" s="16"/>
      <c r="H105" s="90" t="str">
        <f>IF(G105="Regular",Listas!$K$16,IF(G105="Premium",Listas!$K$17,IF(G105="Diesel",Listas!$K$18,"-")))</f>
        <v>-</v>
      </c>
      <c r="I105" s="17"/>
      <c r="J105" s="18"/>
      <c r="K105" s="19" t="str">
        <f>+IFERROR(IF(G105="Regular",VLOOKUP(C105,'PRECIO TERMINAL PEMEX'!$B$4:$E$35,2,0),IF(G105="Premium",VLOOKUP(C105,'PRECIO TERMINAL PEMEX'!$B$4:$E$35,3,0),IF(G105="Diesel",VLOOKUP(C105,'PRECIO TERMINAL PEMEX'!$B$4:$E$35,4,0),"Seleccione Producto"))),"-")</f>
        <v>Seleccione Producto</v>
      </c>
      <c r="L105" s="93" t="str">
        <f>+IFERROR(IF(F105="VHSA",VLOOKUP(B105,Listas!$C$4:$F$17,2,0),IF(F105="DOS BOCAS",VLOOKUP(B105,Listas!$C$4:$F$17,3,0),IF(F105="GLENCORE",VLOOKUP(B105,Listas!$C$4:$F$17,4,0),"Seleccione TAR"))),"-")</f>
        <v>Seleccione TAR</v>
      </c>
      <c r="M105" s="19" t="str">
        <f>+IFERROR(IF(G105="Regular",VLOOKUP(C105,'DESCUENTO PROVEEDORES'!$B$4:$E$35,2,0),IF(G105="Premium",VLOOKUP(C105,'DESCUENTO PROVEEDORES'!$B$4:$E$35,3,0),IF(G105="Diesel",VLOOKUP(C105,'DESCUENTO PROVEEDORES'!$B$4:$E$35,4,0),"Seleccione Proveedor"))),"-")</f>
        <v>Seleccione Proveedor</v>
      </c>
      <c r="N105" s="20" t="e">
        <f>((((K105-H105)/1.16)-M105))</f>
        <v>#VALUE!</v>
      </c>
      <c r="O105" s="21" t="e">
        <f>((N105*16%)+N105)+H105+L105</f>
        <v>#VALUE!</v>
      </c>
      <c r="P105" s="21" t="e">
        <f>(((J105-O105)-H105)/1.16)+H105</f>
        <v>#VALUE!</v>
      </c>
      <c r="Q105" s="44"/>
      <c r="R105" s="24"/>
      <c r="S105" s="23" t="e">
        <f t="shared" si="3"/>
        <v>#DIV/0!</v>
      </c>
      <c r="T105" s="23" t="e">
        <f t="shared" si="4"/>
        <v>#DIV/0!</v>
      </c>
      <c r="U105" s="22" t="e">
        <f t="shared" si="5"/>
        <v>#DIV/0!</v>
      </c>
      <c r="V105" s="44"/>
      <c r="W105" s="44"/>
      <c r="X105" s="44"/>
      <c r="Y105" s="44"/>
      <c r="Z105" s="44"/>
    </row>
    <row r="106" spans="1:26" ht="15.75" customHeight="1">
      <c r="A106" s="44"/>
      <c r="B106" s="14"/>
      <c r="C106" s="53"/>
      <c r="D106" s="15"/>
      <c r="E106" s="89"/>
      <c r="F106" s="16"/>
      <c r="G106" s="16"/>
      <c r="H106" s="90" t="str">
        <f>IF(G106="Regular",Listas!$K$16,IF(G106="Premium",Listas!$K$17,IF(G106="Diesel",Listas!$K$18,"-")))</f>
        <v>-</v>
      </c>
      <c r="I106" s="17"/>
      <c r="J106" s="18"/>
      <c r="K106" s="19" t="str">
        <f>+IFERROR(IF(G106="Regular",VLOOKUP(C106,'PRECIO TERMINAL PEMEX'!$B$4:$E$35,2,0),IF(G106="Premium",VLOOKUP(C106,'PRECIO TERMINAL PEMEX'!$B$4:$E$35,3,0),IF(G106="Diesel",VLOOKUP(C106,'PRECIO TERMINAL PEMEX'!$B$4:$E$35,4,0),"Seleccione Producto"))),"-")</f>
        <v>Seleccione Producto</v>
      </c>
      <c r="L106" s="93" t="str">
        <f>+IFERROR(IF(F106="VHSA",VLOOKUP(B106,Listas!$C$4:$F$17,2,0),IF(F106="DOS BOCAS",VLOOKUP(B106,Listas!$C$4:$F$17,3,0),IF(F106="GLENCORE",VLOOKUP(B106,Listas!$C$4:$F$17,4,0),"Seleccione TAR"))),"-")</f>
        <v>Seleccione TAR</v>
      </c>
      <c r="M106" s="19" t="str">
        <f>+IFERROR(IF(G106="Regular",VLOOKUP(C106,'DESCUENTO PROVEEDORES'!$B$4:$E$35,2,0),IF(G106="Premium",VLOOKUP(C106,'DESCUENTO PROVEEDORES'!$B$4:$E$35,3,0),IF(G106="Diesel",VLOOKUP(C106,'DESCUENTO PROVEEDORES'!$B$4:$E$35,4,0),"Seleccione Proveedor"))),"-")</f>
        <v>Seleccione Proveedor</v>
      </c>
      <c r="N106" s="20" t="e">
        <f>((((K106-H106)/1.16)-M106))</f>
        <v>#VALUE!</v>
      </c>
      <c r="O106" s="21" t="e">
        <f>((N106*16%)+N106)+H106+L106</f>
        <v>#VALUE!</v>
      </c>
      <c r="P106" s="21" t="e">
        <f>(((J106-O106)-H106)/1.16)+H106</f>
        <v>#VALUE!</v>
      </c>
      <c r="Q106" s="44"/>
      <c r="R106" s="24"/>
      <c r="S106" s="23" t="e">
        <f t="shared" si="3"/>
        <v>#DIV/0!</v>
      </c>
      <c r="T106" s="23" t="e">
        <f t="shared" si="4"/>
        <v>#DIV/0!</v>
      </c>
      <c r="U106" s="22" t="e">
        <f t="shared" si="5"/>
        <v>#DIV/0!</v>
      </c>
      <c r="V106" s="44"/>
      <c r="W106" s="44"/>
      <c r="X106" s="44"/>
      <c r="Y106" s="44"/>
      <c r="Z106" s="44"/>
    </row>
    <row r="107" spans="1:26" ht="15.75" customHeight="1">
      <c r="A107" s="44"/>
      <c r="B107" s="14"/>
      <c r="C107" s="53"/>
      <c r="D107" s="15"/>
      <c r="E107" s="89"/>
      <c r="F107" s="16"/>
      <c r="G107" s="16"/>
      <c r="H107" s="90" t="str">
        <f>IF(G107="Regular",Listas!$K$16,IF(G107="Premium",Listas!$K$17,IF(G107="Diesel",Listas!$K$18,"-")))</f>
        <v>-</v>
      </c>
      <c r="I107" s="17"/>
      <c r="J107" s="18"/>
      <c r="K107" s="19" t="str">
        <f>+IFERROR(IF(G107="Regular",VLOOKUP(C107,'PRECIO TERMINAL PEMEX'!$B$4:$E$35,2,0),IF(G107="Premium",VLOOKUP(C107,'PRECIO TERMINAL PEMEX'!$B$4:$E$35,3,0),IF(G107="Diesel",VLOOKUP(C107,'PRECIO TERMINAL PEMEX'!$B$4:$E$35,4,0),"Seleccione Producto"))),"-")</f>
        <v>Seleccione Producto</v>
      </c>
      <c r="L107" s="93" t="str">
        <f>+IFERROR(IF(F107="VHSA",VLOOKUP(B107,Listas!$C$4:$F$17,2,0),IF(F107="DOS BOCAS",VLOOKUP(B107,Listas!$C$4:$F$17,3,0),IF(F107="GLENCORE",VLOOKUP(B107,Listas!$C$4:$F$17,4,0),"Seleccione TAR"))),"-")</f>
        <v>Seleccione TAR</v>
      </c>
      <c r="M107" s="19" t="str">
        <f>+IFERROR(IF(G107="Regular",VLOOKUP(C107,'DESCUENTO PROVEEDORES'!$B$4:$E$35,2,0),IF(G107="Premium",VLOOKUP(C107,'DESCUENTO PROVEEDORES'!$B$4:$E$35,3,0),IF(G107="Diesel",VLOOKUP(C107,'DESCUENTO PROVEEDORES'!$B$4:$E$35,4,0),"Seleccione Proveedor"))),"-")</f>
        <v>Seleccione Proveedor</v>
      </c>
      <c r="N107" s="20" t="e">
        <f>((((K107-H107)/1.16)-M107))</f>
        <v>#VALUE!</v>
      </c>
      <c r="O107" s="21" t="e">
        <f>((N107*16%)+N107)+H107+L107</f>
        <v>#VALUE!</v>
      </c>
      <c r="P107" s="21" t="e">
        <f>(((J107-O107)-H107)/1.16)+H107</f>
        <v>#VALUE!</v>
      </c>
      <c r="Q107" s="44"/>
      <c r="R107" s="24"/>
      <c r="S107" s="23" t="e">
        <f t="shared" si="3"/>
        <v>#DIV/0!</v>
      </c>
      <c r="T107" s="23" t="e">
        <f t="shared" si="4"/>
        <v>#DIV/0!</v>
      </c>
      <c r="U107" s="22" t="e">
        <f t="shared" si="5"/>
        <v>#DIV/0!</v>
      </c>
      <c r="V107" s="44"/>
      <c r="W107" s="44"/>
      <c r="X107" s="44"/>
      <c r="Y107" s="44"/>
      <c r="Z107" s="44"/>
    </row>
    <row r="108" spans="1:26" ht="15.75" customHeight="1">
      <c r="A108" s="44"/>
      <c r="B108" s="14"/>
      <c r="C108" s="53"/>
      <c r="D108" s="15"/>
      <c r="E108" s="89"/>
      <c r="F108" s="16"/>
      <c r="G108" s="16"/>
      <c r="H108" s="90" t="str">
        <f>IF(G108="Regular",Listas!$K$16,IF(G108="Premium",Listas!$K$17,IF(G108="Diesel",Listas!$K$18,"-")))</f>
        <v>-</v>
      </c>
      <c r="I108" s="17"/>
      <c r="J108" s="18"/>
      <c r="K108" s="19" t="str">
        <f>+IFERROR(IF(G108="Regular",VLOOKUP(C108,'PRECIO TERMINAL PEMEX'!$B$4:$E$35,2,0),IF(G108="Premium",VLOOKUP(C108,'PRECIO TERMINAL PEMEX'!$B$4:$E$35,3,0),IF(G108="Diesel",VLOOKUP(C108,'PRECIO TERMINAL PEMEX'!$B$4:$E$35,4,0),"Seleccione Producto"))),"-")</f>
        <v>Seleccione Producto</v>
      </c>
      <c r="L108" s="93" t="str">
        <f>+IFERROR(IF(F108="VHSA",VLOOKUP(B108,Listas!$C$4:$F$17,2,0),IF(F108="DOS BOCAS",VLOOKUP(B108,Listas!$C$4:$F$17,3,0),IF(F108="GLENCORE",VLOOKUP(B108,Listas!$C$4:$F$17,4,0),"Seleccione TAR"))),"-")</f>
        <v>Seleccione TAR</v>
      </c>
      <c r="M108" s="19" t="str">
        <f>+IFERROR(IF(G108="Regular",VLOOKUP(C108,'DESCUENTO PROVEEDORES'!$B$4:$E$35,2,0),IF(G108="Premium",VLOOKUP(C108,'DESCUENTO PROVEEDORES'!$B$4:$E$35,3,0),IF(G108="Diesel",VLOOKUP(C108,'DESCUENTO PROVEEDORES'!$B$4:$E$35,4,0),"Seleccione Proveedor"))),"-")</f>
        <v>Seleccione Proveedor</v>
      </c>
      <c r="N108" s="20" t="e">
        <f>((((K108-H108)/1.16)-M108))</f>
        <v>#VALUE!</v>
      </c>
      <c r="O108" s="21" t="e">
        <f>((N108*16%)+N108)+H108+L108</f>
        <v>#VALUE!</v>
      </c>
      <c r="P108" s="21" t="e">
        <f>(((J108-O108)-H108)/1.16)+H108</f>
        <v>#VALUE!</v>
      </c>
      <c r="Q108" s="44"/>
      <c r="R108" s="24"/>
      <c r="S108" s="23" t="e">
        <f t="shared" si="3"/>
        <v>#DIV/0!</v>
      </c>
      <c r="T108" s="23" t="e">
        <f t="shared" si="4"/>
        <v>#DIV/0!</v>
      </c>
      <c r="U108" s="22" t="e">
        <f t="shared" si="5"/>
        <v>#DIV/0!</v>
      </c>
      <c r="V108" s="44"/>
      <c r="W108" s="44"/>
      <c r="X108" s="44"/>
      <c r="Y108" s="44"/>
      <c r="Z108" s="44"/>
    </row>
    <row r="109" spans="1:26" ht="15.75" customHeight="1">
      <c r="A109" s="44"/>
      <c r="B109" s="14"/>
      <c r="C109" s="53"/>
      <c r="D109" s="15"/>
      <c r="E109" s="89"/>
      <c r="F109" s="16"/>
      <c r="G109" s="16"/>
      <c r="H109" s="90" t="str">
        <f>IF(G109="Regular",Listas!$K$16,IF(G109="Premium",Listas!$K$17,IF(G109="Diesel",Listas!$K$18,"-")))</f>
        <v>-</v>
      </c>
      <c r="I109" s="17"/>
      <c r="J109" s="18"/>
      <c r="K109" s="19" t="str">
        <f>+IFERROR(IF(G109="Regular",VLOOKUP(C109,'PRECIO TERMINAL PEMEX'!$B$4:$E$35,2,0),IF(G109="Premium",VLOOKUP(C109,'PRECIO TERMINAL PEMEX'!$B$4:$E$35,3,0),IF(G109="Diesel",VLOOKUP(C109,'PRECIO TERMINAL PEMEX'!$B$4:$E$35,4,0),"Seleccione Producto"))),"-")</f>
        <v>Seleccione Producto</v>
      </c>
      <c r="L109" s="93" t="str">
        <f>+IFERROR(IF(F109="VHSA",VLOOKUP(B109,Listas!$C$4:$F$17,2,0),IF(F109="DOS BOCAS",VLOOKUP(B109,Listas!$C$4:$F$17,3,0),IF(F109="GLENCORE",VLOOKUP(B109,Listas!$C$4:$F$17,4,0),"Seleccione TAR"))),"-")</f>
        <v>Seleccione TAR</v>
      </c>
      <c r="M109" s="19" t="str">
        <f>+IFERROR(IF(G109="Regular",VLOOKUP(C109,'DESCUENTO PROVEEDORES'!$B$4:$E$35,2,0),IF(G109="Premium",VLOOKUP(C109,'DESCUENTO PROVEEDORES'!$B$4:$E$35,3,0),IF(G109="Diesel",VLOOKUP(C109,'DESCUENTO PROVEEDORES'!$B$4:$E$35,4,0),"Seleccione Proveedor"))),"-")</f>
        <v>Seleccione Proveedor</v>
      </c>
      <c r="N109" s="20" t="e">
        <f>((((K109-H109)/1.16)-M109))</f>
        <v>#VALUE!</v>
      </c>
      <c r="O109" s="21" t="e">
        <f>((N109*16%)+N109)+H109+L109</f>
        <v>#VALUE!</v>
      </c>
      <c r="P109" s="21" t="e">
        <f>(((J109-O109)-H109)/1.16)+H109</f>
        <v>#VALUE!</v>
      </c>
      <c r="Q109" s="44"/>
      <c r="R109" s="24"/>
      <c r="S109" s="23" t="e">
        <f t="shared" si="3"/>
        <v>#DIV/0!</v>
      </c>
      <c r="T109" s="23" t="e">
        <f t="shared" si="4"/>
        <v>#DIV/0!</v>
      </c>
      <c r="U109" s="22" t="e">
        <f t="shared" si="5"/>
        <v>#DIV/0!</v>
      </c>
      <c r="V109" s="44"/>
      <c r="W109" s="44"/>
      <c r="X109" s="44"/>
      <c r="Y109" s="44"/>
      <c r="Z109" s="44"/>
    </row>
    <row r="110" spans="1:26" ht="15.75" customHeight="1">
      <c r="A110" s="44"/>
      <c r="B110" s="14"/>
      <c r="C110" s="53"/>
      <c r="D110" s="15"/>
      <c r="E110" s="89"/>
      <c r="F110" s="16"/>
      <c r="G110" s="16"/>
      <c r="H110" s="90" t="str">
        <f>IF(G110="Regular",Listas!$K$16,IF(G110="Premium",Listas!$K$17,IF(G110="Diesel",Listas!$K$18,"-")))</f>
        <v>-</v>
      </c>
      <c r="I110" s="17"/>
      <c r="J110" s="18"/>
      <c r="K110" s="19" t="str">
        <f>+IFERROR(IF(G110="Regular",VLOOKUP(C110,'PRECIO TERMINAL PEMEX'!$B$4:$E$35,2,0),IF(G110="Premium",VLOOKUP(C110,'PRECIO TERMINAL PEMEX'!$B$4:$E$35,3,0),IF(G110="Diesel",VLOOKUP(C110,'PRECIO TERMINAL PEMEX'!$B$4:$E$35,4,0),"Seleccione Producto"))),"-")</f>
        <v>Seleccione Producto</v>
      </c>
      <c r="L110" s="93" t="str">
        <f>+IFERROR(IF(F110="VHSA",VLOOKUP(B110,Listas!$C$4:$F$17,2,0),IF(F110="DOS BOCAS",VLOOKUP(B110,Listas!$C$4:$F$17,3,0),IF(F110="GLENCORE",VLOOKUP(B110,Listas!$C$4:$F$17,4,0),"Seleccione TAR"))),"-")</f>
        <v>Seleccione TAR</v>
      </c>
      <c r="M110" s="19" t="str">
        <f>+IFERROR(IF(G110="Regular",VLOOKUP(C110,'DESCUENTO PROVEEDORES'!$B$4:$E$35,2,0),IF(G110="Premium",VLOOKUP(C110,'DESCUENTO PROVEEDORES'!$B$4:$E$35,3,0),IF(G110="Diesel",VLOOKUP(C110,'DESCUENTO PROVEEDORES'!$B$4:$E$35,4,0),"Seleccione Proveedor"))),"-")</f>
        <v>Seleccione Proveedor</v>
      </c>
      <c r="N110" s="20" t="e">
        <f>((((K110-H110)/1.16)-M110))</f>
        <v>#VALUE!</v>
      </c>
      <c r="O110" s="21" t="e">
        <f>((N110*16%)+N110)+H110+L110</f>
        <v>#VALUE!</v>
      </c>
      <c r="P110" s="21" t="e">
        <f>(((J110-O110)-H110)/1.16)+H110</f>
        <v>#VALUE!</v>
      </c>
      <c r="Q110" s="44"/>
      <c r="R110" s="24"/>
      <c r="S110" s="23" t="e">
        <f t="shared" si="3"/>
        <v>#DIV/0!</v>
      </c>
      <c r="T110" s="23" t="e">
        <f t="shared" si="4"/>
        <v>#DIV/0!</v>
      </c>
      <c r="U110" s="22" t="e">
        <f t="shared" si="5"/>
        <v>#DIV/0!</v>
      </c>
      <c r="V110" s="44"/>
      <c r="W110" s="44"/>
      <c r="X110" s="44"/>
      <c r="Y110" s="44"/>
      <c r="Z110" s="44"/>
    </row>
    <row r="111" spans="1:26" ht="15.75" customHeight="1">
      <c r="A111" s="44"/>
      <c r="B111" s="14"/>
      <c r="C111" s="53"/>
      <c r="D111" s="15"/>
      <c r="E111" s="89"/>
      <c r="F111" s="16"/>
      <c r="G111" s="16"/>
      <c r="H111" s="90" t="str">
        <f>IF(G111="Regular",Listas!$K$16,IF(G111="Premium",Listas!$K$17,IF(G111="Diesel",Listas!$K$18,"-")))</f>
        <v>-</v>
      </c>
      <c r="I111" s="17"/>
      <c r="J111" s="18"/>
      <c r="K111" s="19" t="str">
        <f>+IFERROR(IF(G111="Regular",VLOOKUP(C111,'PRECIO TERMINAL PEMEX'!$B$4:$E$35,2,0),IF(G111="Premium",VLOOKUP(C111,'PRECIO TERMINAL PEMEX'!$B$4:$E$35,3,0),IF(G111="Diesel",VLOOKUP(C111,'PRECIO TERMINAL PEMEX'!$B$4:$E$35,4,0),"Seleccione Producto"))),"-")</f>
        <v>Seleccione Producto</v>
      </c>
      <c r="L111" s="93" t="str">
        <f>+IFERROR(IF(F111="VHSA",VLOOKUP(B111,Listas!$C$4:$F$17,2,0),IF(F111="DOS BOCAS",VLOOKUP(B111,Listas!$C$4:$F$17,3,0),IF(F111="GLENCORE",VLOOKUP(B111,Listas!$C$4:$F$17,4,0),"Seleccione TAR"))),"-")</f>
        <v>Seleccione TAR</v>
      </c>
      <c r="M111" s="19" t="str">
        <f>+IFERROR(IF(G111="Regular",VLOOKUP(C111,'DESCUENTO PROVEEDORES'!$B$4:$E$35,2,0),IF(G111="Premium",VLOOKUP(C111,'DESCUENTO PROVEEDORES'!$B$4:$E$35,3,0),IF(G111="Diesel",VLOOKUP(C111,'DESCUENTO PROVEEDORES'!$B$4:$E$35,4,0),"Seleccione Proveedor"))),"-")</f>
        <v>Seleccione Proveedor</v>
      </c>
      <c r="N111" s="20" t="e">
        <f>((((K111-H111)/1.16)-M111))</f>
        <v>#VALUE!</v>
      </c>
      <c r="O111" s="21" t="e">
        <f>((N111*16%)+N111)+H111+L111</f>
        <v>#VALUE!</v>
      </c>
      <c r="P111" s="21" t="e">
        <f>(((J111-O111)-H111)/1.16)+H111</f>
        <v>#VALUE!</v>
      </c>
      <c r="Q111" s="44"/>
      <c r="R111" s="24"/>
      <c r="S111" s="23" t="e">
        <f t="shared" si="3"/>
        <v>#DIV/0!</v>
      </c>
      <c r="T111" s="23" t="e">
        <f t="shared" si="4"/>
        <v>#DIV/0!</v>
      </c>
      <c r="U111" s="22" t="e">
        <f t="shared" si="5"/>
        <v>#DIV/0!</v>
      </c>
      <c r="V111" s="44"/>
      <c r="W111" s="44"/>
      <c r="X111" s="44"/>
      <c r="Y111" s="44"/>
      <c r="Z111" s="44"/>
    </row>
    <row r="112" spans="1:26" ht="15.75" customHeight="1">
      <c r="A112" s="44"/>
      <c r="B112" s="14"/>
      <c r="C112" s="53"/>
      <c r="D112" s="15"/>
      <c r="E112" s="89"/>
      <c r="F112" s="16"/>
      <c r="G112" s="16"/>
      <c r="H112" s="90" t="str">
        <f>IF(G112="Regular",Listas!$K$16,IF(G112="Premium",Listas!$K$17,IF(G112="Diesel",Listas!$K$18,"-")))</f>
        <v>-</v>
      </c>
      <c r="I112" s="17"/>
      <c r="J112" s="18"/>
      <c r="K112" s="19" t="str">
        <f>+IFERROR(IF(G112="Regular",VLOOKUP(C112,'PRECIO TERMINAL PEMEX'!$B$4:$E$35,2,0),IF(G112="Premium",VLOOKUP(C112,'PRECIO TERMINAL PEMEX'!$B$4:$E$35,3,0),IF(G112="Diesel",VLOOKUP(C112,'PRECIO TERMINAL PEMEX'!$B$4:$E$35,4,0),"Seleccione Producto"))),"-")</f>
        <v>Seleccione Producto</v>
      </c>
      <c r="L112" s="93" t="str">
        <f>+IFERROR(IF(F112="VHSA",VLOOKUP(B112,Listas!$C$4:$F$17,2,0),IF(F112="DOS BOCAS",VLOOKUP(B112,Listas!$C$4:$F$17,3,0),IF(F112="GLENCORE",VLOOKUP(B112,Listas!$C$4:$F$17,4,0),"Seleccione TAR"))),"-")</f>
        <v>Seleccione TAR</v>
      </c>
      <c r="M112" s="19" t="str">
        <f>+IFERROR(IF(G112="Regular",VLOOKUP(C112,'DESCUENTO PROVEEDORES'!$B$4:$E$35,2,0),IF(G112="Premium",VLOOKUP(C112,'DESCUENTO PROVEEDORES'!$B$4:$E$35,3,0),IF(G112="Diesel",VLOOKUP(C112,'DESCUENTO PROVEEDORES'!$B$4:$E$35,4,0),"Seleccione Proveedor"))),"-")</f>
        <v>Seleccione Proveedor</v>
      </c>
      <c r="N112" s="20" t="e">
        <f>((((K112-H112)/1.16)-M112))</f>
        <v>#VALUE!</v>
      </c>
      <c r="O112" s="21" t="e">
        <f>((N112*16%)+N112)+H112+L112</f>
        <v>#VALUE!</v>
      </c>
      <c r="P112" s="21" t="e">
        <f>(((J112-O112)-H112)/1.16)+H112</f>
        <v>#VALUE!</v>
      </c>
      <c r="Q112" s="44"/>
      <c r="R112" s="24"/>
      <c r="S112" s="23" t="e">
        <f t="shared" si="3"/>
        <v>#DIV/0!</v>
      </c>
      <c r="T112" s="23" t="e">
        <f t="shared" si="4"/>
        <v>#DIV/0!</v>
      </c>
      <c r="U112" s="22" t="e">
        <f t="shared" si="5"/>
        <v>#DIV/0!</v>
      </c>
      <c r="V112" s="44"/>
      <c r="W112" s="44"/>
      <c r="X112" s="44"/>
      <c r="Y112" s="44"/>
      <c r="Z112" s="44"/>
    </row>
    <row r="113" spans="1:26" ht="15.75" customHeight="1">
      <c r="A113" s="44"/>
      <c r="B113" s="14"/>
      <c r="C113" s="53"/>
      <c r="D113" s="15"/>
      <c r="E113" s="89"/>
      <c r="F113" s="16"/>
      <c r="G113" s="16"/>
      <c r="H113" s="90" t="str">
        <f>IF(G113="Regular",Listas!$K$16,IF(G113="Premium",Listas!$K$17,IF(G113="Diesel",Listas!$K$18,"-")))</f>
        <v>-</v>
      </c>
      <c r="I113" s="17"/>
      <c r="J113" s="18"/>
      <c r="K113" s="19" t="str">
        <f>+IFERROR(IF(G113="Regular",VLOOKUP(C113,'PRECIO TERMINAL PEMEX'!$B$4:$E$35,2,0),IF(G113="Premium",VLOOKUP(C113,'PRECIO TERMINAL PEMEX'!$B$4:$E$35,3,0),IF(G113="Diesel",VLOOKUP(C113,'PRECIO TERMINAL PEMEX'!$B$4:$E$35,4,0),"Seleccione Producto"))),"-")</f>
        <v>Seleccione Producto</v>
      </c>
      <c r="L113" s="93" t="str">
        <f>+IFERROR(IF(F113="VHSA",VLOOKUP(B113,Listas!$C$4:$F$17,2,0),IF(F113="DOS BOCAS",VLOOKUP(B113,Listas!$C$4:$F$17,3,0),IF(F113="GLENCORE",VLOOKUP(B113,Listas!$C$4:$F$17,4,0),"Seleccione TAR"))),"-")</f>
        <v>Seleccione TAR</v>
      </c>
      <c r="M113" s="19" t="str">
        <f>+IFERROR(IF(G113="Regular",VLOOKUP(C113,'DESCUENTO PROVEEDORES'!$B$4:$E$35,2,0),IF(G113="Premium",VLOOKUP(C113,'DESCUENTO PROVEEDORES'!$B$4:$E$35,3,0),IF(G113="Diesel",VLOOKUP(C113,'DESCUENTO PROVEEDORES'!$B$4:$E$35,4,0),"Seleccione Proveedor"))),"-")</f>
        <v>Seleccione Proveedor</v>
      </c>
      <c r="N113" s="20" t="e">
        <f>((((K113-H113)/1.16)-M113))</f>
        <v>#VALUE!</v>
      </c>
      <c r="O113" s="21" t="e">
        <f>((N113*16%)+N113)+H113+L113</f>
        <v>#VALUE!</v>
      </c>
      <c r="P113" s="21" t="e">
        <f>(((J113-O113)-H113)/1.16)+H113</f>
        <v>#VALUE!</v>
      </c>
      <c r="Q113" s="44"/>
      <c r="R113" s="24"/>
      <c r="S113" s="23" t="e">
        <f t="shared" si="3"/>
        <v>#DIV/0!</v>
      </c>
      <c r="T113" s="23" t="e">
        <f t="shared" si="4"/>
        <v>#DIV/0!</v>
      </c>
      <c r="U113" s="22" t="e">
        <f t="shared" si="5"/>
        <v>#DIV/0!</v>
      </c>
      <c r="V113" s="44"/>
      <c r="W113" s="44"/>
      <c r="X113" s="44"/>
      <c r="Y113" s="44"/>
      <c r="Z113" s="44"/>
    </row>
    <row r="114" spans="1:26" ht="15.75" customHeight="1">
      <c r="A114" s="44"/>
      <c r="B114" s="14"/>
      <c r="C114" s="53"/>
      <c r="D114" s="15"/>
      <c r="E114" s="89"/>
      <c r="F114" s="16"/>
      <c r="G114" s="16"/>
      <c r="H114" s="90" t="str">
        <f>IF(G114="Regular",Listas!$K$16,IF(G114="Premium",Listas!$K$17,IF(G114="Diesel",Listas!$K$18,"-")))</f>
        <v>-</v>
      </c>
      <c r="I114" s="17"/>
      <c r="J114" s="18"/>
      <c r="K114" s="19" t="str">
        <f>+IFERROR(IF(G114="Regular",VLOOKUP(C114,'PRECIO TERMINAL PEMEX'!$B$4:$E$35,2,0),IF(G114="Premium",VLOOKUP(C114,'PRECIO TERMINAL PEMEX'!$B$4:$E$35,3,0),IF(G114="Diesel",VLOOKUP(C114,'PRECIO TERMINAL PEMEX'!$B$4:$E$35,4,0),"Seleccione Producto"))),"-")</f>
        <v>Seleccione Producto</v>
      </c>
      <c r="L114" s="93" t="str">
        <f>+IFERROR(IF(F114="VHSA",VLOOKUP(B114,Listas!$C$4:$F$17,2,0),IF(F114="DOS BOCAS",VLOOKUP(B114,Listas!$C$4:$F$17,3,0),IF(F114="GLENCORE",VLOOKUP(B114,Listas!$C$4:$F$17,4,0),"Seleccione TAR"))),"-")</f>
        <v>Seleccione TAR</v>
      </c>
      <c r="M114" s="19" t="str">
        <f>+IFERROR(IF(G114="Regular",VLOOKUP(C114,'DESCUENTO PROVEEDORES'!$B$4:$E$35,2,0),IF(G114="Premium",VLOOKUP(C114,'DESCUENTO PROVEEDORES'!$B$4:$E$35,3,0),IF(G114="Diesel",VLOOKUP(C114,'DESCUENTO PROVEEDORES'!$B$4:$E$35,4,0),"Seleccione Proveedor"))),"-")</f>
        <v>Seleccione Proveedor</v>
      </c>
      <c r="N114" s="20" t="e">
        <f>((((K114-H114)/1.16)-M114))</f>
        <v>#VALUE!</v>
      </c>
      <c r="O114" s="21" t="e">
        <f>((N114*16%)+N114)+H114+L114</f>
        <v>#VALUE!</v>
      </c>
      <c r="P114" s="21" t="e">
        <f>(((J114-O114)-H114)/1.16)+H114</f>
        <v>#VALUE!</v>
      </c>
      <c r="Q114" s="44"/>
      <c r="R114" s="24"/>
      <c r="S114" s="23" t="e">
        <f t="shared" si="3"/>
        <v>#DIV/0!</v>
      </c>
      <c r="T114" s="23" t="e">
        <f t="shared" si="4"/>
        <v>#DIV/0!</v>
      </c>
      <c r="U114" s="22" t="e">
        <f t="shared" si="5"/>
        <v>#DIV/0!</v>
      </c>
      <c r="V114" s="44"/>
      <c r="W114" s="44"/>
      <c r="X114" s="44"/>
      <c r="Y114" s="44"/>
      <c r="Z114" s="44"/>
    </row>
    <row r="115" spans="1:26" ht="15.75" customHeight="1">
      <c r="A115" s="44"/>
      <c r="B115" s="14"/>
      <c r="C115" s="53"/>
      <c r="D115" s="15"/>
      <c r="E115" s="89"/>
      <c r="F115" s="16"/>
      <c r="G115" s="16"/>
      <c r="H115" s="90" t="str">
        <f>IF(G115="Regular",Listas!$K$16,IF(G115="Premium",Listas!$K$17,IF(G115="Diesel",Listas!$K$18,"-")))</f>
        <v>-</v>
      </c>
      <c r="I115" s="17"/>
      <c r="J115" s="18"/>
      <c r="K115" s="19" t="str">
        <f>+IFERROR(IF(G115="Regular",VLOOKUP(C115,'PRECIO TERMINAL PEMEX'!$B$4:$E$35,2,0),IF(G115="Premium",VLOOKUP(C115,'PRECIO TERMINAL PEMEX'!$B$4:$E$35,3,0),IF(G115="Diesel",VLOOKUP(C115,'PRECIO TERMINAL PEMEX'!$B$4:$E$35,4,0),"Seleccione Producto"))),"-")</f>
        <v>Seleccione Producto</v>
      </c>
      <c r="L115" s="93" t="str">
        <f>+IFERROR(IF(F115="VHSA",VLOOKUP(B115,Listas!$C$4:$F$17,2,0),IF(F115="DOS BOCAS",VLOOKUP(B115,Listas!$C$4:$F$17,3,0),IF(F115="GLENCORE",VLOOKUP(B115,Listas!$C$4:$F$17,4,0),"Seleccione TAR"))),"-")</f>
        <v>Seleccione TAR</v>
      </c>
      <c r="M115" s="19" t="str">
        <f>+IFERROR(IF(G115="Regular",VLOOKUP(C115,'DESCUENTO PROVEEDORES'!$B$4:$E$35,2,0),IF(G115="Premium",VLOOKUP(C115,'DESCUENTO PROVEEDORES'!$B$4:$E$35,3,0),IF(G115="Diesel",VLOOKUP(C115,'DESCUENTO PROVEEDORES'!$B$4:$E$35,4,0),"Seleccione Proveedor"))),"-")</f>
        <v>Seleccione Proveedor</v>
      </c>
      <c r="N115" s="20" t="e">
        <f>((((K115-H115)/1.16)-M115))</f>
        <v>#VALUE!</v>
      </c>
      <c r="O115" s="21" t="e">
        <f>((N115*16%)+N115)+H115+L115</f>
        <v>#VALUE!</v>
      </c>
      <c r="P115" s="21" t="e">
        <f>(((J115-O115)-H115)/1.16)+H115</f>
        <v>#VALUE!</v>
      </c>
      <c r="Q115" s="44"/>
      <c r="R115" s="24"/>
      <c r="S115" s="23" t="e">
        <f t="shared" si="3"/>
        <v>#DIV/0!</v>
      </c>
      <c r="T115" s="23" t="e">
        <f t="shared" si="4"/>
        <v>#DIV/0!</v>
      </c>
      <c r="U115" s="22" t="e">
        <f t="shared" si="5"/>
        <v>#DIV/0!</v>
      </c>
      <c r="V115" s="44"/>
      <c r="W115" s="44"/>
      <c r="X115" s="44"/>
      <c r="Y115" s="44"/>
      <c r="Z115" s="44"/>
    </row>
    <row r="116" spans="1:26" ht="15.75" customHeight="1">
      <c r="A116" s="44"/>
      <c r="B116" s="14"/>
      <c r="C116" s="53"/>
      <c r="D116" s="15"/>
      <c r="E116" s="89"/>
      <c r="F116" s="16"/>
      <c r="G116" s="16"/>
      <c r="H116" s="90" t="str">
        <f>IF(G116="Regular",Listas!$K$16,IF(G116="Premium",Listas!$K$17,IF(G116="Diesel",Listas!$K$18,"-")))</f>
        <v>-</v>
      </c>
      <c r="I116" s="17"/>
      <c r="J116" s="18"/>
      <c r="K116" s="19" t="str">
        <f>+IFERROR(IF(G116="Regular",VLOOKUP(C116,'PRECIO TERMINAL PEMEX'!$B$4:$E$35,2,0),IF(G116="Premium",VLOOKUP(C116,'PRECIO TERMINAL PEMEX'!$B$4:$E$35,3,0),IF(G116="Diesel",VLOOKUP(C116,'PRECIO TERMINAL PEMEX'!$B$4:$E$35,4,0),"Seleccione Producto"))),"-")</f>
        <v>Seleccione Producto</v>
      </c>
      <c r="L116" s="93" t="str">
        <f>+IFERROR(IF(F116="VHSA",VLOOKUP(B116,Listas!$C$4:$F$17,2,0),IF(F116="DOS BOCAS",VLOOKUP(B116,Listas!$C$4:$F$17,3,0),IF(F116="GLENCORE",VLOOKUP(B116,Listas!$C$4:$F$17,4,0),"Seleccione TAR"))),"-")</f>
        <v>Seleccione TAR</v>
      </c>
      <c r="M116" s="19" t="str">
        <f>+IFERROR(IF(G116="Regular",VLOOKUP(C116,'DESCUENTO PROVEEDORES'!$B$4:$E$35,2,0),IF(G116="Premium",VLOOKUP(C116,'DESCUENTO PROVEEDORES'!$B$4:$E$35,3,0),IF(G116="Diesel",VLOOKUP(C116,'DESCUENTO PROVEEDORES'!$B$4:$E$35,4,0),"Seleccione Proveedor"))),"-")</f>
        <v>Seleccione Proveedor</v>
      </c>
      <c r="N116" s="20" t="e">
        <f>((((K116-H116)/1.16)-M116))</f>
        <v>#VALUE!</v>
      </c>
      <c r="O116" s="21" t="e">
        <f>((N116*16%)+N116)+H116+L116</f>
        <v>#VALUE!</v>
      </c>
      <c r="P116" s="21" t="e">
        <f>(((J116-O116)-H116)/1.16)+H116</f>
        <v>#VALUE!</v>
      </c>
      <c r="Q116" s="44"/>
      <c r="R116" s="24"/>
      <c r="S116" s="23" t="e">
        <f t="shared" si="3"/>
        <v>#DIV/0!</v>
      </c>
      <c r="T116" s="23" t="e">
        <f t="shared" si="4"/>
        <v>#DIV/0!</v>
      </c>
      <c r="U116" s="22" t="e">
        <f t="shared" si="5"/>
        <v>#DIV/0!</v>
      </c>
      <c r="V116" s="44"/>
      <c r="W116" s="44"/>
      <c r="X116" s="44"/>
      <c r="Y116" s="44"/>
      <c r="Z116" s="44"/>
    </row>
    <row r="117" spans="1:26" ht="15.75" customHeight="1">
      <c r="A117" s="44"/>
      <c r="B117" s="14"/>
      <c r="C117" s="53"/>
      <c r="D117" s="15"/>
      <c r="E117" s="89"/>
      <c r="F117" s="16"/>
      <c r="G117" s="16"/>
      <c r="H117" s="90" t="str">
        <f>IF(G117="Regular",Listas!$K$16,IF(G117="Premium",Listas!$K$17,IF(G117="Diesel",Listas!$K$18,"-")))</f>
        <v>-</v>
      </c>
      <c r="I117" s="17"/>
      <c r="J117" s="18"/>
      <c r="K117" s="19" t="str">
        <f>+IFERROR(IF(G117="Regular",VLOOKUP(C117,'PRECIO TERMINAL PEMEX'!$B$4:$E$35,2,0),IF(G117="Premium",VLOOKUP(C117,'PRECIO TERMINAL PEMEX'!$B$4:$E$35,3,0),IF(G117="Diesel",VLOOKUP(C117,'PRECIO TERMINAL PEMEX'!$B$4:$E$35,4,0),"Seleccione Producto"))),"-")</f>
        <v>Seleccione Producto</v>
      </c>
      <c r="L117" s="93" t="str">
        <f>+IFERROR(IF(F117="VHSA",VLOOKUP(B117,Listas!$C$4:$F$17,2,0),IF(F117="DOS BOCAS",VLOOKUP(B117,Listas!$C$4:$F$17,3,0),IF(F117="GLENCORE",VLOOKUP(B117,Listas!$C$4:$F$17,4,0),"Seleccione TAR"))),"-")</f>
        <v>Seleccione TAR</v>
      </c>
      <c r="M117" s="19" t="str">
        <f>+IFERROR(IF(G117="Regular",VLOOKUP(C117,'DESCUENTO PROVEEDORES'!$B$4:$E$35,2,0),IF(G117="Premium",VLOOKUP(C117,'DESCUENTO PROVEEDORES'!$B$4:$E$35,3,0),IF(G117="Diesel",VLOOKUP(C117,'DESCUENTO PROVEEDORES'!$B$4:$E$35,4,0),"Seleccione Proveedor"))),"-")</f>
        <v>Seleccione Proveedor</v>
      </c>
      <c r="N117" s="20" t="e">
        <f>((((K117-H117)/1.16)-M117))</f>
        <v>#VALUE!</v>
      </c>
      <c r="O117" s="21" t="e">
        <f>((N117*16%)+N117)+H117+L117</f>
        <v>#VALUE!</v>
      </c>
      <c r="P117" s="21" t="e">
        <f>(((J117-O117)-H117)/1.16)+H117</f>
        <v>#VALUE!</v>
      </c>
      <c r="Q117" s="44"/>
      <c r="R117" s="24"/>
      <c r="S117" s="23" t="e">
        <f t="shared" si="3"/>
        <v>#DIV/0!</v>
      </c>
      <c r="T117" s="23" t="e">
        <f t="shared" si="4"/>
        <v>#DIV/0!</v>
      </c>
      <c r="U117" s="22" t="e">
        <f t="shared" si="5"/>
        <v>#DIV/0!</v>
      </c>
      <c r="V117" s="44"/>
      <c r="W117" s="44"/>
      <c r="X117" s="44"/>
      <c r="Y117" s="44"/>
      <c r="Z117" s="44"/>
    </row>
    <row r="118" spans="1:26" ht="15.75" customHeight="1">
      <c r="A118" s="44"/>
      <c r="B118" s="14"/>
      <c r="C118" s="53"/>
      <c r="D118" s="15"/>
      <c r="E118" s="89"/>
      <c r="F118" s="16"/>
      <c r="G118" s="16"/>
      <c r="H118" s="90" t="str">
        <f>IF(G118="Regular",Listas!$K$16,IF(G118="Premium",Listas!$K$17,IF(G118="Diesel",Listas!$K$18,"-")))</f>
        <v>-</v>
      </c>
      <c r="I118" s="17"/>
      <c r="J118" s="18"/>
      <c r="K118" s="19" t="str">
        <f>+IFERROR(IF(G118="Regular",VLOOKUP(C118,'PRECIO TERMINAL PEMEX'!$B$4:$E$35,2,0),IF(G118="Premium",VLOOKUP(C118,'PRECIO TERMINAL PEMEX'!$B$4:$E$35,3,0),IF(G118="Diesel",VLOOKUP(C118,'PRECIO TERMINAL PEMEX'!$B$4:$E$35,4,0),"Seleccione Producto"))),"-")</f>
        <v>Seleccione Producto</v>
      </c>
      <c r="L118" s="93" t="str">
        <f>+IFERROR(IF(F118="VHSA",VLOOKUP(B118,Listas!$C$4:$F$17,2,0),IF(F118="DOS BOCAS",VLOOKUP(B118,Listas!$C$4:$F$17,3,0),IF(F118="GLENCORE",VLOOKUP(B118,Listas!$C$4:$F$17,4,0),"Seleccione TAR"))),"-")</f>
        <v>Seleccione TAR</v>
      </c>
      <c r="M118" s="19" t="str">
        <f>+IFERROR(IF(G118="Regular",VLOOKUP(C118,'DESCUENTO PROVEEDORES'!$B$4:$E$35,2,0),IF(G118="Premium",VLOOKUP(C118,'DESCUENTO PROVEEDORES'!$B$4:$E$35,3,0),IF(G118="Diesel",VLOOKUP(C118,'DESCUENTO PROVEEDORES'!$B$4:$E$35,4,0),"Seleccione Proveedor"))),"-")</f>
        <v>Seleccione Proveedor</v>
      </c>
      <c r="N118" s="20" t="e">
        <f>((((K118-H118)/1.16)-M118))</f>
        <v>#VALUE!</v>
      </c>
      <c r="O118" s="21" t="e">
        <f>((N118*16%)+N118)+H118+L118</f>
        <v>#VALUE!</v>
      </c>
      <c r="P118" s="21" t="e">
        <f>(((J118-O118)-H118)/1.16)+H118</f>
        <v>#VALUE!</v>
      </c>
      <c r="Q118" s="44"/>
      <c r="R118" s="24"/>
      <c r="S118" s="23" t="e">
        <f t="shared" si="3"/>
        <v>#DIV/0!</v>
      </c>
      <c r="T118" s="23" t="e">
        <f t="shared" si="4"/>
        <v>#DIV/0!</v>
      </c>
      <c r="U118" s="22" t="e">
        <f t="shared" si="5"/>
        <v>#DIV/0!</v>
      </c>
      <c r="V118" s="44"/>
      <c r="W118" s="44"/>
      <c r="X118" s="44"/>
      <c r="Y118" s="44"/>
      <c r="Z118" s="44"/>
    </row>
    <row r="119" spans="1:26" ht="15.75" customHeight="1">
      <c r="A119" s="44"/>
      <c r="B119" s="14"/>
      <c r="C119" s="53"/>
      <c r="D119" s="15"/>
      <c r="E119" s="89"/>
      <c r="F119" s="16"/>
      <c r="G119" s="16"/>
      <c r="H119" s="90" t="str">
        <f>IF(G119="Regular",Listas!$K$16,IF(G119="Premium",Listas!$K$17,IF(G119="Diesel",Listas!$K$18,"-")))</f>
        <v>-</v>
      </c>
      <c r="I119" s="17"/>
      <c r="J119" s="18"/>
      <c r="K119" s="19" t="str">
        <f>+IFERROR(IF(G119="Regular",VLOOKUP(C119,'PRECIO TERMINAL PEMEX'!$B$4:$E$35,2,0),IF(G119="Premium",VLOOKUP(C119,'PRECIO TERMINAL PEMEX'!$B$4:$E$35,3,0),IF(G119="Diesel",VLOOKUP(C119,'PRECIO TERMINAL PEMEX'!$B$4:$E$35,4,0),"Seleccione Producto"))),"-")</f>
        <v>Seleccione Producto</v>
      </c>
      <c r="L119" s="93" t="str">
        <f>+IFERROR(IF(F119="VHSA",VLOOKUP(B119,Listas!$C$4:$F$17,2,0),IF(F119="DOS BOCAS",VLOOKUP(B119,Listas!$C$4:$F$17,3,0),IF(F119="GLENCORE",VLOOKUP(B119,Listas!$C$4:$F$17,4,0),"Seleccione TAR"))),"-")</f>
        <v>Seleccione TAR</v>
      </c>
      <c r="M119" s="19" t="str">
        <f>+IFERROR(IF(G119="Regular",VLOOKUP(C119,'DESCUENTO PROVEEDORES'!$B$4:$E$35,2,0),IF(G119="Premium",VLOOKUP(C119,'DESCUENTO PROVEEDORES'!$B$4:$E$35,3,0),IF(G119="Diesel",VLOOKUP(C119,'DESCUENTO PROVEEDORES'!$B$4:$E$35,4,0),"Seleccione Proveedor"))),"-")</f>
        <v>Seleccione Proveedor</v>
      </c>
      <c r="N119" s="20" t="e">
        <f>((((K119-H119)/1.16)-M119))</f>
        <v>#VALUE!</v>
      </c>
      <c r="O119" s="21" t="e">
        <f>((N119*16%)+N119)+H119+L119</f>
        <v>#VALUE!</v>
      </c>
      <c r="P119" s="21" t="e">
        <f>(((J119-O119)-H119)/1.16)+H119</f>
        <v>#VALUE!</v>
      </c>
      <c r="Q119" s="44"/>
      <c r="R119" s="24"/>
      <c r="S119" s="23" t="e">
        <f t="shared" si="3"/>
        <v>#DIV/0!</v>
      </c>
      <c r="T119" s="23" t="e">
        <f t="shared" si="4"/>
        <v>#DIV/0!</v>
      </c>
      <c r="U119" s="22" t="e">
        <f t="shared" si="5"/>
        <v>#DIV/0!</v>
      </c>
      <c r="V119" s="44"/>
      <c r="W119" s="44"/>
      <c r="X119" s="44"/>
      <c r="Y119" s="44"/>
      <c r="Z119" s="44"/>
    </row>
    <row r="120" spans="1:26" ht="15.75" customHeight="1">
      <c r="A120" s="44"/>
      <c r="B120" s="14"/>
      <c r="C120" s="53"/>
      <c r="D120" s="15"/>
      <c r="E120" s="89"/>
      <c r="F120" s="16"/>
      <c r="G120" s="16"/>
      <c r="H120" s="90" t="str">
        <f>IF(G120="Regular",Listas!$K$16,IF(G120="Premium",Listas!$K$17,IF(G120="Diesel",Listas!$K$18,"-")))</f>
        <v>-</v>
      </c>
      <c r="I120" s="17"/>
      <c r="J120" s="18"/>
      <c r="K120" s="19" t="str">
        <f>+IFERROR(IF(G120="Regular",VLOOKUP(C120,'PRECIO TERMINAL PEMEX'!$B$4:$E$35,2,0),IF(G120="Premium",VLOOKUP(C120,'PRECIO TERMINAL PEMEX'!$B$4:$E$35,3,0),IF(G120="Diesel",VLOOKUP(C120,'PRECIO TERMINAL PEMEX'!$B$4:$E$35,4,0),"Seleccione Producto"))),"-")</f>
        <v>Seleccione Producto</v>
      </c>
      <c r="L120" s="93" t="str">
        <f>+IFERROR(IF(F120="VHSA",VLOOKUP(B120,Listas!$C$4:$F$17,2,0),IF(F120="DOS BOCAS",VLOOKUP(B120,Listas!$C$4:$F$17,3,0),IF(F120="GLENCORE",VLOOKUP(B120,Listas!$C$4:$F$17,4,0),"Seleccione TAR"))),"-")</f>
        <v>Seleccione TAR</v>
      </c>
      <c r="M120" s="19" t="str">
        <f>+IFERROR(IF(G120="Regular",VLOOKUP(C120,'DESCUENTO PROVEEDORES'!$B$4:$E$35,2,0),IF(G120="Premium",VLOOKUP(C120,'DESCUENTO PROVEEDORES'!$B$4:$E$35,3,0),IF(G120="Diesel",VLOOKUP(C120,'DESCUENTO PROVEEDORES'!$B$4:$E$35,4,0),"Seleccione Proveedor"))),"-")</f>
        <v>Seleccione Proveedor</v>
      </c>
      <c r="N120" s="20" t="e">
        <f>((((K120-H120)/1.16)-M120))</f>
        <v>#VALUE!</v>
      </c>
      <c r="O120" s="21" t="e">
        <f>((N120*16%)+N120)+H120+L120</f>
        <v>#VALUE!</v>
      </c>
      <c r="P120" s="21" t="e">
        <f>(((J120-O120)-H120)/1.16)+H120</f>
        <v>#VALUE!</v>
      </c>
      <c r="Q120" s="44"/>
      <c r="R120" s="24"/>
      <c r="S120" s="23" t="e">
        <f t="shared" si="3"/>
        <v>#DIV/0!</v>
      </c>
      <c r="T120" s="23" t="e">
        <f t="shared" si="4"/>
        <v>#DIV/0!</v>
      </c>
      <c r="U120" s="22" t="e">
        <f t="shared" si="5"/>
        <v>#DIV/0!</v>
      </c>
      <c r="V120" s="44"/>
      <c r="W120" s="44"/>
      <c r="X120" s="44"/>
      <c r="Y120" s="44"/>
      <c r="Z120" s="44"/>
    </row>
    <row r="121" spans="1:26" ht="15.75" customHeight="1">
      <c r="A121" s="44"/>
      <c r="B121" s="14"/>
      <c r="C121" s="53"/>
      <c r="D121" s="15"/>
      <c r="E121" s="89"/>
      <c r="F121" s="16"/>
      <c r="G121" s="16"/>
      <c r="H121" s="90" t="str">
        <f>IF(G121="Regular",Listas!$K$16,IF(G121="Premium",Listas!$K$17,IF(G121="Diesel",Listas!$K$18,"-")))</f>
        <v>-</v>
      </c>
      <c r="I121" s="17"/>
      <c r="J121" s="18"/>
      <c r="K121" s="19" t="str">
        <f>+IFERROR(IF(G121="Regular",VLOOKUP(C121,'PRECIO TERMINAL PEMEX'!$B$4:$E$35,2,0),IF(G121="Premium",VLOOKUP(C121,'PRECIO TERMINAL PEMEX'!$B$4:$E$35,3,0),IF(G121="Diesel",VLOOKUP(C121,'PRECIO TERMINAL PEMEX'!$B$4:$E$35,4,0),"Seleccione Producto"))),"-")</f>
        <v>Seleccione Producto</v>
      </c>
      <c r="L121" s="93" t="str">
        <f>+IFERROR(IF(F121="VHSA",VLOOKUP(B121,Listas!$C$4:$F$17,2,0),IF(F121="DOS BOCAS",VLOOKUP(B121,Listas!$C$4:$F$17,3,0),IF(F121="GLENCORE",VLOOKUP(B121,Listas!$C$4:$F$17,4,0),"Seleccione TAR"))),"-")</f>
        <v>Seleccione TAR</v>
      </c>
      <c r="M121" s="19" t="str">
        <f>+IFERROR(IF(G121="Regular",VLOOKUP(C121,'DESCUENTO PROVEEDORES'!$B$4:$E$35,2,0),IF(G121="Premium",VLOOKUP(C121,'DESCUENTO PROVEEDORES'!$B$4:$E$35,3,0),IF(G121="Diesel",VLOOKUP(C121,'DESCUENTO PROVEEDORES'!$B$4:$E$35,4,0),"Seleccione Proveedor"))),"-")</f>
        <v>Seleccione Proveedor</v>
      </c>
      <c r="N121" s="20" t="e">
        <f>((((K121-H121)/1.16)-M121))</f>
        <v>#VALUE!</v>
      </c>
      <c r="O121" s="21" t="e">
        <f>((N121*16%)+N121)+H121+L121</f>
        <v>#VALUE!</v>
      </c>
      <c r="P121" s="21" t="e">
        <f>(((J121-O121)-H121)/1.16)+H121</f>
        <v>#VALUE!</v>
      </c>
      <c r="Q121" s="44"/>
      <c r="R121" s="24"/>
      <c r="S121" s="23" t="e">
        <f t="shared" si="3"/>
        <v>#DIV/0!</v>
      </c>
      <c r="T121" s="23" t="e">
        <f t="shared" si="4"/>
        <v>#DIV/0!</v>
      </c>
      <c r="U121" s="22" t="e">
        <f t="shared" si="5"/>
        <v>#DIV/0!</v>
      </c>
      <c r="V121" s="44"/>
      <c r="W121" s="44"/>
      <c r="X121" s="44"/>
      <c r="Y121" s="44"/>
      <c r="Z121" s="44"/>
    </row>
    <row r="122" spans="1:26" ht="15.75" customHeight="1">
      <c r="A122" s="44" t="s">
        <v>37</v>
      </c>
      <c r="B122" s="14"/>
      <c r="C122" s="53"/>
      <c r="D122" s="15"/>
      <c r="E122" s="89"/>
      <c r="F122" s="16"/>
      <c r="G122" s="16"/>
      <c r="H122" s="90" t="str">
        <f>IF(G122="Regular",Listas!$K$16,IF(G122="Premium",Listas!$K$17,IF(G122="Diesel",Listas!$K$18,"-")))</f>
        <v>-</v>
      </c>
      <c r="I122" s="17"/>
      <c r="J122" s="18"/>
      <c r="K122" s="19" t="str">
        <f>+IFERROR(IF(G122="Regular",VLOOKUP(C122,'PRECIO TERMINAL PEMEX'!$B$4:$E$35,2,0),IF(G122="Premium",VLOOKUP(C122,'PRECIO TERMINAL PEMEX'!$B$4:$E$35,3,0),IF(G122="Diesel",VLOOKUP(C122,'PRECIO TERMINAL PEMEX'!$B$4:$E$35,4,0),"Seleccione Producto"))),"-")</f>
        <v>Seleccione Producto</v>
      </c>
      <c r="L122" s="93" t="str">
        <f>+IFERROR(IF(F122="VHSA",VLOOKUP(B122,Listas!$C$4:$F$17,2,0),IF(F122="DOS BOCAS",VLOOKUP(B122,Listas!$C$4:$F$17,3,0),IF(F122="GLENCORE",VLOOKUP(B122,Listas!$C$4:$F$17,4,0),"Seleccione TAR"))),"-")</f>
        <v>Seleccione TAR</v>
      </c>
      <c r="M122" s="19" t="str">
        <f>+IFERROR(IF(G122="Regular",VLOOKUP(C122,'DESCUENTO PROVEEDORES'!$B$4:$E$35,2,0),IF(G122="Premium",VLOOKUP(C122,'DESCUENTO PROVEEDORES'!$B$4:$E$35,3,0),IF(G122="Diesel",VLOOKUP(C122,'DESCUENTO PROVEEDORES'!$B$4:$E$35,4,0),"Seleccione Proveedor"))),"-")</f>
        <v>Seleccione Proveedor</v>
      </c>
      <c r="N122" s="20" t="e">
        <f>((((K122-H122)/1.16)-M122))</f>
        <v>#VALUE!</v>
      </c>
      <c r="O122" s="21" t="e">
        <f>((N122*16%)+N122)+H122+L122</f>
        <v>#VALUE!</v>
      </c>
      <c r="P122" s="21" t="e">
        <f>(((J122-O122)-H122)/1.16)+H122</f>
        <v>#VALUE!</v>
      </c>
      <c r="Q122" s="44"/>
      <c r="R122" s="24"/>
      <c r="S122" s="23" t="e">
        <f t="shared" si="3"/>
        <v>#DIV/0!</v>
      </c>
      <c r="T122" s="23" t="e">
        <f t="shared" si="4"/>
        <v>#DIV/0!</v>
      </c>
      <c r="U122" s="22" t="e">
        <f t="shared" si="5"/>
        <v>#DIV/0!</v>
      </c>
      <c r="V122" s="44"/>
      <c r="W122" s="44"/>
      <c r="X122" s="44"/>
      <c r="Y122" s="44"/>
      <c r="Z122" s="44"/>
    </row>
    <row r="123" spans="1:26" ht="15.75" customHeight="1">
      <c r="A123" s="44"/>
      <c r="B123" s="14"/>
      <c r="C123" s="53"/>
      <c r="D123" s="15"/>
      <c r="E123" s="89"/>
      <c r="F123" s="16"/>
      <c r="G123" s="16"/>
      <c r="H123" s="90" t="str">
        <f>IF(G123="Regular",Listas!$K$16,IF(G123="Premium",Listas!$K$17,IF(G123="Diesel",Listas!$K$18,"-")))</f>
        <v>-</v>
      </c>
      <c r="I123" s="17"/>
      <c r="J123" s="18"/>
      <c r="K123" s="19" t="str">
        <f>+IFERROR(IF(G123="Regular",VLOOKUP(C123,'PRECIO TERMINAL PEMEX'!$B$4:$E$35,2,0),IF(G123="Premium",VLOOKUP(C123,'PRECIO TERMINAL PEMEX'!$B$4:$E$35,3,0),IF(G123="Diesel",VLOOKUP(C123,'PRECIO TERMINAL PEMEX'!$B$4:$E$35,4,0),"Seleccione Producto"))),"-")</f>
        <v>Seleccione Producto</v>
      </c>
      <c r="L123" s="93" t="str">
        <f>+IFERROR(IF(F123="VHSA",VLOOKUP(B123,Listas!$C$4:$F$17,2,0),IF(F123="DOS BOCAS",VLOOKUP(B123,Listas!$C$4:$F$17,3,0),IF(F123="GLENCORE",VLOOKUP(B123,Listas!$C$4:$F$17,4,0),"Seleccione TAR"))),"-")</f>
        <v>Seleccione TAR</v>
      </c>
      <c r="M123" s="19" t="str">
        <f>+IFERROR(IF(G123="Regular",VLOOKUP(C123,'DESCUENTO PROVEEDORES'!$B$4:$E$35,2,0),IF(G123="Premium",VLOOKUP(C123,'DESCUENTO PROVEEDORES'!$B$4:$E$35,3,0),IF(G123="Diesel",VLOOKUP(C123,'DESCUENTO PROVEEDORES'!$B$4:$E$35,4,0),"Seleccione Proveedor"))),"-")</f>
        <v>Seleccione Proveedor</v>
      </c>
      <c r="N123" s="20" t="e">
        <f>((((K123-H123)/1.16)-M123))</f>
        <v>#VALUE!</v>
      </c>
      <c r="O123" s="21" t="e">
        <f>((N123*16%)+N123)+H123+L123</f>
        <v>#VALUE!</v>
      </c>
      <c r="P123" s="21" t="e">
        <f>(((J123-O123)-H123)/1.16)+H123</f>
        <v>#VALUE!</v>
      </c>
      <c r="Q123" s="44"/>
      <c r="R123" s="24"/>
      <c r="S123" s="23" t="e">
        <f t="shared" si="3"/>
        <v>#DIV/0!</v>
      </c>
      <c r="T123" s="23" t="e">
        <f t="shared" si="4"/>
        <v>#DIV/0!</v>
      </c>
      <c r="U123" s="22" t="e">
        <f t="shared" si="5"/>
        <v>#DIV/0!</v>
      </c>
      <c r="V123" s="44"/>
      <c r="W123" s="44"/>
      <c r="X123" s="44"/>
      <c r="Y123" s="44"/>
      <c r="Z123" s="44"/>
    </row>
    <row r="124" spans="1:26" ht="15.75" customHeight="1">
      <c r="A124" s="44"/>
      <c r="B124" s="14"/>
      <c r="C124" s="53"/>
      <c r="D124" s="15"/>
      <c r="E124" s="89"/>
      <c r="F124" s="16"/>
      <c r="G124" s="16"/>
      <c r="H124" s="90" t="str">
        <f>IF(G124="Regular",Listas!$K$16,IF(G124="Premium",Listas!$K$17,IF(G124="Diesel",Listas!$K$18,"-")))</f>
        <v>-</v>
      </c>
      <c r="I124" s="17"/>
      <c r="J124" s="18"/>
      <c r="K124" s="19" t="str">
        <f>+IFERROR(IF(G124="Regular",VLOOKUP(C124,'PRECIO TERMINAL PEMEX'!$B$4:$E$35,2,0),IF(G124="Premium",VLOOKUP(C124,'PRECIO TERMINAL PEMEX'!$B$4:$E$35,3,0),IF(G124="Diesel",VLOOKUP(C124,'PRECIO TERMINAL PEMEX'!$B$4:$E$35,4,0),"Seleccione Producto"))),"-")</f>
        <v>Seleccione Producto</v>
      </c>
      <c r="L124" s="93" t="str">
        <f>+IFERROR(IF(F124="VHSA",VLOOKUP(B124,Listas!$C$4:$F$17,2,0),IF(F124="DOS BOCAS",VLOOKUP(B124,Listas!$C$4:$F$17,3,0),IF(F124="GLENCORE",VLOOKUP(B124,Listas!$C$4:$F$17,4,0),"Seleccione TAR"))),"-")</f>
        <v>Seleccione TAR</v>
      </c>
      <c r="M124" s="19" t="str">
        <f>+IFERROR(IF(G124="Regular",VLOOKUP(C124,'DESCUENTO PROVEEDORES'!$B$4:$E$35,2,0),IF(G124="Premium",VLOOKUP(C124,'DESCUENTO PROVEEDORES'!$B$4:$E$35,3,0),IF(G124="Diesel",VLOOKUP(C124,'DESCUENTO PROVEEDORES'!$B$4:$E$35,4,0),"Seleccione Proveedor"))),"-")</f>
        <v>Seleccione Proveedor</v>
      </c>
      <c r="N124" s="20" t="e">
        <f>((((K124-H124)/1.16)-M124))</f>
        <v>#VALUE!</v>
      </c>
      <c r="O124" s="21" t="e">
        <f>((N124*16%)+N124)+H124+L124</f>
        <v>#VALUE!</v>
      </c>
      <c r="P124" s="21" t="e">
        <f>(((J124-O124)-H124)/1.16)+H124</f>
        <v>#VALUE!</v>
      </c>
      <c r="Q124" s="44"/>
      <c r="R124" s="24"/>
      <c r="S124" s="23" t="e">
        <f t="shared" si="3"/>
        <v>#DIV/0!</v>
      </c>
      <c r="T124" s="23" t="e">
        <f t="shared" si="4"/>
        <v>#DIV/0!</v>
      </c>
      <c r="U124" s="22" t="e">
        <f t="shared" si="5"/>
        <v>#DIV/0!</v>
      </c>
      <c r="V124" s="44"/>
      <c r="W124" s="44"/>
      <c r="X124" s="44"/>
      <c r="Y124" s="44"/>
      <c r="Z124" s="44"/>
    </row>
    <row r="125" spans="1:26" ht="15.75" customHeight="1">
      <c r="A125" s="44"/>
      <c r="B125" s="14"/>
      <c r="C125" s="53"/>
      <c r="D125" s="15"/>
      <c r="E125" s="89"/>
      <c r="F125" s="16"/>
      <c r="G125" s="16"/>
      <c r="H125" s="90" t="str">
        <f>IF(G125="Regular",Listas!$K$16,IF(G125="Premium",Listas!$K$17,IF(G125="Diesel",Listas!$K$18,"-")))</f>
        <v>-</v>
      </c>
      <c r="I125" s="17"/>
      <c r="J125" s="18"/>
      <c r="K125" s="19" t="str">
        <f>+IFERROR(IF(G125="Regular",VLOOKUP(C125,'PRECIO TERMINAL PEMEX'!$B$4:$E$35,2,0),IF(G125="Premium",VLOOKUP(C125,'PRECIO TERMINAL PEMEX'!$B$4:$E$35,3,0),IF(G125="Diesel",VLOOKUP(C125,'PRECIO TERMINAL PEMEX'!$B$4:$E$35,4,0),"Seleccione Producto"))),"-")</f>
        <v>Seleccione Producto</v>
      </c>
      <c r="L125" s="93" t="str">
        <f>+IFERROR(IF(F125="VHSA",VLOOKUP(B125,Listas!$C$4:$F$17,2,0),IF(F125="DOS BOCAS",VLOOKUP(B125,Listas!$C$4:$F$17,3,0),IF(F125="GLENCORE",VLOOKUP(B125,Listas!$C$4:$F$17,4,0),"Seleccione TAR"))),"-")</f>
        <v>Seleccione TAR</v>
      </c>
      <c r="M125" s="19" t="str">
        <f>+IFERROR(IF(G125="Regular",VLOOKUP(C125,'DESCUENTO PROVEEDORES'!$B$4:$E$35,2,0),IF(G125="Premium",VLOOKUP(C125,'DESCUENTO PROVEEDORES'!$B$4:$E$35,3,0),IF(G125="Diesel",VLOOKUP(C125,'DESCUENTO PROVEEDORES'!$B$4:$E$35,4,0),"Seleccione Proveedor"))),"-")</f>
        <v>Seleccione Proveedor</v>
      </c>
      <c r="N125" s="20" t="e">
        <f>((((K125-H125)/1.16)-M125))</f>
        <v>#VALUE!</v>
      </c>
      <c r="O125" s="21" t="e">
        <f>((N125*16%)+N125)+H125+L125</f>
        <v>#VALUE!</v>
      </c>
      <c r="P125" s="21" t="e">
        <f>(((J125-O125)-H125)/1.16)+H125</f>
        <v>#VALUE!</v>
      </c>
      <c r="Q125" s="44"/>
      <c r="R125" s="24"/>
      <c r="S125" s="23" t="e">
        <f t="shared" si="3"/>
        <v>#DIV/0!</v>
      </c>
      <c r="T125" s="23" t="e">
        <f t="shared" si="4"/>
        <v>#DIV/0!</v>
      </c>
      <c r="U125" s="22" t="e">
        <f t="shared" si="5"/>
        <v>#DIV/0!</v>
      </c>
      <c r="V125" s="44"/>
      <c r="W125" s="44"/>
      <c r="X125" s="44"/>
      <c r="Y125" s="44"/>
      <c r="Z125" s="44"/>
    </row>
    <row r="126" spans="1:26" ht="15.75" customHeight="1">
      <c r="A126" s="44"/>
      <c r="B126" s="14"/>
      <c r="C126" s="53"/>
      <c r="D126" s="15"/>
      <c r="E126" s="89"/>
      <c r="F126" s="16"/>
      <c r="G126" s="16"/>
      <c r="H126" s="90" t="str">
        <f>IF(G126="Regular",Listas!$K$16,IF(G126="Premium",Listas!$K$17,IF(G126="Diesel",Listas!$K$18,"-")))</f>
        <v>-</v>
      </c>
      <c r="I126" s="17"/>
      <c r="J126" s="18"/>
      <c r="K126" s="19" t="str">
        <f>+IFERROR(IF(G126="Regular",VLOOKUP(C126,'PRECIO TERMINAL PEMEX'!$B$4:$E$35,2,0),IF(G126="Premium",VLOOKUP(C126,'PRECIO TERMINAL PEMEX'!$B$4:$E$35,3,0),IF(G126="Diesel",VLOOKUP(C126,'PRECIO TERMINAL PEMEX'!$B$4:$E$35,4,0),"Seleccione Producto"))),"-")</f>
        <v>Seleccione Producto</v>
      </c>
      <c r="L126" s="93" t="str">
        <f>+IFERROR(IF(F126="VHSA",VLOOKUP(B126,Listas!$C$4:$F$17,2,0),IF(F126="DOS BOCAS",VLOOKUP(B126,Listas!$C$4:$F$17,3,0),IF(F126="GLENCORE",VLOOKUP(B126,Listas!$C$4:$F$17,4,0),"Seleccione TAR"))),"-")</f>
        <v>Seleccione TAR</v>
      </c>
      <c r="M126" s="19" t="str">
        <f>+IFERROR(IF(G126="Regular",VLOOKUP(C126,'DESCUENTO PROVEEDORES'!$B$4:$E$35,2,0),IF(G126="Premium",VLOOKUP(C126,'DESCUENTO PROVEEDORES'!$B$4:$E$35,3,0),IF(G126="Diesel",VLOOKUP(C126,'DESCUENTO PROVEEDORES'!$B$4:$E$35,4,0),"Seleccione Proveedor"))),"-")</f>
        <v>Seleccione Proveedor</v>
      </c>
      <c r="N126" s="20" t="e">
        <f>((((K126-H126)/1.16)-M126))</f>
        <v>#VALUE!</v>
      </c>
      <c r="O126" s="21" t="e">
        <f>((N126*16%)+N126)+H126+L126</f>
        <v>#VALUE!</v>
      </c>
      <c r="P126" s="21" t="e">
        <f>(((J126-O126)-H126)/1.16)+H126</f>
        <v>#VALUE!</v>
      </c>
      <c r="Q126" s="44"/>
      <c r="R126" s="24"/>
      <c r="S126" s="23" t="e">
        <f t="shared" si="3"/>
        <v>#DIV/0!</v>
      </c>
      <c r="T126" s="23" t="e">
        <f t="shared" si="4"/>
        <v>#DIV/0!</v>
      </c>
      <c r="U126" s="22" t="e">
        <f t="shared" si="5"/>
        <v>#DIV/0!</v>
      </c>
      <c r="V126" s="44"/>
      <c r="W126" s="44"/>
      <c r="X126" s="44"/>
      <c r="Y126" s="44"/>
      <c r="Z126" s="44"/>
    </row>
    <row r="127" spans="1:26" ht="15.75" customHeight="1">
      <c r="A127" s="44"/>
      <c r="B127" s="14"/>
      <c r="C127" s="53"/>
      <c r="D127" s="15"/>
      <c r="E127" s="89"/>
      <c r="F127" s="16"/>
      <c r="G127" s="16"/>
      <c r="H127" s="90" t="str">
        <f>IF(G127="Regular",Listas!$K$16,IF(G127="Premium",Listas!$K$17,IF(G127="Diesel",Listas!$K$18,"-")))</f>
        <v>-</v>
      </c>
      <c r="I127" s="17"/>
      <c r="J127" s="18"/>
      <c r="K127" s="19" t="str">
        <f>+IFERROR(IF(G127="Regular",VLOOKUP(C127,'PRECIO TERMINAL PEMEX'!$B$4:$E$35,2,0),IF(G127="Premium",VLOOKUP(C127,'PRECIO TERMINAL PEMEX'!$B$4:$E$35,3,0),IF(G127="Diesel",VLOOKUP(C127,'PRECIO TERMINAL PEMEX'!$B$4:$E$35,4,0),"Seleccione Producto"))),"-")</f>
        <v>Seleccione Producto</v>
      </c>
      <c r="L127" s="93" t="str">
        <f>+IFERROR(IF(F127="VHSA",VLOOKUP(B127,Listas!$C$4:$F$17,2,0),IF(F127="DOS BOCAS",VLOOKUP(B127,Listas!$C$4:$F$17,3,0),IF(F127="GLENCORE",VLOOKUP(B127,Listas!$C$4:$F$17,4,0),"Seleccione TAR"))),"-")</f>
        <v>Seleccione TAR</v>
      </c>
      <c r="M127" s="19" t="str">
        <f>+IFERROR(IF(G127="Regular",VLOOKUP(C127,'DESCUENTO PROVEEDORES'!$B$4:$E$35,2,0),IF(G127="Premium",VLOOKUP(C127,'DESCUENTO PROVEEDORES'!$B$4:$E$35,3,0),IF(G127="Diesel",VLOOKUP(C127,'DESCUENTO PROVEEDORES'!$B$4:$E$35,4,0),"Seleccione Proveedor"))),"-")</f>
        <v>Seleccione Proveedor</v>
      </c>
      <c r="N127" s="20" t="e">
        <f>((((K127-H127)/1.16)-M127))</f>
        <v>#VALUE!</v>
      </c>
      <c r="O127" s="21" t="e">
        <f>((N127*16%)+N127)+H127+L127</f>
        <v>#VALUE!</v>
      </c>
      <c r="P127" s="21" t="e">
        <f>(((J127-O127)-H127)/1.16)+H127</f>
        <v>#VALUE!</v>
      </c>
      <c r="Q127" s="44"/>
      <c r="R127" s="24"/>
      <c r="S127" s="23" t="e">
        <f t="shared" si="3"/>
        <v>#DIV/0!</v>
      </c>
      <c r="T127" s="23" t="e">
        <f t="shared" si="4"/>
        <v>#DIV/0!</v>
      </c>
      <c r="U127" s="22" t="e">
        <f t="shared" si="5"/>
        <v>#DIV/0!</v>
      </c>
      <c r="V127" s="44"/>
      <c r="W127" s="44"/>
      <c r="X127" s="44"/>
      <c r="Y127" s="44"/>
      <c r="Z127" s="44"/>
    </row>
    <row r="128" spans="1:26" ht="15.75" customHeight="1">
      <c r="A128" s="44"/>
      <c r="B128" s="14"/>
      <c r="C128" s="53"/>
      <c r="D128" s="15"/>
      <c r="E128" s="89"/>
      <c r="F128" s="16"/>
      <c r="G128" s="16"/>
      <c r="H128" s="90" t="str">
        <f>IF(G128="Regular",Listas!$K$16,IF(G128="Premium",Listas!$K$17,IF(G128="Diesel",Listas!$K$18,"-")))</f>
        <v>-</v>
      </c>
      <c r="I128" s="17"/>
      <c r="J128" s="18"/>
      <c r="K128" s="19" t="str">
        <f>+IFERROR(IF(G128="Regular",VLOOKUP(C128,'PRECIO TERMINAL PEMEX'!$B$4:$E$35,2,0),IF(G128="Premium",VLOOKUP(C128,'PRECIO TERMINAL PEMEX'!$B$4:$E$35,3,0),IF(G128="Diesel",VLOOKUP(C128,'PRECIO TERMINAL PEMEX'!$B$4:$E$35,4,0),"Seleccione Producto"))),"-")</f>
        <v>Seleccione Producto</v>
      </c>
      <c r="L128" s="93" t="str">
        <f>+IFERROR(IF(F128="VHSA",VLOOKUP(B128,Listas!$C$4:$F$17,2,0),IF(F128="DOS BOCAS",VLOOKUP(B128,Listas!$C$4:$F$17,3,0),IF(F128="GLENCORE",VLOOKUP(B128,Listas!$C$4:$F$17,4,0),"Seleccione TAR"))),"-")</f>
        <v>Seleccione TAR</v>
      </c>
      <c r="M128" s="19" t="str">
        <f>+IFERROR(IF(G128="Regular",VLOOKUP(C128,'DESCUENTO PROVEEDORES'!$B$4:$E$35,2,0),IF(G128="Premium",VLOOKUP(C128,'DESCUENTO PROVEEDORES'!$B$4:$E$35,3,0),IF(G128="Diesel",VLOOKUP(C128,'DESCUENTO PROVEEDORES'!$B$4:$E$35,4,0),"Seleccione Proveedor"))),"-")</f>
        <v>Seleccione Proveedor</v>
      </c>
      <c r="N128" s="20" t="e">
        <f>((((K128-H128)/1.16)-M128))</f>
        <v>#VALUE!</v>
      </c>
      <c r="O128" s="21" t="e">
        <f>((N128*16%)+N128)+H128+L128</f>
        <v>#VALUE!</v>
      </c>
      <c r="P128" s="21" t="e">
        <f>(((J128-O128)-H128)/1.16)+H128</f>
        <v>#VALUE!</v>
      </c>
      <c r="Q128" s="44"/>
      <c r="R128" s="24"/>
      <c r="S128" s="23" t="e">
        <f t="shared" si="3"/>
        <v>#DIV/0!</v>
      </c>
      <c r="T128" s="23" t="e">
        <f t="shared" si="4"/>
        <v>#DIV/0!</v>
      </c>
      <c r="U128" s="22" t="e">
        <f t="shared" si="5"/>
        <v>#DIV/0!</v>
      </c>
      <c r="V128" s="44"/>
      <c r="W128" s="44"/>
      <c r="X128" s="44"/>
      <c r="Y128" s="44"/>
      <c r="Z128" s="44"/>
    </row>
    <row r="129" spans="1:26" ht="15.75" customHeight="1">
      <c r="A129" s="44"/>
      <c r="B129" s="14"/>
      <c r="C129" s="53"/>
      <c r="D129" s="15"/>
      <c r="E129" s="89"/>
      <c r="F129" s="16"/>
      <c r="G129" s="16"/>
      <c r="H129" s="90" t="str">
        <f>IF(G129="Regular",Listas!$K$16,IF(G129="Premium",Listas!$K$17,IF(G129="Diesel",Listas!$K$18,"-")))</f>
        <v>-</v>
      </c>
      <c r="I129" s="17"/>
      <c r="J129" s="18"/>
      <c r="K129" s="19" t="str">
        <f>+IFERROR(IF(G129="Regular",VLOOKUP(C129,'PRECIO TERMINAL PEMEX'!$B$4:$E$35,2,0),IF(G129="Premium",VLOOKUP(C129,'PRECIO TERMINAL PEMEX'!$B$4:$E$35,3,0),IF(G129="Diesel",VLOOKUP(C129,'PRECIO TERMINAL PEMEX'!$B$4:$E$35,4,0),"Seleccione Producto"))),"-")</f>
        <v>Seleccione Producto</v>
      </c>
      <c r="L129" s="93" t="str">
        <f>+IFERROR(IF(F129="VHSA",VLOOKUP(B129,Listas!$C$4:$F$17,2,0),IF(F129="DOS BOCAS",VLOOKUP(B129,Listas!$C$4:$F$17,3,0),IF(F129="GLENCORE",VLOOKUP(B129,Listas!$C$4:$F$17,4,0),"Seleccione TAR"))),"-")</f>
        <v>Seleccione TAR</v>
      </c>
      <c r="M129" s="19" t="str">
        <f>+IFERROR(IF(G129="Regular",VLOOKUP(C129,'DESCUENTO PROVEEDORES'!$B$4:$E$35,2,0),IF(G129="Premium",VLOOKUP(C129,'DESCUENTO PROVEEDORES'!$B$4:$E$35,3,0),IF(G129="Diesel",VLOOKUP(C129,'DESCUENTO PROVEEDORES'!$B$4:$E$35,4,0),"Seleccione Proveedor"))),"-")</f>
        <v>Seleccione Proveedor</v>
      </c>
      <c r="N129" s="20" t="e">
        <f>((((K129-H129)/1.16)-M129))</f>
        <v>#VALUE!</v>
      </c>
      <c r="O129" s="21" t="e">
        <f>((N129*16%)+N129)+H129+L129</f>
        <v>#VALUE!</v>
      </c>
      <c r="P129" s="21" t="e">
        <f>(((J129-O129)-H129)/1.16)+H129</f>
        <v>#VALUE!</v>
      </c>
      <c r="Q129" s="44"/>
      <c r="R129" s="24"/>
      <c r="S129" s="23" t="e">
        <f t="shared" si="3"/>
        <v>#DIV/0!</v>
      </c>
      <c r="T129" s="23" t="e">
        <f t="shared" si="4"/>
        <v>#DIV/0!</v>
      </c>
      <c r="U129" s="22" t="e">
        <f t="shared" si="5"/>
        <v>#DIV/0!</v>
      </c>
      <c r="V129" s="44"/>
      <c r="W129" s="44"/>
      <c r="X129" s="44"/>
      <c r="Y129" s="44"/>
      <c r="Z129" s="44"/>
    </row>
    <row r="130" spans="1:26" ht="15.75" customHeight="1">
      <c r="A130" s="44"/>
      <c r="B130" s="14"/>
      <c r="C130" s="53"/>
      <c r="D130" s="15"/>
      <c r="E130" s="89"/>
      <c r="F130" s="16"/>
      <c r="G130" s="16"/>
      <c r="H130" s="90" t="str">
        <f>IF(G130="Regular",Listas!$K$16,IF(G130="Premium",Listas!$K$17,IF(G130="Diesel",Listas!$K$18,"-")))</f>
        <v>-</v>
      </c>
      <c r="I130" s="17"/>
      <c r="J130" s="18"/>
      <c r="K130" s="19" t="str">
        <f>+IFERROR(IF(G130="Regular",VLOOKUP(C130,'PRECIO TERMINAL PEMEX'!$B$4:$E$35,2,0),IF(G130="Premium",VLOOKUP(C130,'PRECIO TERMINAL PEMEX'!$B$4:$E$35,3,0),IF(G130="Diesel",VLOOKUP(C130,'PRECIO TERMINAL PEMEX'!$B$4:$E$35,4,0),"Seleccione Producto"))),"-")</f>
        <v>Seleccione Producto</v>
      </c>
      <c r="L130" s="93" t="str">
        <f>+IFERROR(IF(F130="VHSA",VLOOKUP(B130,Listas!$C$4:$F$17,2,0),IF(F130="DOS BOCAS",VLOOKUP(B130,Listas!$C$4:$F$17,3,0),IF(F130="GLENCORE",VLOOKUP(B130,Listas!$C$4:$F$17,4,0),"Seleccione TAR"))),"-")</f>
        <v>Seleccione TAR</v>
      </c>
      <c r="M130" s="19" t="str">
        <f>+IFERROR(IF(G130="Regular",VLOOKUP(C130,'DESCUENTO PROVEEDORES'!$B$4:$E$35,2,0),IF(G130="Premium",VLOOKUP(C130,'DESCUENTO PROVEEDORES'!$B$4:$E$35,3,0),IF(G130="Diesel",VLOOKUP(C130,'DESCUENTO PROVEEDORES'!$B$4:$E$35,4,0),"Seleccione Proveedor"))),"-")</f>
        <v>Seleccione Proveedor</v>
      </c>
      <c r="N130" s="20" t="e">
        <f>((((K130-H130)/1.16)-M130))</f>
        <v>#VALUE!</v>
      </c>
      <c r="O130" s="21" t="e">
        <f>((N130*16%)+N130)+H130+L130</f>
        <v>#VALUE!</v>
      </c>
      <c r="P130" s="21" t="e">
        <f>(((J130-O130)-H130)/1.16)+H130</f>
        <v>#VALUE!</v>
      </c>
      <c r="Q130" s="44"/>
      <c r="R130" s="24"/>
      <c r="S130" s="23" t="e">
        <f t="shared" si="3"/>
        <v>#DIV/0!</v>
      </c>
      <c r="T130" s="23" t="e">
        <f t="shared" si="4"/>
        <v>#DIV/0!</v>
      </c>
      <c r="U130" s="22" t="e">
        <f t="shared" si="5"/>
        <v>#DIV/0!</v>
      </c>
      <c r="V130" s="44"/>
      <c r="W130" s="44"/>
      <c r="X130" s="44"/>
      <c r="Y130" s="44"/>
      <c r="Z130" s="44"/>
    </row>
    <row r="131" spans="1:26" ht="15.75" customHeight="1">
      <c r="A131" s="44"/>
      <c r="B131" s="14"/>
      <c r="C131" s="53"/>
      <c r="D131" s="15"/>
      <c r="E131" s="89"/>
      <c r="F131" s="16"/>
      <c r="G131" s="16"/>
      <c r="H131" s="90" t="str">
        <f>IF(G131="Regular",Listas!$K$16,IF(G131="Premium",Listas!$K$17,IF(G131="Diesel",Listas!$K$18,"-")))</f>
        <v>-</v>
      </c>
      <c r="I131" s="17"/>
      <c r="J131" s="18"/>
      <c r="K131" s="19" t="str">
        <f>+IFERROR(IF(G131="Regular",VLOOKUP(C131,'PRECIO TERMINAL PEMEX'!$B$4:$E$35,2,0),IF(G131="Premium",VLOOKUP(C131,'PRECIO TERMINAL PEMEX'!$B$4:$E$35,3,0),IF(G131="Diesel",VLOOKUP(C131,'PRECIO TERMINAL PEMEX'!$B$4:$E$35,4,0),"Seleccione Producto"))),"-")</f>
        <v>Seleccione Producto</v>
      </c>
      <c r="L131" s="93" t="str">
        <f>+IFERROR(IF(F131="VHSA",VLOOKUP(B131,Listas!$C$4:$F$17,2,0),IF(F131="DOS BOCAS",VLOOKUP(B131,Listas!$C$4:$F$17,3,0),IF(F131="GLENCORE",VLOOKUP(B131,Listas!$C$4:$F$17,4,0),"Seleccione TAR"))),"-")</f>
        <v>Seleccione TAR</v>
      </c>
      <c r="M131" s="19" t="str">
        <f>+IFERROR(IF(G131="Regular",VLOOKUP(C131,'DESCUENTO PROVEEDORES'!$B$4:$E$35,2,0),IF(G131="Premium",VLOOKUP(C131,'DESCUENTO PROVEEDORES'!$B$4:$E$35,3,0),IF(G131="Diesel",VLOOKUP(C131,'DESCUENTO PROVEEDORES'!$B$4:$E$35,4,0),"Seleccione Proveedor"))),"-")</f>
        <v>Seleccione Proveedor</v>
      </c>
      <c r="N131" s="20" t="e">
        <f>((((K131-H131)/1.16)-M131))</f>
        <v>#VALUE!</v>
      </c>
      <c r="O131" s="21" t="e">
        <f>((N131*16%)+N131)+H131+L131</f>
        <v>#VALUE!</v>
      </c>
      <c r="P131" s="21" t="e">
        <f>(((J131-O131)-H131)/1.16)+H131</f>
        <v>#VALUE!</v>
      </c>
      <c r="Q131" s="44"/>
      <c r="R131" s="24"/>
      <c r="S131" s="23" t="e">
        <f t="shared" si="3"/>
        <v>#DIV/0!</v>
      </c>
      <c r="T131" s="23" t="e">
        <f t="shared" si="4"/>
        <v>#DIV/0!</v>
      </c>
      <c r="U131" s="22" t="e">
        <f t="shared" si="5"/>
        <v>#DIV/0!</v>
      </c>
      <c r="V131" s="44"/>
      <c r="W131" s="44"/>
      <c r="X131" s="44"/>
      <c r="Y131" s="44"/>
      <c r="Z131" s="44"/>
    </row>
    <row r="132" spans="1:26" ht="15.75" customHeight="1">
      <c r="A132" s="44"/>
      <c r="B132" s="14"/>
      <c r="C132" s="53"/>
      <c r="D132" s="15"/>
      <c r="E132" s="89"/>
      <c r="F132" s="16"/>
      <c r="G132" s="16"/>
      <c r="H132" s="90" t="str">
        <f>IF(G132="Regular",Listas!$K$16,IF(G132="Premium",Listas!$K$17,IF(G132="Diesel",Listas!$K$18,"-")))</f>
        <v>-</v>
      </c>
      <c r="I132" s="17"/>
      <c r="J132" s="18"/>
      <c r="K132" s="19" t="str">
        <f>+IFERROR(IF(G132="Regular",VLOOKUP(C132,'PRECIO TERMINAL PEMEX'!$B$4:$E$35,2,0),IF(G132="Premium",VLOOKUP(C132,'PRECIO TERMINAL PEMEX'!$B$4:$E$35,3,0),IF(G132="Diesel",VLOOKUP(C132,'PRECIO TERMINAL PEMEX'!$B$4:$E$35,4,0),"Seleccione Producto"))),"-")</f>
        <v>Seleccione Producto</v>
      </c>
      <c r="L132" s="93" t="str">
        <f>+IFERROR(IF(F132="VHSA",VLOOKUP(B132,Listas!$C$4:$F$17,2,0),IF(F132="DOS BOCAS",VLOOKUP(B132,Listas!$C$4:$F$17,3,0),IF(F132="GLENCORE",VLOOKUP(B132,Listas!$C$4:$F$17,4,0),"Seleccione TAR"))),"-")</f>
        <v>Seleccione TAR</v>
      </c>
      <c r="M132" s="19" t="str">
        <f>+IFERROR(IF(G132="Regular",VLOOKUP(C132,'DESCUENTO PROVEEDORES'!$B$4:$E$35,2,0),IF(G132="Premium",VLOOKUP(C132,'DESCUENTO PROVEEDORES'!$B$4:$E$35,3,0),IF(G132="Diesel",VLOOKUP(C132,'DESCUENTO PROVEEDORES'!$B$4:$E$35,4,0),"Seleccione Proveedor"))),"-")</f>
        <v>Seleccione Proveedor</v>
      </c>
      <c r="N132" s="20" t="e">
        <f>((((K132-H132)/1.16)-M132))</f>
        <v>#VALUE!</v>
      </c>
      <c r="O132" s="21" t="e">
        <f>((N132*16%)+N132)+H132+L132</f>
        <v>#VALUE!</v>
      </c>
      <c r="P132" s="21" t="e">
        <f>(((J132-O132)-H132)/1.16)+H132</f>
        <v>#VALUE!</v>
      </c>
      <c r="Q132" s="44"/>
      <c r="R132" s="24"/>
      <c r="S132" s="23" t="e">
        <f t="shared" si="3"/>
        <v>#DIV/0!</v>
      </c>
      <c r="T132" s="23" t="e">
        <f t="shared" si="4"/>
        <v>#DIV/0!</v>
      </c>
      <c r="U132" s="22" t="e">
        <f t="shared" si="5"/>
        <v>#DIV/0!</v>
      </c>
      <c r="V132" s="44"/>
      <c r="W132" s="44"/>
      <c r="X132" s="44"/>
      <c r="Y132" s="44"/>
      <c r="Z132" s="44"/>
    </row>
    <row r="133" spans="1:26" ht="15.75" customHeight="1">
      <c r="A133" s="44"/>
      <c r="B133" s="14"/>
      <c r="C133" s="53"/>
      <c r="D133" s="15"/>
      <c r="E133" s="89"/>
      <c r="F133" s="16"/>
      <c r="G133" s="16"/>
      <c r="H133" s="90" t="str">
        <f>IF(G133="Regular",Listas!$K$16,IF(G133="Premium",Listas!$K$17,IF(G133="Diesel",Listas!$K$18,"-")))</f>
        <v>-</v>
      </c>
      <c r="I133" s="17"/>
      <c r="J133" s="18"/>
      <c r="K133" s="19" t="str">
        <f>+IFERROR(IF(G133="Regular",VLOOKUP(C133,'PRECIO TERMINAL PEMEX'!$B$4:$E$35,2,0),IF(G133="Premium",VLOOKUP(C133,'PRECIO TERMINAL PEMEX'!$B$4:$E$35,3,0),IF(G133="Diesel",VLOOKUP(C133,'PRECIO TERMINAL PEMEX'!$B$4:$E$35,4,0),"Seleccione Producto"))),"-")</f>
        <v>Seleccione Producto</v>
      </c>
      <c r="L133" s="93" t="str">
        <f>+IFERROR(IF(F133="VHSA",VLOOKUP(B133,Listas!$C$4:$F$17,2,0),IF(F133="DOS BOCAS",VLOOKUP(B133,Listas!$C$4:$F$17,3,0),IF(F133="GLENCORE",VLOOKUP(B133,Listas!$C$4:$F$17,4,0),"Seleccione TAR"))),"-")</f>
        <v>Seleccione TAR</v>
      </c>
      <c r="M133" s="19" t="str">
        <f>+IFERROR(IF(G133="Regular",VLOOKUP(C133,'DESCUENTO PROVEEDORES'!$B$4:$E$35,2,0),IF(G133="Premium",VLOOKUP(C133,'DESCUENTO PROVEEDORES'!$B$4:$E$35,3,0),IF(G133="Diesel",VLOOKUP(C133,'DESCUENTO PROVEEDORES'!$B$4:$E$35,4,0),"Seleccione Proveedor"))),"-")</f>
        <v>Seleccione Proveedor</v>
      </c>
      <c r="N133" s="20" t="e">
        <f>((((K133-H133)/1.16)-M133))</f>
        <v>#VALUE!</v>
      </c>
      <c r="O133" s="21" t="e">
        <f>((N133*16%)+N133)+H133+L133</f>
        <v>#VALUE!</v>
      </c>
      <c r="P133" s="21" t="e">
        <f>(((J133-O133)-H133)/1.16)+H133</f>
        <v>#VALUE!</v>
      </c>
      <c r="Q133" s="44"/>
      <c r="R133" s="24"/>
      <c r="S133" s="23" t="e">
        <f t="shared" ref="S133:S196" si="6">R133/I133</f>
        <v>#DIV/0!</v>
      </c>
      <c r="T133" s="23" t="e">
        <f t="shared" ref="T133:T196" si="7">(J133-S133)/1.16</f>
        <v>#DIV/0!</v>
      </c>
      <c r="U133" s="22" t="e">
        <f t="shared" ref="U133:U196" si="8">+T133-P133</f>
        <v>#DIV/0!</v>
      </c>
      <c r="V133" s="44"/>
      <c r="W133" s="44"/>
      <c r="X133" s="44"/>
      <c r="Y133" s="44"/>
      <c r="Z133" s="44"/>
    </row>
    <row r="134" spans="1:26" ht="15.75" customHeight="1">
      <c r="A134" s="44"/>
      <c r="B134" s="14"/>
      <c r="C134" s="53"/>
      <c r="D134" s="15"/>
      <c r="E134" s="89"/>
      <c r="F134" s="16"/>
      <c r="G134" s="16"/>
      <c r="H134" s="90" t="str">
        <f>IF(G134="Regular",Listas!$K$16,IF(G134="Premium",Listas!$K$17,IF(G134="Diesel",Listas!$K$18,"-")))</f>
        <v>-</v>
      </c>
      <c r="I134" s="17"/>
      <c r="J134" s="18"/>
      <c r="K134" s="19" t="str">
        <f>+IFERROR(IF(G134="Regular",VLOOKUP(C134,'PRECIO TERMINAL PEMEX'!$B$4:$E$35,2,0),IF(G134="Premium",VLOOKUP(C134,'PRECIO TERMINAL PEMEX'!$B$4:$E$35,3,0),IF(G134="Diesel",VLOOKUP(C134,'PRECIO TERMINAL PEMEX'!$B$4:$E$35,4,0),"Seleccione Producto"))),"-")</f>
        <v>Seleccione Producto</v>
      </c>
      <c r="L134" s="93" t="str">
        <f>+IFERROR(IF(F134="VHSA",VLOOKUP(B134,Listas!$C$4:$F$17,2,0),IF(F134="DOS BOCAS",VLOOKUP(B134,Listas!$C$4:$F$17,3,0),IF(F134="GLENCORE",VLOOKUP(B134,Listas!$C$4:$F$17,4,0),"Seleccione TAR"))),"-")</f>
        <v>Seleccione TAR</v>
      </c>
      <c r="M134" s="19" t="str">
        <f>+IFERROR(IF(G134="Regular",VLOOKUP(C134,'DESCUENTO PROVEEDORES'!$B$4:$E$35,2,0),IF(G134="Premium",VLOOKUP(C134,'DESCUENTO PROVEEDORES'!$B$4:$E$35,3,0),IF(G134="Diesel",VLOOKUP(C134,'DESCUENTO PROVEEDORES'!$B$4:$E$35,4,0),"Seleccione Proveedor"))),"-")</f>
        <v>Seleccione Proveedor</v>
      </c>
      <c r="N134" s="20" t="e">
        <f>((((K134-H134)/1.16)-M134))</f>
        <v>#VALUE!</v>
      </c>
      <c r="O134" s="21" t="e">
        <f>((N134*16%)+N134)+H134+L134</f>
        <v>#VALUE!</v>
      </c>
      <c r="P134" s="21" t="e">
        <f>(((J134-O134)-H134)/1.16)+H134</f>
        <v>#VALUE!</v>
      </c>
      <c r="Q134" s="44"/>
      <c r="R134" s="24"/>
      <c r="S134" s="23" t="e">
        <f t="shared" si="6"/>
        <v>#DIV/0!</v>
      </c>
      <c r="T134" s="23" t="e">
        <f t="shared" si="7"/>
        <v>#DIV/0!</v>
      </c>
      <c r="U134" s="22" t="e">
        <f t="shared" si="8"/>
        <v>#DIV/0!</v>
      </c>
      <c r="V134" s="44"/>
      <c r="W134" s="44"/>
      <c r="X134" s="44"/>
      <c r="Y134" s="44"/>
      <c r="Z134" s="44"/>
    </row>
    <row r="135" spans="1:26" ht="15.75" customHeight="1">
      <c r="A135" s="44"/>
      <c r="B135" s="14"/>
      <c r="C135" s="53"/>
      <c r="D135" s="15"/>
      <c r="E135" s="89"/>
      <c r="F135" s="16"/>
      <c r="G135" s="16"/>
      <c r="H135" s="90" t="str">
        <f>IF(G135="Regular",Listas!$K$16,IF(G135="Premium",Listas!$K$17,IF(G135="Diesel",Listas!$K$18,"-")))</f>
        <v>-</v>
      </c>
      <c r="I135" s="17"/>
      <c r="J135" s="18"/>
      <c r="K135" s="19" t="str">
        <f>+IFERROR(IF(G135="Regular",VLOOKUP(C135,'PRECIO TERMINAL PEMEX'!$B$4:$E$35,2,0),IF(G135="Premium",VLOOKUP(C135,'PRECIO TERMINAL PEMEX'!$B$4:$E$35,3,0),IF(G135="Diesel",VLOOKUP(C135,'PRECIO TERMINAL PEMEX'!$B$4:$E$35,4,0),"Seleccione Producto"))),"-")</f>
        <v>Seleccione Producto</v>
      </c>
      <c r="L135" s="93" t="str">
        <f>+IFERROR(IF(F135="VHSA",VLOOKUP(B135,Listas!$C$4:$F$17,2,0),IF(F135="DOS BOCAS",VLOOKUP(B135,Listas!$C$4:$F$17,3,0),IF(F135="GLENCORE",VLOOKUP(B135,Listas!$C$4:$F$17,4,0),"Seleccione TAR"))),"-")</f>
        <v>Seleccione TAR</v>
      </c>
      <c r="M135" s="19" t="str">
        <f>+IFERROR(IF(G135="Regular",VLOOKUP(C135,'DESCUENTO PROVEEDORES'!$B$4:$E$35,2,0),IF(G135="Premium",VLOOKUP(C135,'DESCUENTO PROVEEDORES'!$B$4:$E$35,3,0),IF(G135="Diesel",VLOOKUP(C135,'DESCUENTO PROVEEDORES'!$B$4:$E$35,4,0),"Seleccione Proveedor"))),"-")</f>
        <v>Seleccione Proveedor</v>
      </c>
      <c r="N135" s="20" t="e">
        <f>((((K135-H135)/1.16)-M135))</f>
        <v>#VALUE!</v>
      </c>
      <c r="O135" s="21" t="e">
        <f>((N135*16%)+N135)+H135+L135</f>
        <v>#VALUE!</v>
      </c>
      <c r="P135" s="21" t="e">
        <f>(((J135-O135)-H135)/1.16)+H135</f>
        <v>#VALUE!</v>
      </c>
      <c r="Q135" s="44"/>
      <c r="R135" s="24"/>
      <c r="S135" s="23" t="e">
        <f t="shared" si="6"/>
        <v>#DIV/0!</v>
      </c>
      <c r="T135" s="23" t="e">
        <f t="shared" si="7"/>
        <v>#DIV/0!</v>
      </c>
      <c r="U135" s="22" t="e">
        <f t="shared" si="8"/>
        <v>#DIV/0!</v>
      </c>
      <c r="V135" s="44"/>
      <c r="W135" s="44"/>
      <c r="X135" s="44"/>
      <c r="Y135" s="44"/>
      <c r="Z135" s="44"/>
    </row>
    <row r="136" spans="1:26" ht="15.75" customHeight="1">
      <c r="A136" s="44"/>
      <c r="B136" s="14"/>
      <c r="C136" s="53"/>
      <c r="D136" s="15"/>
      <c r="E136" s="89"/>
      <c r="F136" s="16"/>
      <c r="G136" s="16"/>
      <c r="H136" s="90" t="str">
        <f>IF(G136="Regular",Listas!$K$16,IF(G136="Premium",Listas!$K$17,IF(G136="Diesel",Listas!$K$18,"-")))</f>
        <v>-</v>
      </c>
      <c r="I136" s="17"/>
      <c r="J136" s="18"/>
      <c r="K136" s="19" t="str">
        <f>+IFERROR(IF(G136="Regular",VLOOKUP(C136,'PRECIO TERMINAL PEMEX'!$B$4:$E$35,2,0),IF(G136="Premium",VLOOKUP(C136,'PRECIO TERMINAL PEMEX'!$B$4:$E$35,3,0),IF(G136="Diesel",VLOOKUP(C136,'PRECIO TERMINAL PEMEX'!$B$4:$E$35,4,0),"Seleccione Producto"))),"-")</f>
        <v>Seleccione Producto</v>
      </c>
      <c r="L136" s="93" t="str">
        <f>+IFERROR(IF(F136="VHSA",VLOOKUP(B136,Listas!$C$4:$F$17,2,0),IF(F136="DOS BOCAS",VLOOKUP(B136,Listas!$C$4:$F$17,3,0),IF(F136="GLENCORE",VLOOKUP(B136,Listas!$C$4:$F$17,4,0),"Seleccione TAR"))),"-")</f>
        <v>Seleccione TAR</v>
      </c>
      <c r="M136" s="19" t="str">
        <f>+IFERROR(IF(G136="Regular",VLOOKUP(C136,'DESCUENTO PROVEEDORES'!$B$4:$E$35,2,0),IF(G136="Premium",VLOOKUP(C136,'DESCUENTO PROVEEDORES'!$B$4:$E$35,3,0),IF(G136="Diesel",VLOOKUP(C136,'DESCUENTO PROVEEDORES'!$B$4:$E$35,4,0),"Seleccione Proveedor"))),"-")</f>
        <v>Seleccione Proveedor</v>
      </c>
      <c r="N136" s="20" t="e">
        <f>((((K136-H136)/1.16)-M136))</f>
        <v>#VALUE!</v>
      </c>
      <c r="O136" s="21" t="e">
        <f>((N136*16%)+N136)+H136+L136</f>
        <v>#VALUE!</v>
      </c>
      <c r="P136" s="21" t="e">
        <f>(((J136-O136)-H136)/1.16)+H136</f>
        <v>#VALUE!</v>
      </c>
      <c r="Q136" s="44"/>
      <c r="R136" s="24"/>
      <c r="S136" s="23" t="e">
        <f t="shared" si="6"/>
        <v>#DIV/0!</v>
      </c>
      <c r="T136" s="23" t="e">
        <f t="shared" si="7"/>
        <v>#DIV/0!</v>
      </c>
      <c r="U136" s="22" t="e">
        <f t="shared" si="8"/>
        <v>#DIV/0!</v>
      </c>
      <c r="V136" s="44"/>
      <c r="W136" s="44"/>
      <c r="X136" s="44"/>
      <c r="Y136" s="44"/>
      <c r="Z136" s="44"/>
    </row>
    <row r="137" spans="1:26" ht="15.75" customHeight="1">
      <c r="A137" s="44"/>
      <c r="B137" s="14"/>
      <c r="C137" s="53"/>
      <c r="D137" s="15"/>
      <c r="E137" s="89"/>
      <c r="F137" s="16"/>
      <c r="G137" s="16"/>
      <c r="H137" s="90" t="str">
        <f>IF(G137="Regular",Listas!$K$16,IF(G137="Premium",Listas!$K$17,IF(G137="Diesel",Listas!$K$18,"-")))</f>
        <v>-</v>
      </c>
      <c r="I137" s="17"/>
      <c r="J137" s="18"/>
      <c r="K137" s="19" t="str">
        <f>+IFERROR(IF(G137="Regular",VLOOKUP(C137,'PRECIO TERMINAL PEMEX'!$B$4:$E$35,2,0),IF(G137="Premium",VLOOKUP(C137,'PRECIO TERMINAL PEMEX'!$B$4:$E$35,3,0),IF(G137="Diesel",VLOOKUP(C137,'PRECIO TERMINAL PEMEX'!$B$4:$E$35,4,0),"Seleccione Producto"))),"-")</f>
        <v>Seleccione Producto</v>
      </c>
      <c r="L137" s="93" t="str">
        <f>+IFERROR(IF(F137="VHSA",VLOOKUP(B137,Listas!$C$4:$F$17,2,0),IF(F137="DOS BOCAS",VLOOKUP(B137,Listas!$C$4:$F$17,3,0),IF(F137="GLENCORE",VLOOKUP(B137,Listas!$C$4:$F$17,4,0),"Seleccione TAR"))),"-")</f>
        <v>Seleccione TAR</v>
      </c>
      <c r="M137" s="19" t="str">
        <f>+IFERROR(IF(G137="Regular",VLOOKUP(C137,'DESCUENTO PROVEEDORES'!$B$4:$E$35,2,0),IF(G137="Premium",VLOOKUP(C137,'DESCUENTO PROVEEDORES'!$B$4:$E$35,3,0),IF(G137="Diesel",VLOOKUP(C137,'DESCUENTO PROVEEDORES'!$B$4:$E$35,4,0),"Seleccione Proveedor"))),"-")</f>
        <v>Seleccione Proveedor</v>
      </c>
      <c r="N137" s="20" t="e">
        <f>((((K137-H137)/1.16)-M137))</f>
        <v>#VALUE!</v>
      </c>
      <c r="O137" s="21" t="e">
        <f>((N137*16%)+N137)+H137+L137</f>
        <v>#VALUE!</v>
      </c>
      <c r="P137" s="21" t="e">
        <f>(((J137-O137)-H137)/1.16)+H137</f>
        <v>#VALUE!</v>
      </c>
      <c r="Q137" s="44"/>
      <c r="R137" s="24"/>
      <c r="S137" s="23" t="e">
        <f t="shared" si="6"/>
        <v>#DIV/0!</v>
      </c>
      <c r="T137" s="23" t="e">
        <f t="shared" si="7"/>
        <v>#DIV/0!</v>
      </c>
      <c r="U137" s="22" t="e">
        <f t="shared" si="8"/>
        <v>#DIV/0!</v>
      </c>
      <c r="V137" s="44"/>
      <c r="W137" s="44"/>
      <c r="X137" s="44"/>
      <c r="Y137" s="44"/>
      <c r="Z137" s="44"/>
    </row>
    <row r="138" spans="1:26" ht="15.75" customHeight="1">
      <c r="A138" s="44"/>
      <c r="B138" s="14"/>
      <c r="C138" s="53"/>
      <c r="D138" s="15"/>
      <c r="E138" s="89"/>
      <c r="F138" s="16"/>
      <c r="G138" s="16"/>
      <c r="H138" s="90" t="str">
        <f>IF(G138="Regular",Listas!$K$16,IF(G138="Premium",Listas!$K$17,IF(G138="Diesel",Listas!$K$18,"-")))</f>
        <v>-</v>
      </c>
      <c r="I138" s="17"/>
      <c r="J138" s="18"/>
      <c r="K138" s="19" t="str">
        <f>+IFERROR(IF(G138="Regular",VLOOKUP(C138,'PRECIO TERMINAL PEMEX'!$B$4:$E$35,2,0),IF(G138="Premium",VLOOKUP(C138,'PRECIO TERMINAL PEMEX'!$B$4:$E$35,3,0),IF(G138="Diesel",VLOOKUP(C138,'PRECIO TERMINAL PEMEX'!$B$4:$E$35,4,0),"Seleccione Producto"))),"-")</f>
        <v>Seleccione Producto</v>
      </c>
      <c r="L138" s="93" t="str">
        <f>+IFERROR(IF(F138="VHSA",VLOOKUP(B138,Listas!$C$4:$F$17,2,0),IF(F138="DOS BOCAS",VLOOKUP(B138,Listas!$C$4:$F$17,3,0),IF(F138="GLENCORE",VLOOKUP(B138,Listas!$C$4:$F$17,4,0),"Seleccione TAR"))),"-")</f>
        <v>Seleccione TAR</v>
      </c>
      <c r="M138" s="19" t="str">
        <f>+IFERROR(IF(G138="Regular",VLOOKUP(C138,'DESCUENTO PROVEEDORES'!$B$4:$E$35,2,0),IF(G138="Premium",VLOOKUP(C138,'DESCUENTO PROVEEDORES'!$B$4:$E$35,3,0),IF(G138="Diesel",VLOOKUP(C138,'DESCUENTO PROVEEDORES'!$B$4:$E$35,4,0),"Seleccione Proveedor"))),"-")</f>
        <v>Seleccione Proveedor</v>
      </c>
      <c r="N138" s="20" t="e">
        <f>((((K138-H138)/1.16)-M138))</f>
        <v>#VALUE!</v>
      </c>
      <c r="O138" s="21" t="e">
        <f>((N138*16%)+N138)+H138+L138</f>
        <v>#VALUE!</v>
      </c>
      <c r="P138" s="21" t="e">
        <f>(((J138-O138)-H138)/1.16)+H138</f>
        <v>#VALUE!</v>
      </c>
      <c r="Q138" s="44"/>
      <c r="R138" s="24"/>
      <c r="S138" s="23" t="e">
        <f t="shared" si="6"/>
        <v>#DIV/0!</v>
      </c>
      <c r="T138" s="23" t="e">
        <f t="shared" si="7"/>
        <v>#DIV/0!</v>
      </c>
      <c r="U138" s="22" t="e">
        <f t="shared" si="8"/>
        <v>#DIV/0!</v>
      </c>
      <c r="V138" s="44"/>
      <c r="W138" s="44"/>
      <c r="X138" s="44"/>
      <c r="Y138" s="44"/>
      <c r="Z138" s="44"/>
    </row>
    <row r="139" spans="1:26" ht="15.75" customHeight="1">
      <c r="A139" s="44"/>
      <c r="B139" s="14"/>
      <c r="C139" s="53"/>
      <c r="D139" s="15"/>
      <c r="E139" s="89"/>
      <c r="F139" s="16"/>
      <c r="G139" s="16"/>
      <c r="H139" s="90" t="str">
        <f>IF(G139="Regular",Listas!$K$16,IF(G139="Premium",Listas!$K$17,IF(G139="Diesel",Listas!$K$18,"-")))</f>
        <v>-</v>
      </c>
      <c r="I139" s="17"/>
      <c r="J139" s="18"/>
      <c r="K139" s="19" t="str">
        <f>+IFERROR(IF(G139="Regular",VLOOKUP(C139,'PRECIO TERMINAL PEMEX'!$B$4:$E$35,2,0),IF(G139="Premium",VLOOKUP(C139,'PRECIO TERMINAL PEMEX'!$B$4:$E$35,3,0),IF(G139="Diesel",VLOOKUP(C139,'PRECIO TERMINAL PEMEX'!$B$4:$E$35,4,0),"Seleccione Producto"))),"-")</f>
        <v>Seleccione Producto</v>
      </c>
      <c r="L139" s="93" t="str">
        <f>+IFERROR(IF(F139="VHSA",VLOOKUP(B139,Listas!$C$4:$F$17,2,0),IF(F139="DOS BOCAS",VLOOKUP(B139,Listas!$C$4:$F$17,3,0),IF(F139="GLENCORE",VLOOKUP(B139,Listas!$C$4:$F$17,4,0),"Seleccione TAR"))),"-")</f>
        <v>Seleccione TAR</v>
      </c>
      <c r="M139" s="19" t="str">
        <f>+IFERROR(IF(G139="Regular",VLOOKUP(C139,'DESCUENTO PROVEEDORES'!$B$4:$E$35,2,0),IF(G139="Premium",VLOOKUP(C139,'DESCUENTO PROVEEDORES'!$B$4:$E$35,3,0),IF(G139="Diesel",VLOOKUP(C139,'DESCUENTO PROVEEDORES'!$B$4:$E$35,4,0),"Seleccione Proveedor"))),"-")</f>
        <v>Seleccione Proveedor</v>
      </c>
      <c r="N139" s="20" t="e">
        <f>((((K139-H139)/1.16)-M139))</f>
        <v>#VALUE!</v>
      </c>
      <c r="O139" s="21" t="e">
        <f>((N139*16%)+N139)+H139+L139</f>
        <v>#VALUE!</v>
      </c>
      <c r="P139" s="21" t="e">
        <f>(((J139-O139)-H139)/1.16)+H139</f>
        <v>#VALUE!</v>
      </c>
      <c r="Q139" s="44"/>
      <c r="R139" s="24"/>
      <c r="S139" s="23" t="e">
        <f t="shared" si="6"/>
        <v>#DIV/0!</v>
      </c>
      <c r="T139" s="23" t="e">
        <f t="shared" si="7"/>
        <v>#DIV/0!</v>
      </c>
      <c r="U139" s="22" t="e">
        <f t="shared" si="8"/>
        <v>#DIV/0!</v>
      </c>
      <c r="V139" s="44"/>
      <c r="W139" s="44"/>
      <c r="X139" s="44"/>
      <c r="Y139" s="44"/>
      <c r="Z139" s="44"/>
    </row>
    <row r="140" spans="1:26" ht="15.75" customHeight="1">
      <c r="A140" s="44"/>
      <c r="B140" s="14"/>
      <c r="C140" s="53"/>
      <c r="D140" s="15"/>
      <c r="E140" s="89"/>
      <c r="F140" s="16"/>
      <c r="G140" s="16"/>
      <c r="H140" s="90" t="str">
        <f>IF(G140="Regular",Listas!$K$16,IF(G140="Premium",Listas!$K$17,IF(G140="Diesel",Listas!$K$18,"-")))</f>
        <v>-</v>
      </c>
      <c r="I140" s="17"/>
      <c r="J140" s="18"/>
      <c r="K140" s="19" t="str">
        <f>+IFERROR(IF(G140="Regular",VLOOKUP(C140,'PRECIO TERMINAL PEMEX'!$B$4:$E$35,2,0),IF(G140="Premium",VLOOKUP(C140,'PRECIO TERMINAL PEMEX'!$B$4:$E$35,3,0),IF(G140="Diesel",VLOOKUP(C140,'PRECIO TERMINAL PEMEX'!$B$4:$E$35,4,0),"Seleccione Producto"))),"-")</f>
        <v>Seleccione Producto</v>
      </c>
      <c r="L140" s="93" t="str">
        <f>+IFERROR(IF(F140="VHSA",VLOOKUP(B140,Listas!$C$4:$F$17,2,0),IF(F140="DOS BOCAS",VLOOKUP(B140,Listas!$C$4:$F$17,3,0),IF(F140="GLENCORE",VLOOKUP(B140,Listas!$C$4:$F$17,4,0),"Seleccione TAR"))),"-")</f>
        <v>Seleccione TAR</v>
      </c>
      <c r="M140" s="19" t="str">
        <f>+IFERROR(IF(G140="Regular",VLOOKUP(C140,'DESCUENTO PROVEEDORES'!$B$4:$E$35,2,0),IF(G140="Premium",VLOOKUP(C140,'DESCUENTO PROVEEDORES'!$B$4:$E$35,3,0),IF(G140="Diesel",VLOOKUP(C140,'DESCUENTO PROVEEDORES'!$B$4:$E$35,4,0),"Seleccione Proveedor"))),"-")</f>
        <v>Seleccione Proveedor</v>
      </c>
      <c r="N140" s="20" t="e">
        <f>((((K140-H140)/1.16)-M140))</f>
        <v>#VALUE!</v>
      </c>
      <c r="O140" s="21" t="e">
        <f>((N140*16%)+N140)+H140+L140</f>
        <v>#VALUE!</v>
      </c>
      <c r="P140" s="21" t="e">
        <f>(((J140-O140)-H140)/1.16)+H140</f>
        <v>#VALUE!</v>
      </c>
      <c r="Q140" s="44"/>
      <c r="R140" s="24"/>
      <c r="S140" s="23" t="e">
        <f t="shared" si="6"/>
        <v>#DIV/0!</v>
      </c>
      <c r="T140" s="23" t="e">
        <f t="shared" si="7"/>
        <v>#DIV/0!</v>
      </c>
      <c r="U140" s="22" t="e">
        <f t="shared" si="8"/>
        <v>#DIV/0!</v>
      </c>
      <c r="V140" s="44"/>
      <c r="W140" s="44"/>
      <c r="X140" s="44"/>
      <c r="Y140" s="44"/>
      <c r="Z140" s="44"/>
    </row>
    <row r="141" spans="1:26" ht="15.75" customHeight="1">
      <c r="A141" s="44"/>
      <c r="B141" s="14"/>
      <c r="C141" s="53"/>
      <c r="D141" s="15"/>
      <c r="E141" s="89"/>
      <c r="F141" s="16"/>
      <c r="G141" s="16"/>
      <c r="H141" s="90" t="str">
        <f>IF(G141="Regular",Listas!$K$16,IF(G141="Premium",Listas!$K$17,IF(G141="Diesel",Listas!$K$18,"-")))</f>
        <v>-</v>
      </c>
      <c r="I141" s="17"/>
      <c r="J141" s="18"/>
      <c r="K141" s="19" t="str">
        <f>+IFERROR(IF(G141="Regular",VLOOKUP(C141,'PRECIO TERMINAL PEMEX'!$B$4:$E$35,2,0),IF(G141="Premium",VLOOKUP(C141,'PRECIO TERMINAL PEMEX'!$B$4:$E$35,3,0),IF(G141="Diesel",VLOOKUP(C141,'PRECIO TERMINAL PEMEX'!$B$4:$E$35,4,0),"Seleccione Producto"))),"-")</f>
        <v>Seleccione Producto</v>
      </c>
      <c r="L141" s="93" t="str">
        <f>+IFERROR(IF(F141="VHSA",VLOOKUP(B141,Listas!$C$4:$F$17,2,0),IF(F141="DOS BOCAS",VLOOKUP(B141,Listas!$C$4:$F$17,3,0),IF(F141="GLENCORE",VLOOKUP(B141,Listas!$C$4:$F$17,4,0),"Seleccione TAR"))),"-")</f>
        <v>Seleccione TAR</v>
      </c>
      <c r="M141" s="19" t="str">
        <f>+IFERROR(IF(G141="Regular",VLOOKUP(C141,'DESCUENTO PROVEEDORES'!$B$4:$E$35,2,0),IF(G141="Premium",VLOOKUP(C141,'DESCUENTO PROVEEDORES'!$B$4:$E$35,3,0),IF(G141="Diesel",VLOOKUP(C141,'DESCUENTO PROVEEDORES'!$B$4:$E$35,4,0),"Seleccione Proveedor"))),"-")</f>
        <v>Seleccione Proveedor</v>
      </c>
      <c r="N141" s="20" t="e">
        <f>((((K141-H141)/1.16)-M141))</f>
        <v>#VALUE!</v>
      </c>
      <c r="O141" s="21" t="e">
        <f>((N141*16%)+N141)+H141+L141</f>
        <v>#VALUE!</v>
      </c>
      <c r="P141" s="21" t="e">
        <f>(((J141-O141)-H141)/1.16)+H141</f>
        <v>#VALUE!</v>
      </c>
      <c r="Q141" s="44"/>
      <c r="R141" s="24"/>
      <c r="S141" s="23" t="e">
        <f t="shared" si="6"/>
        <v>#DIV/0!</v>
      </c>
      <c r="T141" s="23" t="e">
        <f t="shared" si="7"/>
        <v>#DIV/0!</v>
      </c>
      <c r="U141" s="22" t="e">
        <f t="shared" si="8"/>
        <v>#DIV/0!</v>
      </c>
      <c r="V141" s="44"/>
      <c r="W141" s="44"/>
      <c r="X141" s="44"/>
      <c r="Y141" s="44"/>
      <c r="Z141" s="44"/>
    </row>
    <row r="142" spans="1:26" ht="15.75" customHeight="1">
      <c r="A142" s="44"/>
      <c r="B142" s="14"/>
      <c r="C142" s="53"/>
      <c r="D142" s="15"/>
      <c r="E142" s="89"/>
      <c r="F142" s="16"/>
      <c r="G142" s="16"/>
      <c r="H142" s="90" t="str">
        <f>IF(G142="Regular",Listas!$K$16,IF(G142="Premium",Listas!$K$17,IF(G142="Diesel",Listas!$K$18,"-")))</f>
        <v>-</v>
      </c>
      <c r="I142" s="17"/>
      <c r="J142" s="18"/>
      <c r="K142" s="19" t="str">
        <f>+IFERROR(IF(G142="Regular",VLOOKUP(C142,'PRECIO TERMINAL PEMEX'!$B$4:$E$35,2,0),IF(G142="Premium",VLOOKUP(C142,'PRECIO TERMINAL PEMEX'!$B$4:$E$35,3,0),IF(G142="Diesel",VLOOKUP(C142,'PRECIO TERMINAL PEMEX'!$B$4:$E$35,4,0),"Seleccione Producto"))),"-")</f>
        <v>Seleccione Producto</v>
      </c>
      <c r="L142" s="93" t="str">
        <f>+IFERROR(IF(F142="VHSA",VLOOKUP(B142,Listas!$C$4:$F$17,2,0),IF(F142="DOS BOCAS",VLOOKUP(B142,Listas!$C$4:$F$17,3,0),IF(F142="GLENCORE",VLOOKUP(B142,Listas!$C$4:$F$17,4,0),"Seleccione TAR"))),"-")</f>
        <v>Seleccione TAR</v>
      </c>
      <c r="M142" s="19" t="str">
        <f>+IFERROR(IF(G142="Regular",VLOOKUP(C142,'DESCUENTO PROVEEDORES'!$B$4:$E$35,2,0),IF(G142="Premium",VLOOKUP(C142,'DESCUENTO PROVEEDORES'!$B$4:$E$35,3,0),IF(G142="Diesel",VLOOKUP(C142,'DESCUENTO PROVEEDORES'!$B$4:$E$35,4,0),"Seleccione Proveedor"))),"-")</f>
        <v>Seleccione Proveedor</v>
      </c>
      <c r="N142" s="20" t="e">
        <f>((((K142-H142)/1.16)-M142))</f>
        <v>#VALUE!</v>
      </c>
      <c r="O142" s="21" t="e">
        <f>((N142*16%)+N142)+H142+L142</f>
        <v>#VALUE!</v>
      </c>
      <c r="P142" s="21" t="e">
        <f>(((J142-O142)-H142)/1.16)+H142</f>
        <v>#VALUE!</v>
      </c>
      <c r="Q142" s="44"/>
      <c r="R142" s="24"/>
      <c r="S142" s="23" t="e">
        <f t="shared" si="6"/>
        <v>#DIV/0!</v>
      </c>
      <c r="T142" s="23" t="e">
        <f t="shared" si="7"/>
        <v>#DIV/0!</v>
      </c>
      <c r="U142" s="22" t="e">
        <f t="shared" si="8"/>
        <v>#DIV/0!</v>
      </c>
      <c r="V142" s="44"/>
      <c r="W142" s="44"/>
      <c r="X142" s="44"/>
      <c r="Y142" s="44"/>
      <c r="Z142" s="44"/>
    </row>
    <row r="143" spans="1:26" ht="15.75" customHeight="1">
      <c r="A143" s="44"/>
      <c r="B143" s="14"/>
      <c r="C143" s="53"/>
      <c r="D143" s="15"/>
      <c r="E143" s="89"/>
      <c r="F143" s="16"/>
      <c r="G143" s="16"/>
      <c r="H143" s="90" t="str">
        <f>IF(G143="Regular",Listas!$K$16,IF(G143="Premium",Listas!$K$17,IF(G143="Diesel",Listas!$K$18,"-")))</f>
        <v>-</v>
      </c>
      <c r="I143" s="17"/>
      <c r="J143" s="18"/>
      <c r="K143" s="19" t="str">
        <f>+IFERROR(IF(G143="Regular",VLOOKUP(C143,'PRECIO TERMINAL PEMEX'!$B$4:$E$35,2,0),IF(G143="Premium",VLOOKUP(C143,'PRECIO TERMINAL PEMEX'!$B$4:$E$35,3,0),IF(G143="Diesel",VLOOKUP(C143,'PRECIO TERMINAL PEMEX'!$B$4:$E$35,4,0),"Seleccione Producto"))),"-")</f>
        <v>Seleccione Producto</v>
      </c>
      <c r="L143" s="93" t="str">
        <f>+IFERROR(IF(F143="VHSA",VLOOKUP(B143,Listas!$C$4:$F$17,2,0),IF(F143="DOS BOCAS",VLOOKUP(B143,Listas!$C$4:$F$17,3,0),IF(F143="GLENCORE",VLOOKUP(B143,Listas!$C$4:$F$17,4,0),"Seleccione TAR"))),"-")</f>
        <v>Seleccione TAR</v>
      </c>
      <c r="M143" s="19" t="str">
        <f>+IFERROR(IF(G143="Regular",VLOOKUP(C143,'DESCUENTO PROVEEDORES'!$B$4:$E$35,2,0),IF(G143="Premium",VLOOKUP(C143,'DESCUENTO PROVEEDORES'!$B$4:$E$35,3,0),IF(G143="Diesel",VLOOKUP(C143,'DESCUENTO PROVEEDORES'!$B$4:$E$35,4,0),"Seleccione Proveedor"))),"-")</f>
        <v>Seleccione Proveedor</v>
      </c>
      <c r="N143" s="20" t="e">
        <f>((((K143-H143)/1.16)-M143))</f>
        <v>#VALUE!</v>
      </c>
      <c r="O143" s="21" t="e">
        <f>((N143*16%)+N143)+H143+L143</f>
        <v>#VALUE!</v>
      </c>
      <c r="P143" s="21" t="e">
        <f>(((J143-O143)-H143)/1.16)+H143</f>
        <v>#VALUE!</v>
      </c>
      <c r="Q143" s="44"/>
      <c r="R143" s="24"/>
      <c r="S143" s="23" t="e">
        <f t="shared" si="6"/>
        <v>#DIV/0!</v>
      </c>
      <c r="T143" s="23" t="e">
        <f t="shared" si="7"/>
        <v>#DIV/0!</v>
      </c>
      <c r="U143" s="22" t="e">
        <f t="shared" si="8"/>
        <v>#DIV/0!</v>
      </c>
      <c r="V143" s="44"/>
      <c r="W143" s="44"/>
      <c r="X143" s="44"/>
      <c r="Y143" s="44"/>
      <c r="Z143" s="44"/>
    </row>
    <row r="144" spans="1:26" ht="15.75" customHeight="1">
      <c r="A144" s="44"/>
      <c r="B144" s="14"/>
      <c r="C144" s="53"/>
      <c r="D144" s="15"/>
      <c r="E144" s="89"/>
      <c r="F144" s="16"/>
      <c r="G144" s="16"/>
      <c r="H144" s="90" t="str">
        <f>IF(G144="Regular",Listas!$K$16,IF(G144="Premium",Listas!$K$17,IF(G144="Diesel",Listas!$K$18,"-")))</f>
        <v>-</v>
      </c>
      <c r="I144" s="17"/>
      <c r="J144" s="18"/>
      <c r="K144" s="19" t="str">
        <f>+IFERROR(IF(G144="Regular",VLOOKUP(C144,'PRECIO TERMINAL PEMEX'!$B$4:$E$35,2,0),IF(G144="Premium",VLOOKUP(C144,'PRECIO TERMINAL PEMEX'!$B$4:$E$35,3,0),IF(G144="Diesel",VLOOKUP(C144,'PRECIO TERMINAL PEMEX'!$B$4:$E$35,4,0),"Seleccione Producto"))),"-")</f>
        <v>Seleccione Producto</v>
      </c>
      <c r="L144" s="93" t="str">
        <f>+IFERROR(IF(F144="VHSA",VLOOKUP(B144,Listas!$C$4:$F$17,2,0),IF(F144="DOS BOCAS",VLOOKUP(B144,Listas!$C$4:$F$17,3,0),IF(F144="GLENCORE",VLOOKUP(B144,Listas!$C$4:$F$17,4,0),"Seleccione TAR"))),"-")</f>
        <v>Seleccione TAR</v>
      </c>
      <c r="M144" s="19" t="str">
        <f>+IFERROR(IF(G144="Regular",VLOOKUP(C144,'DESCUENTO PROVEEDORES'!$B$4:$E$35,2,0),IF(G144="Premium",VLOOKUP(C144,'DESCUENTO PROVEEDORES'!$B$4:$E$35,3,0),IF(G144="Diesel",VLOOKUP(C144,'DESCUENTO PROVEEDORES'!$B$4:$E$35,4,0),"Seleccione Proveedor"))),"-")</f>
        <v>Seleccione Proveedor</v>
      </c>
      <c r="N144" s="20" t="e">
        <f>((((K144-H144)/1.16)-M144))</f>
        <v>#VALUE!</v>
      </c>
      <c r="O144" s="21" t="e">
        <f>((N144*16%)+N144)+H144+L144</f>
        <v>#VALUE!</v>
      </c>
      <c r="P144" s="21" t="e">
        <f>(((J144-O144)-H144)/1.16)+H144</f>
        <v>#VALUE!</v>
      </c>
      <c r="Q144" s="44"/>
      <c r="R144" s="24"/>
      <c r="S144" s="23" t="e">
        <f t="shared" si="6"/>
        <v>#DIV/0!</v>
      </c>
      <c r="T144" s="23" t="e">
        <f t="shared" si="7"/>
        <v>#DIV/0!</v>
      </c>
      <c r="U144" s="22" t="e">
        <f t="shared" si="8"/>
        <v>#DIV/0!</v>
      </c>
      <c r="V144" s="44"/>
      <c r="W144" s="44"/>
      <c r="X144" s="44"/>
      <c r="Y144" s="44"/>
      <c r="Z144" s="44"/>
    </row>
    <row r="145" spans="1:26" ht="15.75" customHeight="1">
      <c r="A145" s="44"/>
      <c r="B145" s="14"/>
      <c r="C145" s="53"/>
      <c r="D145" s="15"/>
      <c r="E145" s="89"/>
      <c r="F145" s="16"/>
      <c r="G145" s="16"/>
      <c r="H145" s="90" t="str">
        <f>IF(G145="Regular",Listas!$K$16,IF(G145="Premium",Listas!$K$17,IF(G145="Diesel",Listas!$K$18,"-")))</f>
        <v>-</v>
      </c>
      <c r="I145" s="17"/>
      <c r="J145" s="18"/>
      <c r="K145" s="19" t="str">
        <f>+IFERROR(IF(G145="Regular",VLOOKUP(C145,'PRECIO TERMINAL PEMEX'!$B$4:$E$35,2,0),IF(G145="Premium",VLOOKUP(C145,'PRECIO TERMINAL PEMEX'!$B$4:$E$35,3,0),IF(G145="Diesel",VLOOKUP(C145,'PRECIO TERMINAL PEMEX'!$B$4:$E$35,4,0),"Seleccione Producto"))),"-")</f>
        <v>Seleccione Producto</v>
      </c>
      <c r="L145" s="93" t="str">
        <f>+IFERROR(IF(F145="VHSA",VLOOKUP(B145,Listas!$C$4:$F$17,2,0),IF(F145="DOS BOCAS",VLOOKUP(B145,Listas!$C$4:$F$17,3,0),IF(F145="GLENCORE",VLOOKUP(B145,Listas!$C$4:$F$17,4,0),"Seleccione TAR"))),"-")</f>
        <v>Seleccione TAR</v>
      </c>
      <c r="M145" s="19" t="str">
        <f>+IFERROR(IF(G145="Regular",VLOOKUP(C145,'DESCUENTO PROVEEDORES'!$B$4:$E$35,2,0),IF(G145="Premium",VLOOKUP(C145,'DESCUENTO PROVEEDORES'!$B$4:$E$35,3,0),IF(G145="Diesel",VLOOKUP(C145,'DESCUENTO PROVEEDORES'!$B$4:$E$35,4,0),"Seleccione Proveedor"))),"-")</f>
        <v>Seleccione Proveedor</v>
      </c>
      <c r="N145" s="20" t="e">
        <f>((((K145-H145)/1.16)-M145))</f>
        <v>#VALUE!</v>
      </c>
      <c r="O145" s="21" t="e">
        <f>((N145*16%)+N145)+H145+L145</f>
        <v>#VALUE!</v>
      </c>
      <c r="P145" s="21" t="e">
        <f>(((J145-O145)-H145)/1.16)+H145</f>
        <v>#VALUE!</v>
      </c>
      <c r="Q145" s="44"/>
      <c r="R145" s="24"/>
      <c r="S145" s="23" t="e">
        <f t="shared" si="6"/>
        <v>#DIV/0!</v>
      </c>
      <c r="T145" s="23" t="e">
        <f t="shared" si="7"/>
        <v>#DIV/0!</v>
      </c>
      <c r="U145" s="22" t="e">
        <f t="shared" si="8"/>
        <v>#DIV/0!</v>
      </c>
      <c r="V145" s="44"/>
      <c r="W145" s="44"/>
      <c r="X145" s="44"/>
      <c r="Y145" s="44"/>
      <c r="Z145" s="44"/>
    </row>
    <row r="146" spans="1:26" ht="15.75" customHeight="1">
      <c r="A146" s="44"/>
      <c r="B146" s="14"/>
      <c r="C146" s="53"/>
      <c r="D146" s="15"/>
      <c r="E146" s="89"/>
      <c r="F146" s="16"/>
      <c r="G146" s="16"/>
      <c r="H146" s="90" t="str">
        <f>IF(G146="Regular",Listas!$K$16,IF(G146="Premium",Listas!$K$17,IF(G146="Diesel",Listas!$K$18,"-")))</f>
        <v>-</v>
      </c>
      <c r="I146" s="17"/>
      <c r="J146" s="18"/>
      <c r="K146" s="19" t="str">
        <f>+IFERROR(IF(G146="Regular",VLOOKUP(C146,'PRECIO TERMINAL PEMEX'!$B$4:$E$35,2,0),IF(G146="Premium",VLOOKUP(C146,'PRECIO TERMINAL PEMEX'!$B$4:$E$35,3,0),IF(G146="Diesel",VLOOKUP(C146,'PRECIO TERMINAL PEMEX'!$B$4:$E$35,4,0),"Seleccione Producto"))),"-")</f>
        <v>Seleccione Producto</v>
      </c>
      <c r="L146" s="93" t="str">
        <f>+IFERROR(IF(F146="VHSA",VLOOKUP(B146,Listas!$C$4:$F$17,2,0),IF(F146="DOS BOCAS",VLOOKUP(B146,Listas!$C$4:$F$17,3,0),IF(F146="GLENCORE",VLOOKUP(B146,Listas!$C$4:$F$17,4,0),"Seleccione TAR"))),"-")</f>
        <v>Seleccione TAR</v>
      </c>
      <c r="M146" s="19" t="str">
        <f>+IFERROR(IF(G146="Regular",VLOOKUP(C146,'DESCUENTO PROVEEDORES'!$B$4:$E$35,2,0),IF(G146="Premium",VLOOKUP(C146,'DESCUENTO PROVEEDORES'!$B$4:$E$35,3,0),IF(G146="Diesel",VLOOKUP(C146,'DESCUENTO PROVEEDORES'!$B$4:$E$35,4,0),"Seleccione Proveedor"))),"-")</f>
        <v>Seleccione Proveedor</v>
      </c>
      <c r="N146" s="20" t="e">
        <f>((((K146-H146)/1.16)-M146))</f>
        <v>#VALUE!</v>
      </c>
      <c r="O146" s="21" t="e">
        <f>((N146*16%)+N146)+H146+L146</f>
        <v>#VALUE!</v>
      </c>
      <c r="P146" s="21" t="e">
        <f>(((J146-O146)-H146)/1.16)+H146</f>
        <v>#VALUE!</v>
      </c>
      <c r="Q146" s="44"/>
      <c r="R146" s="24"/>
      <c r="S146" s="23" t="e">
        <f t="shared" si="6"/>
        <v>#DIV/0!</v>
      </c>
      <c r="T146" s="23" t="e">
        <f t="shared" si="7"/>
        <v>#DIV/0!</v>
      </c>
      <c r="U146" s="22" t="e">
        <f t="shared" si="8"/>
        <v>#DIV/0!</v>
      </c>
      <c r="V146" s="44"/>
      <c r="W146" s="44"/>
      <c r="X146" s="44"/>
      <c r="Y146" s="44"/>
      <c r="Z146" s="44"/>
    </row>
    <row r="147" spans="1:26" ht="15.75" customHeight="1">
      <c r="A147" s="44"/>
      <c r="B147" s="14"/>
      <c r="C147" s="53"/>
      <c r="D147" s="15"/>
      <c r="E147" s="89"/>
      <c r="F147" s="16"/>
      <c r="G147" s="16"/>
      <c r="H147" s="90" t="str">
        <f>IF(G147="Regular",Listas!$K$16,IF(G147="Premium",Listas!$K$17,IF(G147="Diesel",Listas!$K$18,"-")))</f>
        <v>-</v>
      </c>
      <c r="I147" s="17"/>
      <c r="J147" s="18"/>
      <c r="K147" s="19" t="str">
        <f>+IFERROR(IF(G147="Regular",VLOOKUP(C147,'PRECIO TERMINAL PEMEX'!$B$4:$E$35,2,0),IF(G147="Premium",VLOOKUP(C147,'PRECIO TERMINAL PEMEX'!$B$4:$E$35,3,0),IF(G147="Diesel",VLOOKUP(C147,'PRECIO TERMINAL PEMEX'!$B$4:$E$35,4,0),"Seleccione Producto"))),"-")</f>
        <v>Seleccione Producto</v>
      </c>
      <c r="L147" s="93" t="str">
        <f>+IFERROR(IF(F147="VHSA",VLOOKUP(B147,Listas!$C$4:$F$17,2,0),IF(F147="DOS BOCAS",VLOOKUP(B147,Listas!$C$4:$F$17,3,0),IF(F147="GLENCORE",VLOOKUP(B147,Listas!$C$4:$F$17,4,0),"Seleccione TAR"))),"-")</f>
        <v>Seleccione TAR</v>
      </c>
      <c r="M147" s="19" t="str">
        <f>+IFERROR(IF(G147="Regular",VLOOKUP(C147,'DESCUENTO PROVEEDORES'!$B$4:$E$35,2,0),IF(G147="Premium",VLOOKUP(C147,'DESCUENTO PROVEEDORES'!$B$4:$E$35,3,0),IF(G147="Diesel",VLOOKUP(C147,'DESCUENTO PROVEEDORES'!$B$4:$E$35,4,0),"Seleccione Proveedor"))),"-")</f>
        <v>Seleccione Proveedor</v>
      </c>
      <c r="N147" s="20" t="e">
        <f>((((K147-H147)/1.16)-M147))</f>
        <v>#VALUE!</v>
      </c>
      <c r="O147" s="21" t="e">
        <f>((N147*16%)+N147)+H147+L147</f>
        <v>#VALUE!</v>
      </c>
      <c r="P147" s="21" t="e">
        <f>(((J147-O147)-H147)/1.16)+H147</f>
        <v>#VALUE!</v>
      </c>
      <c r="Q147" s="44"/>
      <c r="R147" s="24"/>
      <c r="S147" s="23" t="e">
        <f t="shared" si="6"/>
        <v>#DIV/0!</v>
      </c>
      <c r="T147" s="23" t="e">
        <f t="shared" si="7"/>
        <v>#DIV/0!</v>
      </c>
      <c r="U147" s="22" t="e">
        <f t="shared" si="8"/>
        <v>#DIV/0!</v>
      </c>
      <c r="V147" s="44"/>
      <c r="W147" s="44"/>
      <c r="X147" s="44"/>
      <c r="Y147" s="44"/>
      <c r="Z147" s="44"/>
    </row>
    <row r="148" spans="1:26" ht="15.75" customHeight="1">
      <c r="A148" s="44"/>
      <c r="B148" s="14"/>
      <c r="C148" s="53"/>
      <c r="D148" s="15"/>
      <c r="E148" s="89"/>
      <c r="F148" s="16"/>
      <c r="G148" s="16"/>
      <c r="H148" s="90" t="str">
        <f>IF(G148="Regular",Listas!$K$16,IF(G148="Premium",Listas!$K$17,IF(G148="Diesel",Listas!$K$18,"-")))</f>
        <v>-</v>
      </c>
      <c r="I148" s="17"/>
      <c r="J148" s="18"/>
      <c r="K148" s="19" t="str">
        <f>+IFERROR(IF(G148="Regular",VLOOKUP(C148,'PRECIO TERMINAL PEMEX'!$B$4:$E$35,2,0),IF(G148="Premium",VLOOKUP(C148,'PRECIO TERMINAL PEMEX'!$B$4:$E$35,3,0),IF(G148="Diesel",VLOOKUP(C148,'PRECIO TERMINAL PEMEX'!$B$4:$E$35,4,0),"Seleccione Producto"))),"-")</f>
        <v>Seleccione Producto</v>
      </c>
      <c r="L148" s="93" t="str">
        <f>+IFERROR(IF(F148="VHSA",VLOOKUP(B148,Listas!$C$4:$F$17,2,0),IF(F148="DOS BOCAS",VLOOKUP(B148,Listas!$C$4:$F$17,3,0),IF(F148="GLENCORE",VLOOKUP(B148,Listas!$C$4:$F$17,4,0),"Seleccione TAR"))),"-")</f>
        <v>Seleccione TAR</v>
      </c>
      <c r="M148" s="19" t="str">
        <f>+IFERROR(IF(G148="Regular",VLOOKUP(C148,'DESCUENTO PROVEEDORES'!$B$4:$E$35,2,0),IF(G148="Premium",VLOOKUP(C148,'DESCUENTO PROVEEDORES'!$B$4:$E$35,3,0),IF(G148="Diesel",VLOOKUP(C148,'DESCUENTO PROVEEDORES'!$B$4:$E$35,4,0),"Seleccione Proveedor"))),"-")</f>
        <v>Seleccione Proveedor</v>
      </c>
      <c r="N148" s="20" t="e">
        <f>((((K148-H148)/1.16)-M148))</f>
        <v>#VALUE!</v>
      </c>
      <c r="O148" s="21" t="e">
        <f>((N148*16%)+N148)+H148+L148</f>
        <v>#VALUE!</v>
      </c>
      <c r="P148" s="21" t="e">
        <f>(((J148-O148)-H148)/1.16)+H148</f>
        <v>#VALUE!</v>
      </c>
      <c r="Q148" s="44"/>
      <c r="R148" s="24"/>
      <c r="S148" s="23" t="e">
        <f t="shared" si="6"/>
        <v>#DIV/0!</v>
      </c>
      <c r="T148" s="23" t="e">
        <f t="shared" si="7"/>
        <v>#DIV/0!</v>
      </c>
      <c r="U148" s="22" t="e">
        <f t="shared" si="8"/>
        <v>#DIV/0!</v>
      </c>
      <c r="V148" s="44"/>
      <c r="W148" s="44"/>
      <c r="X148" s="44"/>
      <c r="Y148" s="44"/>
      <c r="Z148" s="44"/>
    </row>
    <row r="149" spans="1:26" ht="15.75" customHeight="1">
      <c r="A149" s="44"/>
      <c r="B149" s="14"/>
      <c r="C149" s="53"/>
      <c r="D149" s="15"/>
      <c r="E149" s="89"/>
      <c r="F149" s="16"/>
      <c r="G149" s="16"/>
      <c r="H149" s="90" t="str">
        <f>IF(G149="Regular",Listas!$K$16,IF(G149="Premium",Listas!$K$17,IF(G149="Diesel",Listas!$K$18,"-")))</f>
        <v>-</v>
      </c>
      <c r="I149" s="17"/>
      <c r="J149" s="18"/>
      <c r="K149" s="19" t="str">
        <f>+IFERROR(IF(G149="Regular",VLOOKUP(C149,'PRECIO TERMINAL PEMEX'!$B$4:$E$35,2,0),IF(G149="Premium",VLOOKUP(C149,'PRECIO TERMINAL PEMEX'!$B$4:$E$35,3,0),IF(G149="Diesel",VLOOKUP(C149,'PRECIO TERMINAL PEMEX'!$B$4:$E$35,4,0),"Seleccione Producto"))),"-")</f>
        <v>Seleccione Producto</v>
      </c>
      <c r="L149" s="93" t="str">
        <f>+IFERROR(IF(F149="VHSA",VLOOKUP(B149,Listas!$C$4:$F$17,2,0),IF(F149="DOS BOCAS",VLOOKUP(B149,Listas!$C$4:$F$17,3,0),IF(F149="GLENCORE",VLOOKUP(B149,Listas!$C$4:$F$17,4,0),"Seleccione TAR"))),"-")</f>
        <v>Seleccione TAR</v>
      </c>
      <c r="M149" s="19" t="str">
        <f>+IFERROR(IF(G149="Regular",VLOOKUP(C149,'DESCUENTO PROVEEDORES'!$B$4:$E$35,2,0),IF(G149="Premium",VLOOKUP(C149,'DESCUENTO PROVEEDORES'!$B$4:$E$35,3,0),IF(G149="Diesel",VLOOKUP(C149,'DESCUENTO PROVEEDORES'!$B$4:$E$35,4,0),"Seleccione Proveedor"))),"-")</f>
        <v>Seleccione Proveedor</v>
      </c>
      <c r="N149" s="20" t="e">
        <f>((((K149-H149)/1.16)-M149))</f>
        <v>#VALUE!</v>
      </c>
      <c r="O149" s="21" t="e">
        <f>((N149*16%)+N149)+H149+L149</f>
        <v>#VALUE!</v>
      </c>
      <c r="P149" s="21" t="e">
        <f>(((J149-O149)-H149)/1.16)+H149</f>
        <v>#VALUE!</v>
      </c>
      <c r="Q149" s="44"/>
      <c r="R149" s="24"/>
      <c r="S149" s="23" t="e">
        <f t="shared" si="6"/>
        <v>#DIV/0!</v>
      </c>
      <c r="T149" s="23" t="e">
        <f t="shared" si="7"/>
        <v>#DIV/0!</v>
      </c>
      <c r="U149" s="22" t="e">
        <f t="shared" si="8"/>
        <v>#DIV/0!</v>
      </c>
      <c r="V149" s="44"/>
      <c r="W149" s="44"/>
      <c r="X149" s="44"/>
      <c r="Y149" s="44"/>
      <c r="Z149" s="44"/>
    </row>
    <row r="150" spans="1:26" ht="15.75" customHeight="1">
      <c r="A150" s="44"/>
      <c r="B150" s="14"/>
      <c r="C150" s="53"/>
      <c r="D150" s="15"/>
      <c r="E150" s="89"/>
      <c r="F150" s="16"/>
      <c r="G150" s="16"/>
      <c r="H150" s="90" t="str">
        <f>IF(G150="Regular",Listas!$K$16,IF(G150="Premium",Listas!$K$17,IF(G150="Diesel",Listas!$K$18,"-")))</f>
        <v>-</v>
      </c>
      <c r="I150" s="17"/>
      <c r="J150" s="18"/>
      <c r="K150" s="19" t="str">
        <f>+IFERROR(IF(G150="Regular",VLOOKUP(C150,'PRECIO TERMINAL PEMEX'!$B$4:$E$35,2,0),IF(G150="Premium",VLOOKUP(C150,'PRECIO TERMINAL PEMEX'!$B$4:$E$35,3,0),IF(G150="Diesel",VLOOKUP(C150,'PRECIO TERMINAL PEMEX'!$B$4:$E$35,4,0),"Seleccione Producto"))),"-")</f>
        <v>Seleccione Producto</v>
      </c>
      <c r="L150" s="93" t="str">
        <f>+IFERROR(IF(F150="VHSA",VLOOKUP(B150,Listas!$C$4:$F$17,2,0),IF(F150="DOS BOCAS",VLOOKUP(B150,Listas!$C$4:$F$17,3,0),IF(F150="GLENCORE",VLOOKUP(B150,Listas!$C$4:$F$17,4,0),"Seleccione TAR"))),"-")</f>
        <v>Seleccione TAR</v>
      </c>
      <c r="M150" s="19" t="str">
        <f>+IFERROR(IF(G150="Regular",VLOOKUP(C150,'DESCUENTO PROVEEDORES'!$B$4:$E$35,2,0),IF(G150="Premium",VLOOKUP(C150,'DESCUENTO PROVEEDORES'!$B$4:$E$35,3,0),IF(G150="Diesel",VLOOKUP(C150,'DESCUENTO PROVEEDORES'!$B$4:$E$35,4,0),"Seleccione Proveedor"))),"-")</f>
        <v>Seleccione Proveedor</v>
      </c>
      <c r="N150" s="20" t="e">
        <f>((((K150-H150)/1.16)-M150))</f>
        <v>#VALUE!</v>
      </c>
      <c r="O150" s="21" t="e">
        <f>((N150*16%)+N150)+H150+L150</f>
        <v>#VALUE!</v>
      </c>
      <c r="P150" s="21" t="e">
        <f>(((J150-O150)-H150)/1.16)+H150</f>
        <v>#VALUE!</v>
      </c>
      <c r="Q150" s="44"/>
      <c r="R150" s="24"/>
      <c r="S150" s="23" t="e">
        <f t="shared" si="6"/>
        <v>#DIV/0!</v>
      </c>
      <c r="T150" s="23" t="e">
        <f t="shared" si="7"/>
        <v>#DIV/0!</v>
      </c>
      <c r="U150" s="22" t="e">
        <f t="shared" si="8"/>
        <v>#DIV/0!</v>
      </c>
      <c r="V150" s="44"/>
      <c r="W150" s="44"/>
      <c r="X150" s="44"/>
      <c r="Y150" s="44"/>
      <c r="Z150" s="44"/>
    </row>
    <row r="151" spans="1:26" ht="15.75" customHeight="1">
      <c r="A151" s="44"/>
      <c r="B151" s="14"/>
      <c r="C151" s="53"/>
      <c r="D151" s="15"/>
      <c r="E151" s="89"/>
      <c r="F151" s="16"/>
      <c r="G151" s="16"/>
      <c r="H151" s="90" t="str">
        <f>IF(G151="Regular",Listas!$K$16,IF(G151="Premium",Listas!$K$17,IF(G151="Diesel",Listas!$K$18,"-")))</f>
        <v>-</v>
      </c>
      <c r="I151" s="17"/>
      <c r="J151" s="18"/>
      <c r="K151" s="19" t="str">
        <f>+IFERROR(IF(G151="Regular",VLOOKUP(C151,'PRECIO TERMINAL PEMEX'!$B$4:$E$35,2,0),IF(G151="Premium",VLOOKUP(C151,'PRECIO TERMINAL PEMEX'!$B$4:$E$35,3,0),IF(G151="Diesel",VLOOKUP(C151,'PRECIO TERMINAL PEMEX'!$B$4:$E$35,4,0),"Seleccione Producto"))),"-")</f>
        <v>Seleccione Producto</v>
      </c>
      <c r="L151" s="93" t="str">
        <f>+IFERROR(IF(F151="VHSA",VLOOKUP(B151,Listas!$C$4:$F$17,2,0),IF(F151="DOS BOCAS",VLOOKUP(B151,Listas!$C$4:$F$17,3,0),IF(F151="GLENCORE",VLOOKUP(B151,Listas!$C$4:$F$17,4,0),"Seleccione TAR"))),"-")</f>
        <v>Seleccione TAR</v>
      </c>
      <c r="M151" s="19" t="str">
        <f>+IFERROR(IF(G151="Regular",VLOOKUP(C151,'DESCUENTO PROVEEDORES'!$B$4:$E$35,2,0),IF(G151="Premium",VLOOKUP(C151,'DESCUENTO PROVEEDORES'!$B$4:$E$35,3,0),IF(G151="Diesel",VLOOKUP(C151,'DESCUENTO PROVEEDORES'!$B$4:$E$35,4,0),"Seleccione Proveedor"))),"-")</f>
        <v>Seleccione Proveedor</v>
      </c>
      <c r="N151" s="20" t="e">
        <f>((((K151-H151)/1.16)-M151))</f>
        <v>#VALUE!</v>
      </c>
      <c r="O151" s="21" t="e">
        <f>((N151*16%)+N151)+H151+L151</f>
        <v>#VALUE!</v>
      </c>
      <c r="P151" s="21" t="e">
        <f>(((J151-O151)-H151)/1.16)+H151</f>
        <v>#VALUE!</v>
      </c>
      <c r="Q151" s="44"/>
      <c r="R151" s="24"/>
      <c r="S151" s="23" t="e">
        <f t="shared" si="6"/>
        <v>#DIV/0!</v>
      </c>
      <c r="T151" s="23" t="e">
        <f t="shared" si="7"/>
        <v>#DIV/0!</v>
      </c>
      <c r="U151" s="22" t="e">
        <f t="shared" si="8"/>
        <v>#DIV/0!</v>
      </c>
      <c r="V151" s="44"/>
      <c r="W151" s="44"/>
      <c r="X151" s="44"/>
      <c r="Y151" s="44"/>
      <c r="Z151" s="44"/>
    </row>
    <row r="152" spans="1:26" ht="15.75" customHeight="1">
      <c r="A152" s="44"/>
      <c r="B152" s="14"/>
      <c r="C152" s="53"/>
      <c r="D152" s="15"/>
      <c r="E152" s="89"/>
      <c r="F152" s="16"/>
      <c r="G152" s="16"/>
      <c r="H152" s="90" t="str">
        <f>IF(G152="Regular",Listas!$K$16,IF(G152="Premium",Listas!$K$17,IF(G152="Diesel",Listas!$K$18,"-")))</f>
        <v>-</v>
      </c>
      <c r="I152" s="17"/>
      <c r="J152" s="18"/>
      <c r="K152" s="19" t="str">
        <f>+IFERROR(IF(G152="Regular",VLOOKUP(C152,'PRECIO TERMINAL PEMEX'!$B$4:$E$35,2,0),IF(G152="Premium",VLOOKUP(C152,'PRECIO TERMINAL PEMEX'!$B$4:$E$35,3,0),IF(G152="Diesel",VLOOKUP(C152,'PRECIO TERMINAL PEMEX'!$B$4:$E$35,4,0),"Seleccione Producto"))),"-")</f>
        <v>Seleccione Producto</v>
      </c>
      <c r="L152" s="93" t="str">
        <f>+IFERROR(IF(F152="VHSA",VLOOKUP(B152,Listas!$C$4:$F$17,2,0),IF(F152="DOS BOCAS",VLOOKUP(B152,Listas!$C$4:$F$17,3,0),IF(F152="GLENCORE",VLOOKUP(B152,Listas!$C$4:$F$17,4,0),"Seleccione TAR"))),"-")</f>
        <v>Seleccione TAR</v>
      </c>
      <c r="M152" s="19" t="str">
        <f>+IFERROR(IF(G152="Regular",VLOOKUP(C152,'DESCUENTO PROVEEDORES'!$B$4:$E$35,2,0),IF(G152="Premium",VLOOKUP(C152,'DESCUENTO PROVEEDORES'!$B$4:$E$35,3,0),IF(G152="Diesel",VLOOKUP(C152,'DESCUENTO PROVEEDORES'!$B$4:$E$35,4,0),"Seleccione Proveedor"))),"-")</f>
        <v>Seleccione Proveedor</v>
      </c>
      <c r="N152" s="20" t="e">
        <f>((((K152-H152)/1.16)-M152))</f>
        <v>#VALUE!</v>
      </c>
      <c r="O152" s="21" t="e">
        <f>((N152*16%)+N152)+H152+L152</f>
        <v>#VALUE!</v>
      </c>
      <c r="P152" s="21" t="e">
        <f>(((J152-O152)-H152)/1.16)+H152</f>
        <v>#VALUE!</v>
      </c>
      <c r="Q152" s="44"/>
      <c r="R152" s="24"/>
      <c r="S152" s="23" t="e">
        <f t="shared" si="6"/>
        <v>#DIV/0!</v>
      </c>
      <c r="T152" s="23" t="e">
        <f t="shared" si="7"/>
        <v>#DIV/0!</v>
      </c>
      <c r="U152" s="22" t="e">
        <f t="shared" si="8"/>
        <v>#DIV/0!</v>
      </c>
      <c r="V152" s="44"/>
      <c r="W152" s="44"/>
      <c r="X152" s="44"/>
      <c r="Y152" s="44"/>
      <c r="Z152" s="44"/>
    </row>
    <row r="153" spans="1:26" ht="15.75" customHeight="1">
      <c r="A153" s="44"/>
      <c r="B153" s="14"/>
      <c r="C153" s="53"/>
      <c r="D153" s="15"/>
      <c r="E153" s="89"/>
      <c r="F153" s="16"/>
      <c r="G153" s="16"/>
      <c r="H153" s="90" t="str">
        <f>IF(G153="Regular",Listas!$K$16,IF(G153="Premium",Listas!$K$17,IF(G153="Diesel",Listas!$K$18,"-")))</f>
        <v>-</v>
      </c>
      <c r="I153" s="17"/>
      <c r="J153" s="18"/>
      <c r="K153" s="19" t="str">
        <f>+IFERROR(IF(G153="Regular",VLOOKUP(C153,'PRECIO TERMINAL PEMEX'!$B$4:$E$35,2,0),IF(G153="Premium",VLOOKUP(C153,'PRECIO TERMINAL PEMEX'!$B$4:$E$35,3,0),IF(G153="Diesel",VLOOKUP(C153,'PRECIO TERMINAL PEMEX'!$B$4:$E$35,4,0),"Seleccione Producto"))),"-")</f>
        <v>Seleccione Producto</v>
      </c>
      <c r="L153" s="93" t="str">
        <f>+IFERROR(IF(F153="VHSA",VLOOKUP(B153,Listas!$C$4:$F$17,2,0),IF(F153="DOS BOCAS",VLOOKUP(B153,Listas!$C$4:$F$17,3,0),IF(F153="GLENCORE",VLOOKUP(B153,Listas!$C$4:$F$17,4,0),"Seleccione TAR"))),"-")</f>
        <v>Seleccione TAR</v>
      </c>
      <c r="M153" s="19" t="str">
        <f>+IFERROR(IF(G153="Regular",VLOOKUP(C153,'DESCUENTO PROVEEDORES'!$B$4:$E$35,2,0),IF(G153="Premium",VLOOKUP(C153,'DESCUENTO PROVEEDORES'!$B$4:$E$35,3,0),IF(G153="Diesel",VLOOKUP(C153,'DESCUENTO PROVEEDORES'!$B$4:$E$35,4,0),"Seleccione Proveedor"))),"-")</f>
        <v>Seleccione Proveedor</v>
      </c>
      <c r="N153" s="20" t="e">
        <f>((((K153-H153)/1.16)-M153))</f>
        <v>#VALUE!</v>
      </c>
      <c r="O153" s="21" t="e">
        <f>((N153*16%)+N153)+H153+L153</f>
        <v>#VALUE!</v>
      </c>
      <c r="P153" s="21" t="e">
        <f>(((J153-O153)-H153)/1.16)+H153</f>
        <v>#VALUE!</v>
      </c>
      <c r="Q153" s="44"/>
      <c r="R153" s="24"/>
      <c r="S153" s="23" t="e">
        <f t="shared" si="6"/>
        <v>#DIV/0!</v>
      </c>
      <c r="T153" s="23" t="e">
        <f t="shared" si="7"/>
        <v>#DIV/0!</v>
      </c>
      <c r="U153" s="22" t="e">
        <f t="shared" si="8"/>
        <v>#DIV/0!</v>
      </c>
      <c r="V153" s="44"/>
      <c r="W153" s="44"/>
      <c r="X153" s="44"/>
      <c r="Y153" s="44"/>
      <c r="Z153" s="44"/>
    </row>
    <row r="154" spans="1:26" ht="15.75" customHeight="1">
      <c r="A154" s="44"/>
      <c r="B154" s="14"/>
      <c r="C154" s="53"/>
      <c r="D154" s="15"/>
      <c r="E154" s="89"/>
      <c r="F154" s="16"/>
      <c r="G154" s="16"/>
      <c r="H154" s="90" t="str">
        <f>IF(G154="Regular",Listas!$K$16,IF(G154="Premium",Listas!$K$17,IF(G154="Diesel",Listas!$K$18,"-")))</f>
        <v>-</v>
      </c>
      <c r="I154" s="17"/>
      <c r="J154" s="18"/>
      <c r="K154" s="19" t="str">
        <f>+IFERROR(IF(G154="Regular",VLOOKUP(C154,'PRECIO TERMINAL PEMEX'!$B$4:$E$35,2,0),IF(G154="Premium",VLOOKUP(C154,'PRECIO TERMINAL PEMEX'!$B$4:$E$35,3,0),IF(G154="Diesel",VLOOKUP(C154,'PRECIO TERMINAL PEMEX'!$B$4:$E$35,4,0),"Seleccione Producto"))),"-")</f>
        <v>Seleccione Producto</v>
      </c>
      <c r="L154" s="93" t="str">
        <f>+IFERROR(IF(F154="VHSA",VLOOKUP(B154,Listas!$C$4:$F$17,2,0),IF(F154="DOS BOCAS",VLOOKUP(B154,Listas!$C$4:$F$17,3,0),IF(F154="GLENCORE",VLOOKUP(B154,Listas!$C$4:$F$17,4,0),"Seleccione TAR"))),"-")</f>
        <v>Seleccione TAR</v>
      </c>
      <c r="M154" s="19" t="str">
        <f>+IFERROR(IF(G154="Regular",VLOOKUP(C154,'DESCUENTO PROVEEDORES'!$B$4:$E$35,2,0),IF(G154="Premium",VLOOKUP(C154,'DESCUENTO PROVEEDORES'!$B$4:$E$35,3,0),IF(G154="Diesel",VLOOKUP(C154,'DESCUENTO PROVEEDORES'!$B$4:$E$35,4,0),"Seleccione Proveedor"))),"-")</f>
        <v>Seleccione Proveedor</v>
      </c>
      <c r="N154" s="20" t="e">
        <f>((((K154-H154)/1.16)-M154))</f>
        <v>#VALUE!</v>
      </c>
      <c r="O154" s="21" t="e">
        <f>((N154*16%)+N154)+H154+L154</f>
        <v>#VALUE!</v>
      </c>
      <c r="P154" s="21" t="e">
        <f>(((J154-O154)-H154)/1.16)+H154</f>
        <v>#VALUE!</v>
      </c>
      <c r="Q154" s="44"/>
      <c r="R154" s="24"/>
      <c r="S154" s="23" t="e">
        <f t="shared" si="6"/>
        <v>#DIV/0!</v>
      </c>
      <c r="T154" s="23" t="e">
        <f t="shared" si="7"/>
        <v>#DIV/0!</v>
      </c>
      <c r="U154" s="22" t="e">
        <f t="shared" si="8"/>
        <v>#DIV/0!</v>
      </c>
      <c r="V154" s="44"/>
      <c r="W154" s="44"/>
      <c r="X154" s="44"/>
      <c r="Y154" s="44"/>
      <c r="Z154" s="44"/>
    </row>
    <row r="155" spans="1:26" ht="15.75" customHeight="1">
      <c r="A155" s="44"/>
      <c r="B155" s="14"/>
      <c r="C155" s="53"/>
      <c r="D155" s="15"/>
      <c r="E155" s="89"/>
      <c r="F155" s="16"/>
      <c r="G155" s="16"/>
      <c r="H155" s="90" t="str">
        <f>IF(G155="Regular",Listas!$K$16,IF(G155="Premium",Listas!$K$17,IF(G155="Diesel",Listas!$K$18,"-")))</f>
        <v>-</v>
      </c>
      <c r="I155" s="17"/>
      <c r="J155" s="18"/>
      <c r="K155" s="19" t="str">
        <f>+IFERROR(IF(G155="Regular",VLOOKUP(C155,'PRECIO TERMINAL PEMEX'!$B$4:$E$35,2,0),IF(G155="Premium",VLOOKUP(C155,'PRECIO TERMINAL PEMEX'!$B$4:$E$35,3,0),IF(G155="Diesel",VLOOKUP(C155,'PRECIO TERMINAL PEMEX'!$B$4:$E$35,4,0),"Seleccione Producto"))),"-")</f>
        <v>Seleccione Producto</v>
      </c>
      <c r="L155" s="93" t="str">
        <f>+IFERROR(IF(F155="VHSA",VLOOKUP(B155,Listas!$C$4:$F$17,2,0),IF(F155="DOS BOCAS",VLOOKUP(B155,Listas!$C$4:$F$17,3,0),IF(F155="GLENCORE",VLOOKUP(B155,Listas!$C$4:$F$17,4,0),"Seleccione TAR"))),"-")</f>
        <v>Seleccione TAR</v>
      </c>
      <c r="M155" s="19" t="str">
        <f>+IFERROR(IF(G155="Regular",VLOOKUP(C155,'DESCUENTO PROVEEDORES'!$B$4:$E$35,2,0),IF(G155="Premium",VLOOKUP(C155,'DESCUENTO PROVEEDORES'!$B$4:$E$35,3,0),IF(G155="Diesel",VLOOKUP(C155,'DESCUENTO PROVEEDORES'!$B$4:$E$35,4,0),"Seleccione Proveedor"))),"-")</f>
        <v>Seleccione Proveedor</v>
      </c>
      <c r="N155" s="20" t="e">
        <f>((((K155-H155)/1.16)-M155))</f>
        <v>#VALUE!</v>
      </c>
      <c r="O155" s="21" t="e">
        <f>((N155*16%)+N155)+H155+L155</f>
        <v>#VALUE!</v>
      </c>
      <c r="P155" s="21" t="e">
        <f>(((J155-O155)-H155)/1.16)+H155</f>
        <v>#VALUE!</v>
      </c>
      <c r="Q155" s="44"/>
      <c r="R155" s="24"/>
      <c r="S155" s="23" t="e">
        <f t="shared" si="6"/>
        <v>#DIV/0!</v>
      </c>
      <c r="T155" s="23" t="e">
        <f t="shared" si="7"/>
        <v>#DIV/0!</v>
      </c>
      <c r="U155" s="22" t="e">
        <f t="shared" si="8"/>
        <v>#DIV/0!</v>
      </c>
      <c r="V155" s="44"/>
      <c r="W155" s="44"/>
      <c r="X155" s="44"/>
      <c r="Y155" s="44"/>
      <c r="Z155" s="44"/>
    </row>
    <row r="156" spans="1:26" ht="15.75" customHeight="1">
      <c r="A156" s="44"/>
      <c r="B156" s="14"/>
      <c r="C156" s="53"/>
      <c r="D156" s="15"/>
      <c r="E156" s="89"/>
      <c r="F156" s="16"/>
      <c r="G156" s="16"/>
      <c r="H156" s="90" t="str">
        <f>IF(G156="Regular",Listas!$K$16,IF(G156="Premium",Listas!$K$17,IF(G156="Diesel",Listas!$K$18,"-")))</f>
        <v>-</v>
      </c>
      <c r="I156" s="17"/>
      <c r="J156" s="18"/>
      <c r="K156" s="19" t="str">
        <f>+IFERROR(IF(G156="Regular",VLOOKUP(C156,'PRECIO TERMINAL PEMEX'!$B$4:$E$35,2,0),IF(G156="Premium",VLOOKUP(C156,'PRECIO TERMINAL PEMEX'!$B$4:$E$35,3,0),IF(G156="Diesel",VLOOKUP(C156,'PRECIO TERMINAL PEMEX'!$B$4:$E$35,4,0),"Seleccione Producto"))),"-")</f>
        <v>Seleccione Producto</v>
      </c>
      <c r="L156" s="93" t="str">
        <f>+IFERROR(IF(F156="VHSA",VLOOKUP(B156,Listas!$C$4:$F$17,2,0),IF(F156="DOS BOCAS",VLOOKUP(B156,Listas!$C$4:$F$17,3,0),IF(F156="GLENCORE",VLOOKUP(B156,Listas!$C$4:$F$17,4,0),"Seleccione TAR"))),"-")</f>
        <v>Seleccione TAR</v>
      </c>
      <c r="M156" s="19" t="str">
        <f>+IFERROR(IF(G156="Regular",VLOOKUP(C156,'DESCUENTO PROVEEDORES'!$B$4:$E$35,2,0),IF(G156="Premium",VLOOKUP(C156,'DESCUENTO PROVEEDORES'!$B$4:$E$35,3,0),IF(G156="Diesel",VLOOKUP(C156,'DESCUENTO PROVEEDORES'!$B$4:$E$35,4,0),"Seleccione Proveedor"))),"-")</f>
        <v>Seleccione Proveedor</v>
      </c>
      <c r="N156" s="20" t="e">
        <f>((((K156-H156)/1.16)-M156))</f>
        <v>#VALUE!</v>
      </c>
      <c r="O156" s="21" t="e">
        <f>((N156*16%)+N156)+H156+L156</f>
        <v>#VALUE!</v>
      </c>
      <c r="P156" s="21" t="e">
        <f>(((J156-O156)-H156)/1.16)+H156</f>
        <v>#VALUE!</v>
      </c>
      <c r="Q156" s="44"/>
      <c r="R156" s="24"/>
      <c r="S156" s="23" t="e">
        <f t="shared" si="6"/>
        <v>#DIV/0!</v>
      </c>
      <c r="T156" s="23" t="e">
        <f t="shared" si="7"/>
        <v>#DIV/0!</v>
      </c>
      <c r="U156" s="22" t="e">
        <f t="shared" si="8"/>
        <v>#DIV/0!</v>
      </c>
      <c r="V156" s="44"/>
      <c r="W156" s="44"/>
      <c r="X156" s="44"/>
      <c r="Y156" s="44"/>
      <c r="Z156" s="44"/>
    </row>
    <row r="157" spans="1:26" ht="15.75" customHeight="1">
      <c r="A157" s="44"/>
      <c r="B157" s="14"/>
      <c r="C157" s="53"/>
      <c r="D157" s="15"/>
      <c r="E157" s="89"/>
      <c r="F157" s="16"/>
      <c r="G157" s="16"/>
      <c r="H157" s="90" t="str">
        <f>IF(G157="Regular",Listas!$K$16,IF(G157="Premium",Listas!$K$17,IF(G157="Diesel",Listas!$K$18,"-")))</f>
        <v>-</v>
      </c>
      <c r="I157" s="17"/>
      <c r="J157" s="18"/>
      <c r="K157" s="19" t="str">
        <f>+IFERROR(IF(G157="Regular",VLOOKUP(C157,'PRECIO TERMINAL PEMEX'!$B$4:$E$35,2,0),IF(G157="Premium",VLOOKUP(C157,'PRECIO TERMINAL PEMEX'!$B$4:$E$35,3,0),IF(G157="Diesel",VLOOKUP(C157,'PRECIO TERMINAL PEMEX'!$B$4:$E$35,4,0),"Seleccione Producto"))),"-")</f>
        <v>Seleccione Producto</v>
      </c>
      <c r="L157" s="93" t="str">
        <f>+IFERROR(IF(F157="VHSA",VLOOKUP(B157,Listas!$C$4:$F$17,2,0),IF(F157="DOS BOCAS",VLOOKUP(B157,Listas!$C$4:$F$17,3,0),IF(F157="GLENCORE",VLOOKUP(B157,Listas!$C$4:$F$17,4,0),"Seleccione TAR"))),"-")</f>
        <v>Seleccione TAR</v>
      </c>
      <c r="M157" s="19" t="str">
        <f>+IFERROR(IF(G157="Regular",VLOOKUP(C157,'DESCUENTO PROVEEDORES'!$B$4:$E$35,2,0),IF(G157="Premium",VLOOKUP(C157,'DESCUENTO PROVEEDORES'!$B$4:$E$35,3,0),IF(G157="Diesel",VLOOKUP(C157,'DESCUENTO PROVEEDORES'!$B$4:$E$35,4,0),"Seleccione Proveedor"))),"-")</f>
        <v>Seleccione Proveedor</v>
      </c>
      <c r="N157" s="20" t="e">
        <f>((((K157-H157)/1.16)-M157))</f>
        <v>#VALUE!</v>
      </c>
      <c r="O157" s="21" t="e">
        <f>((N157*16%)+N157)+H157+L157</f>
        <v>#VALUE!</v>
      </c>
      <c r="P157" s="21" t="e">
        <f>(((J157-O157)-H157)/1.16)+H157</f>
        <v>#VALUE!</v>
      </c>
      <c r="Q157" s="44"/>
      <c r="R157" s="24"/>
      <c r="S157" s="23" t="e">
        <f t="shared" si="6"/>
        <v>#DIV/0!</v>
      </c>
      <c r="T157" s="23" t="e">
        <f t="shared" si="7"/>
        <v>#DIV/0!</v>
      </c>
      <c r="U157" s="22" t="e">
        <f t="shared" si="8"/>
        <v>#DIV/0!</v>
      </c>
      <c r="V157" s="44"/>
      <c r="W157" s="44"/>
      <c r="X157" s="44"/>
      <c r="Y157" s="44"/>
      <c r="Z157" s="44"/>
    </row>
    <row r="158" spans="1:26" ht="15.75" customHeight="1">
      <c r="A158" s="44"/>
      <c r="B158" s="14"/>
      <c r="C158" s="53"/>
      <c r="D158" s="15"/>
      <c r="E158" s="89"/>
      <c r="F158" s="16"/>
      <c r="G158" s="16"/>
      <c r="H158" s="90" t="str">
        <f>IF(G158="Regular",Listas!$K$16,IF(G158="Premium",Listas!$K$17,IF(G158="Diesel",Listas!$K$18,"-")))</f>
        <v>-</v>
      </c>
      <c r="I158" s="17"/>
      <c r="J158" s="18"/>
      <c r="K158" s="19" t="str">
        <f>+IFERROR(IF(G158="Regular",VLOOKUP(C158,'PRECIO TERMINAL PEMEX'!$B$4:$E$35,2,0),IF(G158="Premium",VLOOKUP(C158,'PRECIO TERMINAL PEMEX'!$B$4:$E$35,3,0),IF(G158="Diesel",VLOOKUP(C158,'PRECIO TERMINAL PEMEX'!$B$4:$E$35,4,0),"Seleccione Producto"))),"-")</f>
        <v>Seleccione Producto</v>
      </c>
      <c r="L158" s="93" t="str">
        <f>+IFERROR(IF(F158="VHSA",VLOOKUP(B158,Listas!$C$4:$F$17,2,0),IF(F158="DOS BOCAS",VLOOKUP(B158,Listas!$C$4:$F$17,3,0),IF(F158="GLENCORE",VLOOKUP(B158,Listas!$C$4:$F$17,4,0),"Seleccione TAR"))),"-")</f>
        <v>Seleccione TAR</v>
      </c>
      <c r="M158" s="19" t="str">
        <f>+IFERROR(IF(G158="Regular",VLOOKUP(C158,'DESCUENTO PROVEEDORES'!$B$4:$E$35,2,0),IF(G158="Premium",VLOOKUP(C158,'DESCUENTO PROVEEDORES'!$B$4:$E$35,3,0),IF(G158="Diesel",VLOOKUP(C158,'DESCUENTO PROVEEDORES'!$B$4:$E$35,4,0),"Seleccione Proveedor"))),"-")</f>
        <v>Seleccione Proveedor</v>
      </c>
      <c r="N158" s="20" t="e">
        <f>((((K158-H158)/1.16)-M158))</f>
        <v>#VALUE!</v>
      </c>
      <c r="O158" s="21" t="e">
        <f>((N158*16%)+N158)+H158+L158</f>
        <v>#VALUE!</v>
      </c>
      <c r="P158" s="21" t="e">
        <f>(((J158-O158)-H158)/1.16)+H158</f>
        <v>#VALUE!</v>
      </c>
      <c r="Q158" s="44"/>
      <c r="R158" s="24"/>
      <c r="S158" s="23" t="e">
        <f t="shared" si="6"/>
        <v>#DIV/0!</v>
      </c>
      <c r="T158" s="23" t="e">
        <f t="shared" si="7"/>
        <v>#DIV/0!</v>
      </c>
      <c r="U158" s="22" t="e">
        <f t="shared" si="8"/>
        <v>#DIV/0!</v>
      </c>
      <c r="V158" s="44"/>
      <c r="W158" s="44"/>
      <c r="X158" s="44"/>
      <c r="Y158" s="44"/>
      <c r="Z158" s="44"/>
    </row>
    <row r="159" spans="1:26" ht="15.75" customHeight="1">
      <c r="A159" s="44"/>
      <c r="B159" s="14"/>
      <c r="C159" s="53"/>
      <c r="D159" s="15"/>
      <c r="E159" s="89"/>
      <c r="F159" s="16"/>
      <c r="G159" s="16"/>
      <c r="H159" s="90" t="str">
        <f>IF(G159="Regular",Listas!$K$16,IF(G159="Premium",Listas!$K$17,IF(G159="Diesel",Listas!$K$18,"-")))</f>
        <v>-</v>
      </c>
      <c r="I159" s="17"/>
      <c r="J159" s="18"/>
      <c r="K159" s="19" t="str">
        <f>+IFERROR(IF(G159="Regular",VLOOKUP(C159,'PRECIO TERMINAL PEMEX'!$B$4:$E$35,2,0),IF(G159="Premium",VLOOKUP(C159,'PRECIO TERMINAL PEMEX'!$B$4:$E$35,3,0),IF(G159="Diesel",VLOOKUP(C159,'PRECIO TERMINAL PEMEX'!$B$4:$E$35,4,0),"Seleccione Producto"))),"-")</f>
        <v>Seleccione Producto</v>
      </c>
      <c r="L159" s="93" t="str">
        <f>+IFERROR(IF(F159="VHSA",VLOOKUP(B159,Listas!$C$4:$F$17,2,0),IF(F159="DOS BOCAS",VLOOKUP(B159,Listas!$C$4:$F$17,3,0),IF(F159="GLENCORE",VLOOKUP(B159,Listas!$C$4:$F$17,4,0),"Seleccione TAR"))),"-")</f>
        <v>Seleccione TAR</v>
      </c>
      <c r="M159" s="19" t="str">
        <f>+IFERROR(IF(G159="Regular",VLOOKUP(C159,'DESCUENTO PROVEEDORES'!$B$4:$E$35,2,0),IF(G159="Premium",VLOOKUP(C159,'DESCUENTO PROVEEDORES'!$B$4:$E$35,3,0),IF(G159="Diesel",VLOOKUP(C159,'DESCUENTO PROVEEDORES'!$B$4:$E$35,4,0),"Seleccione Proveedor"))),"-")</f>
        <v>Seleccione Proveedor</v>
      </c>
      <c r="N159" s="20" t="e">
        <f>((((K159-H159)/1.16)-M159))</f>
        <v>#VALUE!</v>
      </c>
      <c r="O159" s="21" t="e">
        <f>((N159*16%)+N159)+H159+L159</f>
        <v>#VALUE!</v>
      </c>
      <c r="P159" s="21" t="e">
        <f>(((J159-O159)-H159)/1.16)+H159</f>
        <v>#VALUE!</v>
      </c>
      <c r="Q159" s="44"/>
      <c r="R159" s="24"/>
      <c r="S159" s="23" t="e">
        <f t="shared" si="6"/>
        <v>#DIV/0!</v>
      </c>
      <c r="T159" s="23" t="e">
        <f t="shared" si="7"/>
        <v>#DIV/0!</v>
      </c>
      <c r="U159" s="22" t="e">
        <f t="shared" si="8"/>
        <v>#DIV/0!</v>
      </c>
      <c r="V159" s="44"/>
      <c r="W159" s="44"/>
      <c r="X159" s="44"/>
      <c r="Y159" s="44"/>
      <c r="Z159" s="44"/>
    </row>
    <row r="160" spans="1:26" ht="15.75" customHeight="1">
      <c r="A160" s="44"/>
      <c r="B160" s="14"/>
      <c r="C160" s="53"/>
      <c r="D160" s="15"/>
      <c r="E160" s="89"/>
      <c r="F160" s="16"/>
      <c r="G160" s="16"/>
      <c r="H160" s="90" t="str">
        <f>IF(G160="Regular",Listas!$K$16,IF(G160="Premium",Listas!$K$17,IF(G160="Diesel",Listas!$K$18,"-")))</f>
        <v>-</v>
      </c>
      <c r="I160" s="17"/>
      <c r="J160" s="18"/>
      <c r="K160" s="19" t="str">
        <f>+IFERROR(IF(G160="Regular",VLOOKUP(C160,'PRECIO TERMINAL PEMEX'!$B$4:$E$35,2,0),IF(G160="Premium",VLOOKUP(C160,'PRECIO TERMINAL PEMEX'!$B$4:$E$35,3,0),IF(G160="Diesel",VLOOKUP(C160,'PRECIO TERMINAL PEMEX'!$B$4:$E$35,4,0),"Seleccione Producto"))),"-")</f>
        <v>Seleccione Producto</v>
      </c>
      <c r="L160" s="93" t="str">
        <f>+IFERROR(IF(F160="VHSA",VLOOKUP(B160,Listas!$C$4:$F$17,2,0),IF(F160="DOS BOCAS",VLOOKUP(B160,Listas!$C$4:$F$17,3,0),IF(F160="GLENCORE",VLOOKUP(B160,Listas!$C$4:$F$17,4,0),"Seleccione TAR"))),"-")</f>
        <v>Seleccione TAR</v>
      </c>
      <c r="M160" s="19" t="str">
        <f>+IFERROR(IF(G160="Regular",VLOOKUP(C160,'DESCUENTO PROVEEDORES'!$B$4:$E$35,2,0),IF(G160="Premium",VLOOKUP(C160,'DESCUENTO PROVEEDORES'!$B$4:$E$35,3,0),IF(G160="Diesel",VLOOKUP(C160,'DESCUENTO PROVEEDORES'!$B$4:$E$35,4,0),"Seleccione Proveedor"))),"-")</f>
        <v>Seleccione Proveedor</v>
      </c>
      <c r="N160" s="20" t="e">
        <f>((((K160-H160)/1.16)-M160))</f>
        <v>#VALUE!</v>
      </c>
      <c r="O160" s="21" t="e">
        <f>((N160*16%)+N160)+H160+L160</f>
        <v>#VALUE!</v>
      </c>
      <c r="P160" s="21" t="e">
        <f>(((J160-O160)-H160)/1.16)+H160</f>
        <v>#VALUE!</v>
      </c>
      <c r="Q160" s="44"/>
      <c r="R160" s="24"/>
      <c r="S160" s="23" t="e">
        <f t="shared" si="6"/>
        <v>#DIV/0!</v>
      </c>
      <c r="T160" s="23" t="e">
        <f t="shared" si="7"/>
        <v>#DIV/0!</v>
      </c>
      <c r="U160" s="22" t="e">
        <f t="shared" si="8"/>
        <v>#DIV/0!</v>
      </c>
      <c r="V160" s="44"/>
      <c r="W160" s="44"/>
      <c r="X160" s="44"/>
      <c r="Y160" s="44"/>
      <c r="Z160" s="44"/>
    </row>
    <row r="161" spans="1:26" ht="15.75" customHeight="1">
      <c r="A161" s="44"/>
      <c r="B161" s="14"/>
      <c r="C161" s="53"/>
      <c r="D161" s="15"/>
      <c r="E161" s="89"/>
      <c r="F161" s="16"/>
      <c r="G161" s="16"/>
      <c r="H161" s="90" t="str">
        <f>IF(G161="Regular",Listas!$K$16,IF(G161="Premium",Listas!$K$17,IF(G161="Diesel",Listas!$K$18,"-")))</f>
        <v>-</v>
      </c>
      <c r="I161" s="17"/>
      <c r="J161" s="18"/>
      <c r="K161" s="19" t="str">
        <f>+IFERROR(IF(G161="Regular",VLOOKUP(C161,'PRECIO TERMINAL PEMEX'!$B$4:$E$35,2,0),IF(G161="Premium",VLOOKUP(C161,'PRECIO TERMINAL PEMEX'!$B$4:$E$35,3,0),IF(G161="Diesel",VLOOKUP(C161,'PRECIO TERMINAL PEMEX'!$B$4:$E$35,4,0),"Seleccione Producto"))),"-")</f>
        <v>Seleccione Producto</v>
      </c>
      <c r="L161" s="93" t="str">
        <f>+IFERROR(IF(F161="VHSA",VLOOKUP(B161,Listas!$C$4:$F$17,2,0),IF(F161="DOS BOCAS",VLOOKUP(B161,Listas!$C$4:$F$17,3,0),IF(F161="GLENCORE",VLOOKUP(B161,Listas!$C$4:$F$17,4,0),"Seleccione TAR"))),"-")</f>
        <v>Seleccione TAR</v>
      </c>
      <c r="M161" s="19" t="str">
        <f>+IFERROR(IF(G161="Regular",VLOOKUP(C161,'DESCUENTO PROVEEDORES'!$B$4:$E$35,2,0),IF(G161="Premium",VLOOKUP(C161,'DESCUENTO PROVEEDORES'!$B$4:$E$35,3,0),IF(G161="Diesel",VLOOKUP(C161,'DESCUENTO PROVEEDORES'!$B$4:$E$35,4,0),"Seleccione Proveedor"))),"-")</f>
        <v>Seleccione Proveedor</v>
      </c>
      <c r="N161" s="20" t="e">
        <f>((((K161-H161)/1.16)-M161))</f>
        <v>#VALUE!</v>
      </c>
      <c r="O161" s="21" t="e">
        <f>((N161*16%)+N161)+H161+L161</f>
        <v>#VALUE!</v>
      </c>
      <c r="P161" s="21" t="e">
        <f>(((J161-O161)-H161)/1.16)+H161</f>
        <v>#VALUE!</v>
      </c>
      <c r="Q161" s="44"/>
      <c r="R161" s="24"/>
      <c r="S161" s="23" t="e">
        <f t="shared" si="6"/>
        <v>#DIV/0!</v>
      </c>
      <c r="T161" s="23" t="e">
        <f t="shared" si="7"/>
        <v>#DIV/0!</v>
      </c>
      <c r="U161" s="22" t="e">
        <f t="shared" si="8"/>
        <v>#DIV/0!</v>
      </c>
      <c r="V161" s="44"/>
      <c r="W161" s="44"/>
      <c r="X161" s="44"/>
      <c r="Y161" s="44"/>
      <c r="Z161" s="44"/>
    </row>
    <row r="162" spans="1:26" ht="15.75" customHeight="1">
      <c r="A162" s="44"/>
      <c r="B162" s="14"/>
      <c r="C162" s="53"/>
      <c r="D162" s="15"/>
      <c r="E162" s="89"/>
      <c r="F162" s="16"/>
      <c r="G162" s="16"/>
      <c r="H162" s="90" t="str">
        <f>IF(G162="Regular",Listas!$K$16,IF(G162="Premium",Listas!$K$17,IF(G162="Diesel",Listas!$K$18,"-")))</f>
        <v>-</v>
      </c>
      <c r="I162" s="17"/>
      <c r="J162" s="18"/>
      <c r="K162" s="19" t="str">
        <f>+IFERROR(IF(G162="Regular",VLOOKUP(C162,'PRECIO TERMINAL PEMEX'!$B$4:$E$35,2,0),IF(G162="Premium",VLOOKUP(C162,'PRECIO TERMINAL PEMEX'!$B$4:$E$35,3,0),IF(G162="Diesel",VLOOKUP(C162,'PRECIO TERMINAL PEMEX'!$B$4:$E$35,4,0),"Seleccione Producto"))),"-")</f>
        <v>Seleccione Producto</v>
      </c>
      <c r="L162" s="93" t="str">
        <f>+IFERROR(IF(F162="VHSA",VLOOKUP(B162,Listas!$C$4:$F$17,2,0),IF(F162="DOS BOCAS",VLOOKUP(B162,Listas!$C$4:$F$17,3,0),IF(F162="GLENCORE",VLOOKUP(B162,Listas!$C$4:$F$17,4,0),"Seleccione TAR"))),"-")</f>
        <v>Seleccione TAR</v>
      </c>
      <c r="M162" s="19" t="str">
        <f>+IFERROR(IF(G162="Regular",VLOOKUP(C162,'DESCUENTO PROVEEDORES'!$B$4:$E$35,2,0),IF(G162="Premium",VLOOKUP(C162,'DESCUENTO PROVEEDORES'!$B$4:$E$35,3,0),IF(G162="Diesel",VLOOKUP(C162,'DESCUENTO PROVEEDORES'!$B$4:$E$35,4,0),"Seleccione Proveedor"))),"-")</f>
        <v>Seleccione Proveedor</v>
      </c>
      <c r="N162" s="20" t="e">
        <f>((((K162-H162)/1.16)-M162))</f>
        <v>#VALUE!</v>
      </c>
      <c r="O162" s="21" t="e">
        <f>((N162*16%)+N162)+H162+L162</f>
        <v>#VALUE!</v>
      </c>
      <c r="P162" s="21" t="e">
        <f>(((J162-O162)-H162)/1.16)+H162</f>
        <v>#VALUE!</v>
      </c>
      <c r="Q162" s="44"/>
      <c r="R162" s="24"/>
      <c r="S162" s="23" t="e">
        <f t="shared" si="6"/>
        <v>#DIV/0!</v>
      </c>
      <c r="T162" s="23" t="e">
        <f t="shared" si="7"/>
        <v>#DIV/0!</v>
      </c>
      <c r="U162" s="22" t="e">
        <f t="shared" si="8"/>
        <v>#DIV/0!</v>
      </c>
      <c r="V162" s="44"/>
      <c r="W162" s="44"/>
      <c r="X162" s="44"/>
      <c r="Y162" s="44"/>
      <c r="Z162" s="44"/>
    </row>
    <row r="163" spans="1:26" ht="15.75" customHeight="1">
      <c r="A163" s="44"/>
      <c r="B163" s="14"/>
      <c r="C163" s="53"/>
      <c r="D163" s="15"/>
      <c r="E163" s="89"/>
      <c r="F163" s="16"/>
      <c r="G163" s="16"/>
      <c r="H163" s="90" t="str">
        <f>IF(G163="Regular",Listas!$K$16,IF(G163="Premium",Listas!$K$17,IF(G163="Diesel",Listas!$K$18,"-")))</f>
        <v>-</v>
      </c>
      <c r="I163" s="17"/>
      <c r="J163" s="18"/>
      <c r="K163" s="19" t="str">
        <f>+IFERROR(IF(G163="Regular",VLOOKUP(C163,'PRECIO TERMINAL PEMEX'!$B$4:$E$35,2,0),IF(G163="Premium",VLOOKUP(C163,'PRECIO TERMINAL PEMEX'!$B$4:$E$35,3,0),IF(G163="Diesel",VLOOKUP(C163,'PRECIO TERMINAL PEMEX'!$B$4:$E$35,4,0),"Seleccione Producto"))),"-")</f>
        <v>Seleccione Producto</v>
      </c>
      <c r="L163" s="93" t="str">
        <f>+IFERROR(IF(F163="VHSA",VLOOKUP(B163,Listas!$C$4:$F$17,2,0),IF(F163="DOS BOCAS",VLOOKUP(B163,Listas!$C$4:$F$17,3,0),IF(F163="GLENCORE",VLOOKUP(B163,Listas!$C$4:$F$17,4,0),"Seleccione TAR"))),"-")</f>
        <v>Seleccione TAR</v>
      </c>
      <c r="M163" s="19" t="str">
        <f>+IFERROR(IF(G163="Regular",VLOOKUP(C163,'DESCUENTO PROVEEDORES'!$B$4:$E$35,2,0),IF(G163="Premium",VLOOKUP(C163,'DESCUENTO PROVEEDORES'!$B$4:$E$35,3,0),IF(G163="Diesel",VLOOKUP(C163,'DESCUENTO PROVEEDORES'!$B$4:$E$35,4,0),"Seleccione Proveedor"))),"-")</f>
        <v>Seleccione Proveedor</v>
      </c>
      <c r="N163" s="20" t="e">
        <f>((((K163-H163)/1.16)-M163))</f>
        <v>#VALUE!</v>
      </c>
      <c r="O163" s="21" t="e">
        <f>((N163*16%)+N163)+H163+L163</f>
        <v>#VALUE!</v>
      </c>
      <c r="P163" s="21" t="e">
        <f>(((J163-O163)-H163)/1.16)+H163</f>
        <v>#VALUE!</v>
      </c>
      <c r="Q163" s="44"/>
      <c r="R163" s="24"/>
      <c r="S163" s="23" t="e">
        <f t="shared" si="6"/>
        <v>#DIV/0!</v>
      </c>
      <c r="T163" s="23" t="e">
        <f t="shared" si="7"/>
        <v>#DIV/0!</v>
      </c>
      <c r="U163" s="22" t="e">
        <f t="shared" si="8"/>
        <v>#DIV/0!</v>
      </c>
      <c r="V163" s="44"/>
      <c r="W163" s="44"/>
      <c r="X163" s="44"/>
      <c r="Y163" s="44"/>
      <c r="Z163" s="44"/>
    </row>
    <row r="164" spans="1:26" ht="15.75" customHeight="1">
      <c r="A164" s="44"/>
      <c r="B164" s="14"/>
      <c r="C164" s="53"/>
      <c r="D164" s="15"/>
      <c r="E164" s="89"/>
      <c r="F164" s="16"/>
      <c r="G164" s="16"/>
      <c r="H164" s="90" t="str">
        <f>IF(G164="Regular",Listas!$K$16,IF(G164="Premium",Listas!$K$17,IF(G164="Diesel",Listas!$K$18,"-")))</f>
        <v>-</v>
      </c>
      <c r="I164" s="17"/>
      <c r="J164" s="18"/>
      <c r="K164" s="19" t="str">
        <f>+IFERROR(IF(G164="Regular",VLOOKUP(C164,'PRECIO TERMINAL PEMEX'!$B$4:$E$35,2,0),IF(G164="Premium",VLOOKUP(C164,'PRECIO TERMINAL PEMEX'!$B$4:$E$35,3,0),IF(G164="Diesel",VLOOKUP(C164,'PRECIO TERMINAL PEMEX'!$B$4:$E$35,4,0),"Seleccione Producto"))),"-")</f>
        <v>Seleccione Producto</v>
      </c>
      <c r="L164" s="93" t="str">
        <f>+IFERROR(IF(F164="VHSA",VLOOKUP(B164,Listas!$C$4:$F$17,2,0),IF(F164="DOS BOCAS",VLOOKUP(B164,Listas!$C$4:$F$17,3,0),IF(F164="GLENCORE",VLOOKUP(B164,Listas!$C$4:$F$17,4,0),"Seleccione TAR"))),"-")</f>
        <v>Seleccione TAR</v>
      </c>
      <c r="M164" s="19" t="str">
        <f>+IFERROR(IF(G164="Regular",VLOOKUP(C164,'DESCUENTO PROVEEDORES'!$B$4:$E$35,2,0),IF(G164="Premium",VLOOKUP(C164,'DESCUENTO PROVEEDORES'!$B$4:$E$35,3,0),IF(G164="Diesel",VLOOKUP(C164,'DESCUENTO PROVEEDORES'!$B$4:$E$35,4,0),"Seleccione Proveedor"))),"-")</f>
        <v>Seleccione Proveedor</v>
      </c>
      <c r="N164" s="20" t="e">
        <f>((((K164-H164)/1.16)-M164))</f>
        <v>#VALUE!</v>
      </c>
      <c r="O164" s="21" t="e">
        <f>((N164*16%)+N164)+H164+L164</f>
        <v>#VALUE!</v>
      </c>
      <c r="P164" s="21" t="e">
        <f>(((J164-O164)-H164)/1.16)+H164</f>
        <v>#VALUE!</v>
      </c>
      <c r="Q164" s="44"/>
      <c r="R164" s="24"/>
      <c r="S164" s="23" t="e">
        <f t="shared" si="6"/>
        <v>#DIV/0!</v>
      </c>
      <c r="T164" s="23" t="e">
        <f t="shared" si="7"/>
        <v>#DIV/0!</v>
      </c>
      <c r="U164" s="22" t="e">
        <f t="shared" si="8"/>
        <v>#DIV/0!</v>
      </c>
      <c r="V164" s="44"/>
      <c r="W164" s="44"/>
      <c r="X164" s="44"/>
      <c r="Y164" s="44"/>
      <c r="Z164" s="44"/>
    </row>
    <row r="165" spans="1:26" ht="15.75" customHeight="1">
      <c r="A165" s="44"/>
      <c r="B165" s="14"/>
      <c r="C165" s="53"/>
      <c r="D165" s="15"/>
      <c r="E165" s="89"/>
      <c r="F165" s="16"/>
      <c r="G165" s="16"/>
      <c r="H165" s="90" t="str">
        <f>IF(G165="Regular",Listas!$K$16,IF(G165="Premium",Listas!$K$17,IF(G165="Diesel",Listas!$K$18,"-")))</f>
        <v>-</v>
      </c>
      <c r="I165" s="17"/>
      <c r="J165" s="18"/>
      <c r="K165" s="19" t="str">
        <f>+IFERROR(IF(G165="Regular",VLOOKUP(C165,'PRECIO TERMINAL PEMEX'!$B$4:$E$35,2,0),IF(G165="Premium",VLOOKUP(C165,'PRECIO TERMINAL PEMEX'!$B$4:$E$35,3,0),IF(G165="Diesel",VLOOKUP(C165,'PRECIO TERMINAL PEMEX'!$B$4:$E$35,4,0),"Seleccione Producto"))),"-")</f>
        <v>Seleccione Producto</v>
      </c>
      <c r="L165" s="93" t="str">
        <f>+IFERROR(IF(F165="VHSA",VLOOKUP(B165,Listas!$C$4:$F$17,2,0),IF(F165="DOS BOCAS",VLOOKUP(B165,Listas!$C$4:$F$17,3,0),IF(F165="GLENCORE",VLOOKUP(B165,Listas!$C$4:$F$17,4,0),"Seleccione TAR"))),"-")</f>
        <v>Seleccione TAR</v>
      </c>
      <c r="M165" s="19" t="str">
        <f>+IFERROR(IF(G165="Regular",VLOOKUP(C165,'DESCUENTO PROVEEDORES'!$B$4:$E$35,2,0),IF(G165="Premium",VLOOKUP(C165,'DESCUENTO PROVEEDORES'!$B$4:$E$35,3,0),IF(G165="Diesel",VLOOKUP(C165,'DESCUENTO PROVEEDORES'!$B$4:$E$35,4,0),"Seleccione Proveedor"))),"-")</f>
        <v>Seleccione Proveedor</v>
      </c>
      <c r="N165" s="20" t="e">
        <f>((((K165-H165)/1.16)-M165))</f>
        <v>#VALUE!</v>
      </c>
      <c r="O165" s="21" t="e">
        <f>((N165*16%)+N165)+H165+L165</f>
        <v>#VALUE!</v>
      </c>
      <c r="P165" s="21" t="e">
        <f>(((J165-O165)-H165)/1.16)+H165</f>
        <v>#VALUE!</v>
      </c>
      <c r="Q165" s="44"/>
      <c r="R165" s="24"/>
      <c r="S165" s="23" t="e">
        <f t="shared" si="6"/>
        <v>#DIV/0!</v>
      </c>
      <c r="T165" s="23" t="e">
        <f t="shared" si="7"/>
        <v>#DIV/0!</v>
      </c>
      <c r="U165" s="22" t="e">
        <f t="shared" si="8"/>
        <v>#DIV/0!</v>
      </c>
      <c r="V165" s="44"/>
      <c r="W165" s="44"/>
      <c r="X165" s="44"/>
      <c r="Y165" s="44"/>
      <c r="Z165" s="44"/>
    </row>
    <row r="166" spans="1:26" ht="15.75" customHeight="1">
      <c r="A166" s="44"/>
      <c r="B166" s="14"/>
      <c r="C166" s="53"/>
      <c r="D166" s="15"/>
      <c r="E166" s="89"/>
      <c r="F166" s="16"/>
      <c r="G166" s="16"/>
      <c r="H166" s="90" t="str">
        <f>IF(G166="Regular",Listas!$K$16,IF(G166="Premium",Listas!$K$17,IF(G166="Diesel",Listas!$K$18,"-")))</f>
        <v>-</v>
      </c>
      <c r="I166" s="17"/>
      <c r="J166" s="18"/>
      <c r="K166" s="19" t="str">
        <f>+IFERROR(IF(G166="Regular",VLOOKUP(C166,'PRECIO TERMINAL PEMEX'!$B$4:$E$35,2,0),IF(G166="Premium",VLOOKUP(C166,'PRECIO TERMINAL PEMEX'!$B$4:$E$35,3,0),IF(G166="Diesel",VLOOKUP(C166,'PRECIO TERMINAL PEMEX'!$B$4:$E$35,4,0),"Seleccione Producto"))),"-")</f>
        <v>Seleccione Producto</v>
      </c>
      <c r="L166" s="93" t="str">
        <f>+IFERROR(IF(F166="VHSA",VLOOKUP(B166,Listas!$C$4:$F$17,2,0),IF(F166="DOS BOCAS",VLOOKUP(B166,Listas!$C$4:$F$17,3,0),IF(F166="GLENCORE",VLOOKUP(B166,Listas!$C$4:$F$17,4,0),"Seleccione TAR"))),"-")</f>
        <v>Seleccione TAR</v>
      </c>
      <c r="M166" s="19" t="str">
        <f>+IFERROR(IF(G166="Regular",VLOOKUP(C166,'DESCUENTO PROVEEDORES'!$B$4:$E$35,2,0),IF(G166="Premium",VLOOKUP(C166,'DESCUENTO PROVEEDORES'!$B$4:$E$35,3,0),IF(G166="Diesel",VLOOKUP(C166,'DESCUENTO PROVEEDORES'!$B$4:$E$35,4,0),"Seleccione Proveedor"))),"-")</f>
        <v>Seleccione Proveedor</v>
      </c>
      <c r="N166" s="20" t="e">
        <f>((((K166-H166)/1.16)-M166))</f>
        <v>#VALUE!</v>
      </c>
      <c r="O166" s="21" t="e">
        <f>((N166*16%)+N166)+H166+L166</f>
        <v>#VALUE!</v>
      </c>
      <c r="P166" s="21" t="e">
        <f>(((J166-O166)-H166)/1.16)+H166</f>
        <v>#VALUE!</v>
      </c>
      <c r="Q166" s="44"/>
      <c r="R166" s="24"/>
      <c r="S166" s="23" t="e">
        <f t="shared" si="6"/>
        <v>#DIV/0!</v>
      </c>
      <c r="T166" s="23" t="e">
        <f t="shared" si="7"/>
        <v>#DIV/0!</v>
      </c>
      <c r="U166" s="22" t="e">
        <f t="shared" si="8"/>
        <v>#DIV/0!</v>
      </c>
      <c r="V166" s="44"/>
      <c r="W166" s="44"/>
      <c r="X166" s="44"/>
      <c r="Y166" s="44"/>
      <c r="Z166" s="44"/>
    </row>
    <row r="167" spans="1:26" ht="15.75" customHeight="1">
      <c r="A167" s="44"/>
      <c r="B167" s="14"/>
      <c r="C167" s="53"/>
      <c r="D167" s="15"/>
      <c r="E167" s="89"/>
      <c r="F167" s="16"/>
      <c r="G167" s="16"/>
      <c r="H167" s="90" t="str">
        <f>IF(G167="Regular",Listas!$K$16,IF(G167="Premium",Listas!$K$17,IF(G167="Diesel",Listas!$K$18,"-")))</f>
        <v>-</v>
      </c>
      <c r="I167" s="17"/>
      <c r="J167" s="18"/>
      <c r="K167" s="19" t="str">
        <f>+IFERROR(IF(G167="Regular",VLOOKUP(C167,'PRECIO TERMINAL PEMEX'!$B$4:$E$35,2,0),IF(G167="Premium",VLOOKUP(C167,'PRECIO TERMINAL PEMEX'!$B$4:$E$35,3,0),IF(G167="Diesel",VLOOKUP(C167,'PRECIO TERMINAL PEMEX'!$B$4:$E$35,4,0),"Seleccione Producto"))),"-")</f>
        <v>Seleccione Producto</v>
      </c>
      <c r="L167" s="93" t="str">
        <f>+IFERROR(IF(F167="VHSA",VLOOKUP(B167,Listas!$C$4:$F$17,2,0),IF(F167="DOS BOCAS",VLOOKUP(B167,Listas!$C$4:$F$17,3,0),IF(F167="GLENCORE",VLOOKUP(B167,Listas!$C$4:$F$17,4,0),"Seleccione TAR"))),"-")</f>
        <v>Seleccione TAR</v>
      </c>
      <c r="M167" s="19" t="str">
        <f>+IFERROR(IF(G167="Regular",VLOOKUP(C167,'DESCUENTO PROVEEDORES'!$B$4:$E$35,2,0),IF(G167="Premium",VLOOKUP(C167,'DESCUENTO PROVEEDORES'!$B$4:$E$35,3,0),IF(G167="Diesel",VLOOKUP(C167,'DESCUENTO PROVEEDORES'!$B$4:$E$35,4,0),"Seleccione Proveedor"))),"-")</f>
        <v>Seleccione Proveedor</v>
      </c>
      <c r="N167" s="20" t="e">
        <f>((((K167-H167)/1.16)-M167))</f>
        <v>#VALUE!</v>
      </c>
      <c r="O167" s="21" t="e">
        <f>((N167*16%)+N167)+H167+L167</f>
        <v>#VALUE!</v>
      </c>
      <c r="P167" s="21" t="e">
        <f>(((J167-O167)-H167)/1.16)+H167</f>
        <v>#VALUE!</v>
      </c>
      <c r="Q167" s="44"/>
      <c r="R167" s="24"/>
      <c r="S167" s="23" t="e">
        <f t="shared" si="6"/>
        <v>#DIV/0!</v>
      </c>
      <c r="T167" s="23" t="e">
        <f t="shared" si="7"/>
        <v>#DIV/0!</v>
      </c>
      <c r="U167" s="22" t="e">
        <f t="shared" si="8"/>
        <v>#DIV/0!</v>
      </c>
      <c r="V167" s="44"/>
      <c r="W167" s="44"/>
      <c r="X167" s="44"/>
      <c r="Y167" s="44"/>
      <c r="Z167" s="44"/>
    </row>
    <row r="168" spans="1:26" ht="15.75" customHeight="1">
      <c r="A168" s="44"/>
      <c r="B168" s="14"/>
      <c r="C168" s="53"/>
      <c r="D168" s="15"/>
      <c r="E168" s="89"/>
      <c r="F168" s="16"/>
      <c r="G168" s="16"/>
      <c r="H168" s="90" t="str">
        <f>IF(G168="Regular",Listas!$K$16,IF(G168="Premium",Listas!$K$17,IF(G168="Diesel",Listas!$K$18,"-")))</f>
        <v>-</v>
      </c>
      <c r="I168" s="17"/>
      <c r="J168" s="18"/>
      <c r="K168" s="19" t="str">
        <f>+IFERROR(IF(G168="Regular",VLOOKUP(C168,'PRECIO TERMINAL PEMEX'!$B$4:$E$35,2,0),IF(G168="Premium",VLOOKUP(C168,'PRECIO TERMINAL PEMEX'!$B$4:$E$35,3,0),IF(G168="Diesel",VLOOKUP(C168,'PRECIO TERMINAL PEMEX'!$B$4:$E$35,4,0),"Seleccione Producto"))),"-")</f>
        <v>Seleccione Producto</v>
      </c>
      <c r="L168" s="93" t="str">
        <f>+IFERROR(IF(F168="VHSA",VLOOKUP(B168,Listas!$C$4:$F$17,2,0),IF(F168="DOS BOCAS",VLOOKUP(B168,Listas!$C$4:$F$17,3,0),IF(F168="GLENCORE",VLOOKUP(B168,Listas!$C$4:$F$17,4,0),"Seleccione TAR"))),"-")</f>
        <v>Seleccione TAR</v>
      </c>
      <c r="M168" s="19" t="str">
        <f>+IFERROR(IF(G168="Regular",VLOOKUP(C168,'DESCUENTO PROVEEDORES'!$B$4:$E$35,2,0),IF(G168="Premium",VLOOKUP(C168,'DESCUENTO PROVEEDORES'!$B$4:$E$35,3,0),IF(G168="Diesel",VLOOKUP(C168,'DESCUENTO PROVEEDORES'!$B$4:$E$35,4,0),"Seleccione Proveedor"))),"-")</f>
        <v>Seleccione Proveedor</v>
      </c>
      <c r="N168" s="20" t="e">
        <f>((((K168-H168)/1.16)-M168))</f>
        <v>#VALUE!</v>
      </c>
      <c r="O168" s="21" t="e">
        <f>((N168*16%)+N168)+H168+L168</f>
        <v>#VALUE!</v>
      </c>
      <c r="P168" s="21" t="e">
        <f>(((J168-O168)-H168)/1.16)+H168</f>
        <v>#VALUE!</v>
      </c>
      <c r="Q168" s="44"/>
      <c r="R168" s="24"/>
      <c r="S168" s="23" t="e">
        <f t="shared" si="6"/>
        <v>#DIV/0!</v>
      </c>
      <c r="T168" s="23" t="e">
        <f t="shared" si="7"/>
        <v>#DIV/0!</v>
      </c>
      <c r="U168" s="22" t="e">
        <f t="shared" si="8"/>
        <v>#DIV/0!</v>
      </c>
      <c r="V168" s="44"/>
      <c r="W168" s="44"/>
      <c r="X168" s="44"/>
      <c r="Y168" s="44"/>
      <c r="Z168" s="44"/>
    </row>
    <row r="169" spans="1:26" ht="15.75" customHeight="1">
      <c r="A169" s="44"/>
      <c r="B169" s="14"/>
      <c r="C169" s="53"/>
      <c r="D169" s="15"/>
      <c r="E169" s="89"/>
      <c r="F169" s="16"/>
      <c r="G169" s="16"/>
      <c r="H169" s="90" t="str">
        <f>IF(G169="Regular",Listas!$K$16,IF(G169="Premium",Listas!$K$17,IF(G169="Diesel",Listas!$K$18,"-")))</f>
        <v>-</v>
      </c>
      <c r="I169" s="17"/>
      <c r="J169" s="18"/>
      <c r="K169" s="19" t="str">
        <f>+IFERROR(IF(G169="Regular",VLOOKUP(C169,'PRECIO TERMINAL PEMEX'!$B$4:$E$35,2,0),IF(G169="Premium",VLOOKUP(C169,'PRECIO TERMINAL PEMEX'!$B$4:$E$35,3,0),IF(G169="Diesel",VLOOKUP(C169,'PRECIO TERMINAL PEMEX'!$B$4:$E$35,4,0),"Seleccione Producto"))),"-")</f>
        <v>Seleccione Producto</v>
      </c>
      <c r="L169" s="93" t="str">
        <f>+IFERROR(IF(F169="VHSA",VLOOKUP(B169,Listas!$C$4:$F$17,2,0),IF(F169="DOS BOCAS",VLOOKUP(B169,Listas!$C$4:$F$17,3,0),IF(F169="GLENCORE",VLOOKUP(B169,Listas!$C$4:$F$17,4,0),"Seleccione TAR"))),"-")</f>
        <v>Seleccione TAR</v>
      </c>
      <c r="M169" s="19" t="str">
        <f>+IFERROR(IF(G169="Regular",VLOOKUP(C169,'DESCUENTO PROVEEDORES'!$B$4:$E$35,2,0),IF(G169="Premium",VLOOKUP(C169,'DESCUENTO PROVEEDORES'!$B$4:$E$35,3,0),IF(G169="Diesel",VLOOKUP(C169,'DESCUENTO PROVEEDORES'!$B$4:$E$35,4,0),"Seleccione Proveedor"))),"-")</f>
        <v>Seleccione Proveedor</v>
      </c>
      <c r="N169" s="20" t="e">
        <f>((((K169-H169)/1.16)-M169))</f>
        <v>#VALUE!</v>
      </c>
      <c r="O169" s="21" t="e">
        <f>((N169*16%)+N169)+H169+L169</f>
        <v>#VALUE!</v>
      </c>
      <c r="P169" s="21" t="e">
        <f>(((J169-O169)-H169)/1.16)+H169</f>
        <v>#VALUE!</v>
      </c>
      <c r="Q169" s="44"/>
      <c r="R169" s="24"/>
      <c r="S169" s="23" t="e">
        <f t="shared" si="6"/>
        <v>#DIV/0!</v>
      </c>
      <c r="T169" s="23" t="e">
        <f t="shared" si="7"/>
        <v>#DIV/0!</v>
      </c>
      <c r="U169" s="22" t="e">
        <f t="shared" si="8"/>
        <v>#DIV/0!</v>
      </c>
      <c r="V169" s="44"/>
      <c r="W169" s="44"/>
      <c r="X169" s="44"/>
      <c r="Y169" s="44"/>
      <c r="Z169" s="44"/>
    </row>
    <row r="170" spans="1:26" ht="15.75" customHeight="1">
      <c r="A170" s="44"/>
      <c r="B170" s="14"/>
      <c r="C170" s="53"/>
      <c r="D170" s="15"/>
      <c r="E170" s="89"/>
      <c r="F170" s="16"/>
      <c r="G170" s="16"/>
      <c r="H170" s="90" t="str">
        <f>IF(G170="Regular",Listas!$K$16,IF(G170="Premium",Listas!$K$17,IF(G170="Diesel",Listas!$K$18,"-")))</f>
        <v>-</v>
      </c>
      <c r="I170" s="17"/>
      <c r="J170" s="18"/>
      <c r="K170" s="19" t="str">
        <f>+IFERROR(IF(G170="Regular",VLOOKUP(C170,'PRECIO TERMINAL PEMEX'!$B$4:$E$35,2,0),IF(G170="Premium",VLOOKUP(C170,'PRECIO TERMINAL PEMEX'!$B$4:$E$35,3,0),IF(G170="Diesel",VLOOKUP(C170,'PRECIO TERMINAL PEMEX'!$B$4:$E$35,4,0),"Seleccione Producto"))),"-")</f>
        <v>Seleccione Producto</v>
      </c>
      <c r="L170" s="93" t="str">
        <f>+IFERROR(IF(F170="VHSA",VLOOKUP(B170,Listas!$C$4:$F$17,2,0),IF(F170="DOS BOCAS",VLOOKUP(B170,Listas!$C$4:$F$17,3,0),IF(F170="GLENCORE",VLOOKUP(B170,Listas!$C$4:$F$17,4,0),"Seleccione TAR"))),"-")</f>
        <v>Seleccione TAR</v>
      </c>
      <c r="M170" s="19" t="str">
        <f>+IFERROR(IF(G170="Regular",VLOOKUP(C170,'DESCUENTO PROVEEDORES'!$B$4:$E$35,2,0),IF(G170="Premium",VLOOKUP(C170,'DESCUENTO PROVEEDORES'!$B$4:$E$35,3,0),IF(G170="Diesel",VLOOKUP(C170,'DESCUENTO PROVEEDORES'!$B$4:$E$35,4,0),"Seleccione Proveedor"))),"-")</f>
        <v>Seleccione Proveedor</v>
      </c>
      <c r="N170" s="20" t="e">
        <f>((((K170-H170)/1.16)-M170))</f>
        <v>#VALUE!</v>
      </c>
      <c r="O170" s="21" t="e">
        <f>((N170*16%)+N170)+H170+L170</f>
        <v>#VALUE!</v>
      </c>
      <c r="P170" s="21" t="e">
        <f>(((J170-O170)-H170)/1.16)+H170</f>
        <v>#VALUE!</v>
      </c>
      <c r="Q170" s="44"/>
      <c r="R170" s="24"/>
      <c r="S170" s="23" t="e">
        <f t="shared" si="6"/>
        <v>#DIV/0!</v>
      </c>
      <c r="T170" s="23" t="e">
        <f t="shared" si="7"/>
        <v>#DIV/0!</v>
      </c>
      <c r="U170" s="22" t="e">
        <f t="shared" si="8"/>
        <v>#DIV/0!</v>
      </c>
      <c r="V170" s="44"/>
      <c r="W170" s="44"/>
      <c r="X170" s="44"/>
      <c r="Y170" s="44"/>
      <c r="Z170" s="44"/>
    </row>
    <row r="171" spans="1:26" ht="15.75" customHeight="1">
      <c r="A171" s="44"/>
      <c r="B171" s="14"/>
      <c r="C171" s="53"/>
      <c r="D171" s="15"/>
      <c r="E171" s="89"/>
      <c r="F171" s="16"/>
      <c r="G171" s="16"/>
      <c r="H171" s="90" t="str">
        <f>IF(G171="Regular",Listas!$K$16,IF(G171="Premium",Listas!$K$17,IF(G171="Diesel",Listas!$K$18,"-")))</f>
        <v>-</v>
      </c>
      <c r="I171" s="17"/>
      <c r="J171" s="18"/>
      <c r="K171" s="19" t="str">
        <f>+IFERROR(IF(G171="Regular",VLOOKUP(C171,'PRECIO TERMINAL PEMEX'!$B$4:$E$35,2,0),IF(G171="Premium",VLOOKUP(C171,'PRECIO TERMINAL PEMEX'!$B$4:$E$35,3,0),IF(G171="Diesel",VLOOKUP(C171,'PRECIO TERMINAL PEMEX'!$B$4:$E$35,4,0),"Seleccione Producto"))),"-")</f>
        <v>Seleccione Producto</v>
      </c>
      <c r="L171" s="93" t="str">
        <f>+IFERROR(IF(F171="VHSA",VLOOKUP(B171,Listas!$C$4:$F$17,2,0),IF(F171="DOS BOCAS",VLOOKUP(B171,Listas!$C$4:$F$17,3,0),IF(F171="GLENCORE",VLOOKUP(B171,Listas!$C$4:$F$17,4,0),"Seleccione TAR"))),"-")</f>
        <v>Seleccione TAR</v>
      </c>
      <c r="M171" s="19" t="str">
        <f>+IFERROR(IF(G171="Regular",VLOOKUP(C171,'DESCUENTO PROVEEDORES'!$B$4:$E$35,2,0),IF(G171="Premium",VLOOKUP(C171,'DESCUENTO PROVEEDORES'!$B$4:$E$35,3,0),IF(G171="Diesel",VLOOKUP(C171,'DESCUENTO PROVEEDORES'!$B$4:$E$35,4,0),"Seleccione Proveedor"))),"-")</f>
        <v>Seleccione Proveedor</v>
      </c>
      <c r="N171" s="20" t="e">
        <f>((((K171-H171)/1.16)-M171))</f>
        <v>#VALUE!</v>
      </c>
      <c r="O171" s="21" t="e">
        <f>((N171*16%)+N171)+H171+L171</f>
        <v>#VALUE!</v>
      </c>
      <c r="P171" s="21" t="e">
        <f>(((J171-O171)-H171)/1.16)+H171</f>
        <v>#VALUE!</v>
      </c>
      <c r="Q171" s="44"/>
      <c r="R171" s="24"/>
      <c r="S171" s="23" t="e">
        <f t="shared" si="6"/>
        <v>#DIV/0!</v>
      </c>
      <c r="T171" s="23" t="e">
        <f t="shared" si="7"/>
        <v>#DIV/0!</v>
      </c>
      <c r="U171" s="22" t="e">
        <f t="shared" si="8"/>
        <v>#DIV/0!</v>
      </c>
      <c r="V171" s="44"/>
      <c r="W171" s="44"/>
      <c r="X171" s="44"/>
      <c r="Y171" s="44"/>
      <c r="Z171" s="44"/>
    </row>
    <row r="172" spans="1:26" ht="15.75" customHeight="1">
      <c r="A172" s="44"/>
      <c r="B172" s="14"/>
      <c r="C172" s="53"/>
      <c r="D172" s="15"/>
      <c r="E172" s="89"/>
      <c r="F172" s="16"/>
      <c r="G172" s="16"/>
      <c r="H172" s="90" t="str">
        <f>IF(G172="Regular",Listas!$K$16,IF(G172="Premium",Listas!$K$17,IF(G172="Diesel",Listas!$K$18,"-")))</f>
        <v>-</v>
      </c>
      <c r="I172" s="17"/>
      <c r="J172" s="18"/>
      <c r="K172" s="19" t="str">
        <f>+IFERROR(IF(G172="Regular",VLOOKUP(C172,'PRECIO TERMINAL PEMEX'!$B$4:$E$35,2,0),IF(G172="Premium",VLOOKUP(C172,'PRECIO TERMINAL PEMEX'!$B$4:$E$35,3,0),IF(G172="Diesel",VLOOKUP(C172,'PRECIO TERMINAL PEMEX'!$B$4:$E$35,4,0),"Seleccione Producto"))),"-")</f>
        <v>Seleccione Producto</v>
      </c>
      <c r="L172" s="93" t="str">
        <f>+IFERROR(IF(F172="VHSA",VLOOKUP(B172,Listas!$C$4:$F$17,2,0),IF(F172="DOS BOCAS",VLOOKUP(B172,Listas!$C$4:$F$17,3,0),IF(F172="GLENCORE",VLOOKUP(B172,Listas!$C$4:$F$17,4,0),"Seleccione TAR"))),"-")</f>
        <v>Seleccione TAR</v>
      </c>
      <c r="M172" s="19" t="str">
        <f>+IFERROR(IF(G172="Regular",VLOOKUP(C172,'DESCUENTO PROVEEDORES'!$B$4:$E$35,2,0),IF(G172="Premium",VLOOKUP(C172,'DESCUENTO PROVEEDORES'!$B$4:$E$35,3,0),IF(G172="Diesel",VLOOKUP(C172,'DESCUENTO PROVEEDORES'!$B$4:$E$35,4,0),"Seleccione Proveedor"))),"-")</f>
        <v>Seleccione Proveedor</v>
      </c>
      <c r="N172" s="20" t="e">
        <f>((((K172-H172)/1.16)-M172))</f>
        <v>#VALUE!</v>
      </c>
      <c r="O172" s="21" t="e">
        <f>((N172*16%)+N172)+H172+L172</f>
        <v>#VALUE!</v>
      </c>
      <c r="P172" s="21" t="e">
        <f>(((J172-O172)-H172)/1.16)+H172</f>
        <v>#VALUE!</v>
      </c>
      <c r="Q172" s="44"/>
      <c r="R172" s="24"/>
      <c r="S172" s="23" t="e">
        <f t="shared" si="6"/>
        <v>#DIV/0!</v>
      </c>
      <c r="T172" s="23" t="e">
        <f t="shared" si="7"/>
        <v>#DIV/0!</v>
      </c>
      <c r="U172" s="22" t="e">
        <f t="shared" si="8"/>
        <v>#DIV/0!</v>
      </c>
      <c r="V172" s="44"/>
      <c r="W172" s="44"/>
      <c r="X172" s="44"/>
      <c r="Y172" s="44"/>
      <c r="Z172" s="44"/>
    </row>
    <row r="173" spans="1:26" ht="15.75" customHeight="1">
      <c r="A173" s="44"/>
      <c r="B173" s="14"/>
      <c r="C173" s="53"/>
      <c r="D173" s="15"/>
      <c r="E173" s="89"/>
      <c r="F173" s="16"/>
      <c r="G173" s="16"/>
      <c r="H173" s="90" t="str">
        <f>IF(G173="Regular",Listas!$K$16,IF(G173="Premium",Listas!$K$17,IF(G173="Diesel",Listas!$K$18,"-")))</f>
        <v>-</v>
      </c>
      <c r="I173" s="17"/>
      <c r="J173" s="18"/>
      <c r="K173" s="19" t="str">
        <f>+IFERROR(IF(G173="Regular",VLOOKUP(C173,'PRECIO TERMINAL PEMEX'!$B$4:$E$35,2,0),IF(G173="Premium",VLOOKUP(C173,'PRECIO TERMINAL PEMEX'!$B$4:$E$35,3,0),IF(G173="Diesel",VLOOKUP(C173,'PRECIO TERMINAL PEMEX'!$B$4:$E$35,4,0),"Seleccione Producto"))),"-")</f>
        <v>Seleccione Producto</v>
      </c>
      <c r="L173" s="93" t="str">
        <f>+IFERROR(IF(F173="VHSA",VLOOKUP(B173,Listas!$C$4:$F$17,2,0),IF(F173="DOS BOCAS",VLOOKUP(B173,Listas!$C$4:$F$17,3,0),IF(F173="GLENCORE",VLOOKUP(B173,Listas!$C$4:$F$17,4,0),"Seleccione TAR"))),"-")</f>
        <v>Seleccione TAR</v>
      </c>
      <c r="M173" s="19" t="str">
        <f>+IFERROR(IF(G173="Regular",VLOOKUP(C173,'DESCUENTO PROVEEDORES'!$B$4:$E$35,2,0),IF(G173="Premium",VLOOKUP(C173,'DESCUENTO PROVEEDORES'!$B$4:$E$35,3,0),IF(G173="Diesel",VLOOKUP(C173,'DESCUENTO PROVEEDORES'!$B$4:$E$35,4,0),"Seleccione Proveedor"))),"-")</f>
        <v>Seleccione Proveedor</v>
      </c>
      <c r="N173" s="20" t="e">
        <f>((((K173-H173)/1.16)-M173))</f>
        <v>#VALUE!</v>
      </c>
      <c r="O173" s="21" t="e">
        <f>((N173*16%)+N173)+H173+L173</f>
        <v>#VALUE!</v>
      </c>
      <c r="P173" s="21" t="e">
        <f>(((J173-O173)-H173)/1.16)+H173</f>
        <v>#VALUE!</v>
      </c>
      <c r="Q173" s="44"/>
      <c r="R173" s="24"/>
      <c r="S173" s="23" t="e">
        <f t="shared" si="6"/>
        <v>#DIV/0!</v>
      </c>
      <c r="T173" s="23" t="e">
        <f t="shared" si="7"/>
        <v>#DIV/0!</v>
      </c>
      <c r="U173" s="22" t="e">
        <f t="shared" si="8"/>
        <v>#DIV/0!</v>
      </c>
      <c r="V173" s="44"/>
      <c r="W173" s="44"/>
      <c r="X173" s="44"/>
      <c r="Y173" s="44"/>
      <c r="Z173" s="44"/>
    </row>
    <row r="174" spans="1:26" ht="15.75" customHeight="1">
      <c r="A174" s="44"/>
      <c r="B174" s="14"/>
      <c r="C174" s="53"/>
      <c r="D174" s="15"/>
      <c r="E174" s="89"/>
      <c r="F174" s="16"/>
      <c r="G174" s="16"/>
      <c r="H174" s="90" t="str">
        <f>IF(G174="Regular",Listas!$K$16,IF(G174="Premium",Listas!$K$17,IF(G174="Diesel",Listas!$K$18,"-")))</f>
        <v>-</v>
      </c>
      <c r="I174" s="17"/>
      <c r="J174" s="18"/>
      <c r="K174" s="19" t="str">
        <f>+IFERROR(IF(G174="Regular",VLOOKUP(C174,'PRECIO TERMINAL PEMEX'!$B$4:$E$35,2,0),IF(G174="Premium",VLOOKUP(C174,'PRECIO TERMINAL PEMEX'!$B$4:$E$35,3,0),IF(G174="Diesel",VLOOKUP(C174,'PRECIO TERMINAL PEMEX'!$B$4:$E$35,4,0),"Seleccione Producto"))),"-")</f>
        <v>Seleccione Producto</v>
      </c>
      <c r="L174" s="93" t="str">
        <f>+IFERROR(IF(F174="VHSA",VLOOKUP(B174,Listas!$C$4:$F$17,2,0),IF(F174="DOS BOCAS",VLOOKUP(B174,Listas!$C$4:$F$17,3,0),IF(F174="GLENCORE",VLOOKUP(B174,Listas!$C$4:$F$17,4,0),"Seleccione TAR"))),"-")</f>
        <v>Seleccione TAR</v>
      </c>
      <c r="M174" s="19" t="str">
        <f>+IFERROR(IF(G174="Regular",VLOOKUP(C174,'DESCUENTO PROVEEDORES'!$B$4:$E$35,2,0),IF(G174="Premium",VLOOKUP(C174,'DESCUENTO PROVEEDORES'!$B$4:$E$35,3,0),IF(G174="Diesel",VLOOKUP(C174,'DESCUENTO PROVEEDORES'!$B$4:$E$35,4,0),"Seleccione Proveedor"))),"-")</f>
        <v>Seleccione Proveedor</v>
      </c>
      <c r="N174" s="20" t="e">
        <f>((((K174-H174)/1.16)-M174))</f>
        <v>#VALUE!</v>
      </c>
      <c r="O174" s="21" t="e">
        <f>((N174*16%)+N174)+H174+L174</f>
        <v>#VALUE!</v>
      </c>
      <c r="P174" s="21" t="e">
        <f>(((J174-O174)-H174)/1.16)+H174</f>
        <v>#VALUE!</v>
      </c>
      <c r="Q174" s="44"/>
      <c r="R174" s="24"/>
      <c r="S174" s="23" t="e">
        <f t="shared" si="6"/>
        <v>#DIV/0!</v>
      </c>
      <c r="T174" s="23" t="e">
        <f t="shared" si="7"/>
        <v>#DIV/0!</v>
      </c>
      <c r="U174" s="22" t="e">
        <f t="shared" si="8"/>
        <v>#DIV/0!</v>
      </c>
      <c r="V174" s="44"/>
      <c r="W174" s="44"/>
      <c r="X174" s="44"/>
      <c r="Y174" s="44"/>
      <c r="Z174" s="44"/>
    </row>
    <row r="175" spans="1:26" ht="15.75" customHeight="1">
      <c r="A175" s="44"/>
      <c r="B175" s="14"/>
      <c r="C175" s="53"/>
      <c r="D175" s="15"/>
      <c r="E175" s="89"/>
      <c r="F175" s="16"/>
      <c r="G175" s="16"/>
      <c r="H175" s="90" t="str">
        <f>IF(G175="Regular",Listas!$K$16,IF(G175="Premium",Listas!$K$17,IF(G175="Diesel",Listas!$K$18,"-")))</f>
        <v>-</v>
      </c>
      <c r="I175" s="17"/>
      <c r="J175" s="18"/>
      <c r="K175" s="19" t="str">
        <f>+IFERROR(IF(G175="Regular",VLOOKUP(C175,'PRECIO TERMINAL PEMEX'!$B$4:$E$35,2,0),IF(G175="Premium",VLOOKUP(C175,'PRECIO TERMINAL PEMEX'!$B$4:$E$35,3,0),IF(G175="Diesel",VLOOKUP(C175,'PRECIO TERMINAL PEMEX'!$B$4:$E$35,4,0),"Seleccione Producto"))),"-")</f>
        <v>Seleccione Producto</v>
      </c>
      <c r="L175" s="93" t="str">
        <f>+IFERROR(IF(F175="VHSA",VLOOKUP(B175,Listas!$C$4:$F$17,2,0),IF(F175="DOS BOCAS",VLOOKUP(B175,Listas!$C$4:$F$17,3,0),IF(F175="GLENCORE",VLOOKUP(B175,Listas!$C$4:$F$17,4,0),"Seleccione TAR"))),"-")</f>
        <v>Seleccione TAR</v>
      </c>
      <c r="M175" s="19" t="str">
        <f>+IFERROR(IF(G175="Regular",VLOOKUP(C175,'DESCUENTO PROVEEDORES'!$B$4:$E$35,2,0),IF(G175="Premium",VLOOKUP(C175,'DESCUENTO PROVEEDORES'!$B$4:$E$35,3,0),IF(G175="Diesel",VLOOKUP(C175,'DESCUENTO PROVEEDORES'!$B$4:$E$35,4,0),"Seleccione Proveedor"))),"-")</f>
        <v>Seleccione Proveedor</v>
      </c>
      <c r="N175" s="20" t="e">
        <f>((((K175-H175)/1.16)-M175))</f>
        <v>#VALUE!</v>
      </c>
      <c r="O175" s="21" t="e">
        <f>((N175*16%)+N175)+H175+L175</f>
        <v>#VALUE!</v>
      </c>
      <c r="P175" s="21" t="e">
        <f>(((J175-O175)-H175)/1.16)+H175</f>
        <v>#VALUE!</v>
      </c>
      <c r="Q175" s="44"/>
      <c r="R175" s="24"/>
      <c r="S175" s="23" t="e">
        <f t="shared" si="6"/>
        <v>#DIV/0!</v>
      </c>
      <c r="T175" s="23" t="e">
        <f t="shared" si="7"/>
        <v>#DIV/0!</v>
      </c>
      <c r="U175" s="22" t="e">
        <f t="shared" si="8"/>
        <v>#DIV/0!</v>
      </c>
      <c r="V175" s="44"/>
      <c r="W175" s="44"/>
      <c r="X175" s="44"/>
      <c r="Y175" s="44"/>
      <c r="Z175" s="44"/>
    </row>
    <row r="176" spans="1:26" ht="15.75" customHeight="1">
      <c r="A176" s="44"/>
      <c r="B176" s="14"/>
      <c r="C176" s="53"/>
      <c r="D176" s="15"/>
      <c r="E176" s="89"/>
      <c r="F176" s="16"/>
      <c r="G176" s="16"/>
      <c r="H176" s="90" t="str">
        <f>IF(G176="Regular",Listas!$K$16,IF(G176="Premium",Listas!$K$17,IF(G176="Diesel",Listas!$K$18,"-")))</f>
        <v>-</v>
      </c>
      <c r="I176" s="17"/>
      <c r="J176" s="18"/>
      <c r="K176" s="19" t="str">
        <f>+IFERROR(IF(G176="Regular",VLOOKUP(C176,'PRECIO TERMINAL PEMEX'!$B$4:$E$35,2,0),IF(G176="Premium",VLOOKUP(C176,'PRECIO TERMINAL PEMEX'!$B$4:$E$35,3,0),IF(G176="Diesel",VLOOKUP(C176,'PRECIO TERMINAL PEMEX'!$B$4:$E$35,4,0),"Seleccione Producto"))),"-")</f>
        <v>Seleccione Producto</v>
      </c>
      <c r="L176" s="93" t="str">
        <f>+IFERROR(IF(F176="VHSA",VLOOKUP(B176,Listas!$C$4:$F$17,2,0),IF(F176="DOS BOCAS",VLOOKUP(B176,Listas!$C$4:$F$17,3,0),IF(F176="GLENCORE",VLOOKUP(B176,Listas!$C$4:$F$17,4,0),"Seleccione TAR"))),"-")</f>
        <v>Seleccione TAR</v>
      </c>
      <c r="M176" s="19" t="str">
        <f>+IFERROR(IF(G176="Regular",VLOOKUP(C176,'DESCUENTO PROVEEDORES'!$B$4:$E$35,2,0),IF(G176="Premium",VLOOKUP(C176,'DESCUENTO PROVEEDORES'!$B$4:$E$35,3,0),IF(G176="Diesel",VLOOKUP(C176,'DESCUENTO PROVEEDORES'!$B$4:$E$35,4,0),"Seleccione Proveedor"))),"-")</f>
        <v>Seleccione Proveedor</v>
      </c>
      <c r="N176" s="20" t="e">
        <f>((((K176-H176)/1.16)-M176))</f>
        <v>#VALUE!</v>
      </c>
      <c r="O176" s="21" t="e">
        <f>((N176*16%)+N176)+H176+L176</f>
        <v>#VALUE!</v>
      </c>
      <c r="P176" s="21" t="e">
        <f>(((J176-O176)-H176)/1.16)+H176</f>
        <v>#VALUE!</v>
      </c>
      <c r="Q176" s="44"/>
      <c r="R176" s="24"/>
      <c r="S176" s="23" t="e">
        <f t="shared" si="6"/>
        <v>#DIV/0!</v>
      </c>
      <c r="T176" s="23" t="e">
        <f t="shared" si="7"/>
        <v>#DIV/0!</v>
      </c>
      <c r="U176" s="22" t="e">
        <f t="shared" si="8"/>
        <v>#DIV/0!</v>
      </c>
      <c r="V176" s="44"/>
      <c r="W176" s="44"/>
      <c r="X176" s="44"/>
      <c r="Y176" s="44"/>
      <c r="Z176" s="44"/>
    </row>
    <row r="177" spans="1:26" ht="15.75" customHeight="1">
      <c r="A177" s="44"/>
      <c r="B177" s="14"/>
      <c r="C177" s="53"/>
      <c r="D177" s="15"/>
      <c r="E177" s="89"/>
      <c r="F177" s="16"/>
      <c r="G177" s="16"/>
      <c r="H177" s="90" t="str">
        <f>IF(G177="Regular",Listas!$K$16,IF(G177="Premium",Listas!$K$17,IF(G177="Diesel",Listas!$K$18,"-")))</f>
        <v>-</v>
      </c>
      <c r="I177" s="17"/>
      <c r="J177" s="18"/>
      <c r="K177" s="19" t="str">
        <f>+IFERROR(IF(G177="Regular",VLOOKUP(C177,'PRECIO TERMINAL PEMEX'!$B$4:$E$35,2,0),IF(G177="Premium",VLOOKUP(C177,'PRECIO TERMINAL PEMEX'!$B$4:$E$35,3,0),IF(G177="Diesel",VLOOKUP(C177,'PRECIO TERMINAL PEMEX'!$B$4:$E$35,4,0),"Seleccione Producto"))),"-")</f>
        <v>Seleccione Producto</v>
      </c>
      <c r="L177" s="93" t="str">
        <f>+IFERROR(IF(F177="VHSA",VLOOKUP(B177,Listas!$C$4:$F$17,2,0),IF(F177="DOS BOCAS",VLOOKUP(B177,Listas!$C$4:$F$17,3,0),IF(F177="GLENCORE",VLOOKUP(B177,Listas!$C$4:$F$17,4,0),"Seleccione TAR"))),"-")</f>
        <v>Seleccione TAR</v>
      </c>
      <c r="M177" s="19" t="str">
        <f>+IFERROR(IF(G177="Regular",VLOOKUP(C177,'DESCUENTO PROVEEDORES'!$B$4:$E$35,2,0),IF(G177="Premium",VLOOKUP(C177,'DESCUENTO PROVEEDORES'!$B$4:$E$35,3,0),IF(G177="Diesel",VLOOKUP(C177,'DESCUENTO PROVEEDORES'!$B$4:$E$35,4,0),"Seleccione Proveedor"))),"-")</f>
        <v>Seleccione Proveedor</v>
      </c>
      <c r="N177" s="20" t="e">
        <f>((((K177-H177)/1.16)-M177))</f>
        <v>#VALUE!</v>
      </c>
      <c r="O177" s="21" t="e">
        <f>((N177*16%)+N177)+H177+L177</f>
        <v>#VALUE!</v>
      </c>
      <c r="P177" s="21" t="e">
        <f>(((J177-O177)-H177)/1.16)+H177</f>
        <v>#VALUE!</v>
      </c>
      <c r="Q177" s="44"/>
      <c r="R177" s="24"/>
      <c r="S177" s="23" t="e">
        <f t="shared" si="6"/>
        <v>#DIV/0!</v>
      </c>
      <c r="T177" s="23" t="e">
        <f t="shared" si="7"/>
        <v>#DIV/0!</v>
      </c>
      <c r="U177" s="22" t="e">
        <f t="shared" si="8"/>
        <v>#DIV/0!</v>
      </c>
      <c r="V177" s="44"/>
      <c r="W177" s="44"/>
      <c r="X177" s="44"/>
      <c r="Y177" s="44"/>
      <c r="Z177" s="44"/>
    </row>
    <row r="178" spans="1:26" ht="15.75" customHeight="1">
      <c r="A178" s="44"/>
      <c r="B178" s="14"/>
      <c r="C178" s="53"/>
      <c r="D178" s="15"/>
      <c r="E178" s="89"/>
      <c r="F178" s="16"/>
      <c r="G178" s="16"/>
      <c r="H178" s="90" t="str">
        <f>IF(G178="Regular",Listas!$K$16,IF(G178="Premium",Listas!$K$17,IF(G178="Diesel",Listas!$K$18,"-")))</f>
        <v>-</v>
      </c>
      <c r="I178" s="17"/>
      <c r="J178" s="18"/>
      <c r="K178" s="19" t="str">
        <f>+IFERROR(IF(G178="Regular",VLOOKUP(C178,'PRECIO TERMINAL PEMEX'!$B$4:$E$35,2,0),IF(G178="Premium",VLOOKUP(C178,'PRECIO TERMINAL PEMEX'!$B$4:$E$35,3,0),IF(G178="Diesel",VLOOKUP(C178,'PRECIO TERMINAL PEMEX'!$B$4:$E$35,4,0),"Seleccione Producto"))),"-")</f>
        <v>Seleccione Producto</v>
      </c>
      <c r="L178" s="93" t="str">
        <f>+IFERROR(IF(F178="VHSA",VLOOKUP(B178,Listas!$C$4:$F$17,2,0),IF(F178="DOS BOCAS",VLOOKUP(B178,Listas!$C$4:$F$17,3,0),IF(F178="GLENCORE",VLOOKUP(B178,Listas!$C$4:$F$17,4,0),"Seleccione TAR"))),"-")</f>
        <v>Seleccione TAR</v>
      </c>
      <c r="M178" s="19" t="str">
        <f>+IFERROR(IF(G178="Regular",VLOOKUP(C178,'DESCUENTO PROVEEDORES'!$B$4:$E$35,2,0),IF(G178="Premium",VLOOKUP(C178,'DESCUENTO PROVEEDORES'!$B$4:$E$35,3,0),IF(G178="Diesel",VLOOKUP(C178,'DESCUENTO PROVEEDORES'!$B$4:$E$35,4,0),"Seleccione Proveedor"))),"-")</f>
        <v>Seleccione Proveedor</v>
      </c>
      <c r="N178" s="20" t="e">
        <f>((((K178-H178)/1.16)-M178))</f>
        <v>#VALUE!</v>
      </c>
      <c r="O178" s="21" t="e">
        <f>((N178*16%)+N178)+H178+L178</f>
        <v>#VALUE!</v>
      </c>
      <c r="P178" s="21" t="e">
        <f>(((J178-O178)-H178)/1.16)+H178</f>
        <v>#VALUE!</v>
      </c>
      <c r="Q178" s="44"/>
      <c r="R178" s="24"/>
      <c r="S178" s="23" t="e">
        <f t="shared" si="6"/>
        <v>#DIV/0!</v>
      </c>
      <c r="T178" s="23" t="e">
        <f t="shared" si="7"/>
        <v>#DIV/0!</v>
      </c>
      <c r="U178" s="22" t="e">
        <f t="shared" si="8"/>
        <v>#DIV/0!</v>
      </c>
      <c r="V178" s="44"/>
      <c r="W178" s="44"/>
      <c r="X178" s="44"/>
      <c r="Y178" s="44"/>
      <c r="Z178" s="44"/>
    </row>
    <row r="179" spans="1:26" ht="15.75" customHeight="1">
      <c r="A179" s="44"/>
      <c r="B179" s="14"/>
      <c r="C179" s="53"/>
      <c r="D179" s="15"/>
      <c r="E179" s="89"/>
      <c r="F179" s="16"/>
      <c r="G179" s="16"/>
      <c r="H179" s="90" t="str">
        <f>IF(G179="Regular",Listas!$K$16,IF(G179="Premium",Listas!$K$17,IF(G179="Diesel",Listas!$K$18,"-")))</f>
        <v>-</v>
      </c>
      <c r="I179" s="17"/>
      <c r="J179" s="18"/>
      <c r="K179" s="19" t="str">
        <f>+IFERROR(IF(G179="Regular",VLOOKUP(C179,'PRECIO TERMINAL PEMEX'!$B$4:$E$35,2,0),IF(G179="Premium",VLOOKUP(C179,'PRECIO TERMINAL PEMEX'!$B$4:$E$35,3,0),IF(G179="Diesel",VLOOKUP(C179,'PRECIO TERMINAL PEMEX'!$B$4:$E$35,4,0),"Seleccione Producto"))),"-")</f>
        <v>Seleccione Producto</v>
      </c>
      <c r="L179" s="93" t="str">
        <f>+IFERROR(IF(F179="VHSA",VLOOKUP(B179,Listas!$C$4:$F$17,2,0),IF(F179="DOS BOCAS",VLOOKUP(B179,Listas!$C$4:$F$17,3,0),IF(F179="GLENCORE",VLOOKUP(B179,Listas!$C$4:$F$17,4,0),"Seleccione TAR"))),"-")</f>
        <v>Seleccione TAR</v>
      </c>
      <c r="M179" s="19" t="str">
        <f>+IFERROR(IF(G179="Regular",VLOOKUP(C179,'DESCUENTO PROVEEDORES'!$B$4:$E$35,2,0),IF(G179="Premium",VLOOKUP(C179,'DESCUENTO PROVEEDORES'!$B$4:$E$35,3,0),IF(G179="Diesel",VLOOKUP(C179,'DESCUENTO PROVEEDORES'!$B$4:$E$35,4,0),"Seleccione Proveedor"))),"-")</f>
        <v>Seleccione Proveedor</v>
      </c>
      <c r="N179" s="20" t="e">
        <f>((((K179-H179)/1.16)-M179))</f>
        <v>#VALUE!</v>
      </c>
      <c r="O179" s="21" t="e">
        <f>((N179*16%)+N179)+H179+L179</f>
        <v>#VALUE!</v>
      </c>
      <c r="P179" s="21" t="e">
        <f>(((J179-O179)-H179)/1.16)+H179</f>
        <v>#VALUE!</v>
      </c>
      <c r="Q179" s="44"/>
      <c r="R179" s="24"/>
      <c r="S179" s="23" t="e">
        <f t="shared" si="6"/>
        <v>#DIV/0!</v>
      </c>
      <c r="T179" s="23" t="e">
        <f t="shared" si="7"/>
        <v>#DIV/0!</v>
      </c>
      <c r="U179" s="22" t="e">
        <f t="shared" si="8"/>
        <v>#DIV/0!</v>
      </c>
      <c r="V179" s="44"/>
      <c r="W179" s="44"/>
      <c r="X179" s="44"/>
      <c r="Y179" s="44"/>
      <c r="Z179" s="44"/>
    </row>
    <row r="180" spans="1:26" ht="15.75" customHeight="1">
      <c r="A180" s="44"/>
      <c r="B180" s="14"/>
      <c r="C180" s="53"/>
      <c r="D180" s="15"/>
      <c r="E180" s="89"/>
      <c r="F180" s="16"/>
      <c r="G180" s="16"/>
      <c r="H180" s="90" t="str">
        <f>IF(G180="Regular",Listas!$K$16,IF(G180="Premium",Listas!$K$17,IF(G180="Diesel",Listas!$K$18,"-")))</f>
        <v>-</v>
      </c>
      <c r="I180" s="17"/>
      <c r="J180" s="18"/>
      <c r="K180" s="19" t="str">
        <f>+IFERROR(IF(G180="Regular",VLOOKUP(C180,'PRECIO TERMINAL PEMEX'!$B$4:$E$35,2,0),IF(G180="Premium",VLOOKUP(C180,'PRECIO TERMINAL PEMEX'!$B$4:$E$35,3,0),IF(G180="Diesel",VLOOKUP(C180,'PRECIO TERMINAL PEMEX'!$B$4:$E$35,4,0),"Seleccione Producto"))),"-")</f>
        <v>Seleccione Producto</v>
      </c>
      <c r="L180" s="93" t="str">
        <f>+IFERROR(IF(F180="VHSA",VLOOKUP(B180,Listas!$C$4:$F$17,2,0),IF(F180="DOS BOCAS",VLOOKUP(B180,Listas!$C$4:$F$17,3,0),IF(F180="GLENCORE",VLOOKUP(B180,Listas!$C$4:$F$17,4,0),"Seleccione TAR"))),"-")</f>
        <v>Seleccione TAR</v>
      </c>
      <c r="M180" s="19" t="str">
        <f>+IFERROR(IF(G180="Regular",VLOOKUP(C180,'DESCUENTO PROVEEDORES'!$B$4:$E$35,2,0),IF(G180="Premium",VLOOKUP(C180,'DESCUENTO PROVEEDORES'!$B$4:$E$35,3,0),IF(G180="Diesel",VLOOKUP(C180,'DESCUENTO PROVEEDORES'!$B$4:$E$35,4,0),"Seleccione Proveedor"))),"-")</f>
        <v>Seleccione Proveedor</v>
      </c>
      <c r="N180" s="20" t="e">
        <f>((((K180-H180)/1.16)-M180))</f>
        <v>#VALUE!</v>
      </c>
      <c r="O180" s="21" t="e">
        <f>((N180*16%)+N180)+H180+L180</f>
        <v>#VALUE!</v>
      </c>
      <c r="P180" s="21" t="e">
        <f>(((J180-O180)-H180)/1.16)+H180</f>
        <v>#VALUE!</v>
      </c>
      <c r="Q180" s="44"/>
      <c r="R180" s="24"/>
      <c r="S180" s="23" t="e">
        <f t="shared" si="6"/>
        <v>#DIV/0!</v>
      </c>
      <c r="T180" s="23" t="e">
        <f t="shared" si="7"/>
        <v>#DIV/0!</v>
      </c>
      <c r="U180" s="22" t="e">
        <f t="shared" si="8"/>
        <v>#DIV/0!</v>
      </c>
      <c r="V180" s="44"/>
      <c r="W180" s="44"/>
      <c r="X180" s="44"/>
      <c r="Y180" s="44"/>
      <c r="Z180" s="44"/>
    </row>
    <row r="181" spans="1:26" ht="15.75" customHeight="1">
      <c r="A181" s="44"/>
      <c r="B181" s="14"/>
      <c r="C181" s="53"/>
      <c r="D181" s="15"/>
      <c r="E181" s="89"/>
      <c r="F181" s="16"/>
      <c r="G181" s="16"/>
      <c r="H181" s="90" t="str">
        <f>IF(G181="Regular",Listas!$K$16,IF(G181="Premium",Listas!$K$17,IF(G181="Diesel",Listas!$K$18,"-")))</f>
        <v>-</v>
      </c>
      <c r="I181" s="17"/>
      <c r="J181" s="18"/>
      <c r="K181" s="19" t="str">
        <f>+IFERROR(IF(G181="Regular",VLOOKUP(C181,'PRECIO TERMINAL PEMEX'!$B$4:$E$35,2,0),IF(G181="Premium",VLOOKUP(C181,'PRECIO TERMINAL PEMEX'!$B$4:$E$35,3,0),IF(G181="Diesel",VLOOKUP(C181,'PRECIO TERMINAL PEMEX'!$B$4:$E$35,4,0),"Seleccione Producto"))),"-")</f>
        <v>Seleccione Producto</v>
      </c>
      <c r="L181" s="93" t="str">
        <f>+IFERROR(IF(F181="VHSA",VLOOKUP(B181,Listas!$C$4:$F$17,2,0),IF(F181="DOS BOCAS",VLOOKUP(B181,Listas!$C$4:$F$17,3,0),IF(F181="GLENCORE",VLOOKUP(B181,Listas!$C$4:$F$17,4,0),"Seleccione TAR"))),"-")</f>
        <v>Seleccione TAR</v>
      </c>
      <c r="M181" s="19" t="str">
        <f>+IFERROR(IF(G181="Regular",VLOOKUP(C181,'DESCUENTO PROVEEDORES'!$B$4:$E$35,2,0),IF(G181="Premium",VLOOKUP(C181,'DESCUENTO PROVEEDORES'!$B$4:$E$35,3,0),IF(G181="Diesel",VLOOKUP(C181,'DESCUENTO PROVEEDORES'!$B$4:$E$35,4,0),"Seleccione Proveedor"))),"-")</f>
        <v>Seleccione Proveedor</v>
      </c>
      <c r="N181" s="20" t="e">
        <f>((((K181-H181)/1.16)-M181))</f>
        <v>#VALUE!</v>
      </c>
      <c r="O181" s="21" t="e">
        <f>((N181*16%)+N181)+H181+L181</f>
        <v>#VALUE!</v>
      </c>
      <c r="P181" s="21" t="e">
        <f>(((J181-O181)-H181)/1.16)+H181</f>
        <v>#VALUE!</v>
      </c>
      <c r="Q181" s="44"/>
      <c r="R181" s="24"/>
      <c r="S181" s="23" t="e">
        <f t="shared" si="6"/>
        <v>#DIV/0!</v>
      </c>
      <c r="T181" s="23" t="e">
        <f t="shared" si="7"/>
        <v>#DIV/0!</v>
      </c>
      <c r="U181" s="22" t="e">
        <f t="shared" si="8"/>
        <v>#DIV/0!</v>
      </c>
      <c r="V181" s="44"/>
      <c r="W181" s="44"/>
      <c r="X181" s="44"/>
      <c r="Y181" s="44"/>
      <c r="Z181" s="44"/>
    </row>
    <row r="182" spans="1:26" ht="15.75" customHeight="1">
      <c r="A182" s="44"/>
      <c r="B182" s="14"/>
      <c r="C182" s="53"/>
      <c r="D182" s="15"/>
      <c r="E182" s="89"/>
      <c r="F182" s="16"/>
      <c r="G182" s="16"/>
      <c r="H182" s="90" t="str">
        <f>IF(G182="Regular",Listas!$K$16,IF(G182="Premium",Listas!$K$17,IF(G182="Diesel",Listas!$K$18,"-")))</f>
        <v>-</v>
      </c>
      <c r="I182" s="17"/>
      <c r="J182" s="18"/>
      <c r="K182" s="19" t="str">
        <f>+IFERROR(IF(G182="Regular",VLOOKUP(C182,'PRECIO TERMINAL PEMEX'!$B$4:$E$35,2,0),IF(G182="Premium",VLOOKUP(C182,'PRECIO TERMINAL PEMEX'!$B$4:$E$35,3,0),IF(G182="Diesel",VLOOKUP(C182,'PRECIO TERMINAL PEMEX'!$B$4:$E$35,4,0),"Seleccione Producto"))),"-")</f>
        <v>Seleccione Producto</v>
      </c>
      <c r="L182" s="93" t="str">
        <f>+IFERROR(IF(F182="VHSA",VLOOKUP(B182,Listas!$C$4:$F$17,2,0),IF(F182="DOS BOCAS",VLOOKUP(B182,Listas!$C$4:$F$17,3,0),IF(F182="GLENCORE",VLOOKUP(B182,Listas!$C$4:$F$17,4,0),"Seleccione TAR"))),"-")</f>
        <v>Seleccione TAR</v>
      </c>
      <c r="M182" s="19" t="str">
        <f>+IFERROR(IF(G182="Regular",VLOOKUP(C182,'DESCUENTO PROVEEDORES'!$B$4:$E$35,2,0),IF(G182="Premium",VLOOKUP(C182,'DESCUENTO PROVEEDORES'!$B$4:$E$35,3,0),IF(G182="Diesel",VLOOKUP(C182,'DESCUENTO PROVEEDORES'!$B$4:$E$35,4,0),"Seleccione Proveedor"))),"-")</f>
        <v>Seleccione Proveedor</v>
      </c>
      <c r="N182" s="20" t="e">
        <f>((((K182-H182)/1.16)-M182))</f>
        <v>#VALUE!</v>
      </c>
      <c r="O182" s="21" t="e">
        <f>((N182*16%)+N182)+H182+L182</f>
        <v>#VALUE!</v>
      </c>
      <c r="P182" s="21" t="e">
        <f>(((J182-O182)-H182)/1.16)+H182</f>
        <v>#VALUE!</v>
      </c>
      <c r="Q182" s="44"/>
      <c r="R182" s="24"/>
      <c r="S182" s="23" t="e">
        <f t="shared" si="6"/>
        <v>#DIV/0!</v>
      </c>
      <c r="T182" s="23" t="e">
        <f t="shared" si="7"/>
        <v>#DIV/0!</v>
      </c>
      <c r="U182" s="22" t="e">
        <f t="shared" si="8"/>
        <v>#DIV/0!</v>
      </c>
      <c r="V182" s="44"/>
      <c r="W182" s="44"/>
      <c r="X182" s="44"/>
      <c r="Y182" s="44"/>
      <c r="Z182" s="44"/>
    </row>
    <row r="183" spans="1:26" ht="15.75" customHeight="1">
      <c r="A183" s="44"/>
      <c r="B183" s="14"/>
      <c r="C183" s="53"/>
      <c r="D183" s="15"/>
      <c r="E183" s="89"/>
      <c r="F183" s="16"/>
      <c r="G183" s="16"/>
      <c r="H183" s="90" t="str">
        <f>IF(G183="Regular",Listas!$K$16,IF(G183="Premium",Listas!$K$17,IF(G183="Diesel",Listas!$K$18,"-")))</f>
        <v>-</v>
      </c>
      <c r="I183" s="17"/>
      <c r="J183" s="18"/>
      <c r="K183" s="19" t="str">
        <f>+IFERROR(IF(G183="Regular",VLOOKUP(C183,'PRECIO TERMINAL PEMEX'!$B$4:$E$35,2,0),IF(G183="Premium",VLOOKUP(C183,'PRECIO TERMINAL PEMEX'!$B$4:$E$35,3,0),IF(G183="Diesel",VLOOKUP(C183,'PRECIO TERMINAL PEMEX'!$B$4:$E$35,4,0),"Seleccione Producto"))),"-")</f>
        <v>Seleccione Producto</v>
      </c>
      <c r="L183" s="93" t="str">
        <f>+IFERROR(IF(F183="VHSA",VLOOKUP(B183,Listas!$C$4:$F$17,2,0),IF(F183="DOS BOCAS",VLOOKUP(B183,Listas!$C$4:$F$17,3,0),IF(F183="GLENCORE",VLOOKUP(B183,Listas!$C$4:$F$17,4,0),"Seleccione TAR"))),"-")</f>
        <v>Seleccione TAR</v>
      </c>
      <c r="M183" s="19" t="str">
        <f>+IFERROR(IF(G183="Regular",VLOOKUP(C183,'DESCUENTO PROVEEDORES'!$B$4:$E$35,2,0),IF(G183="Premium",VLOOKUP(C183,'DESCUENTO PROVEEDORES'!$B$4:$E$35,3,0),IF(G183="Diesel",VLOOKUP(C183,'DESCUENTO PROVEEDORES'!$B$4:$E$35,4,0),"Seleccione Proveedor"))),"-")</f>
        <v>Seleccione Proveedor</v>
      </c>
      <c r="N183" s="20" t="e">
        <f>((((K183-H183)/1.16)-M183))</f>
        <v>#VALUE!</v>
      </c>
      <c r="O183" s="21" t="e">
        <f>((N183*16%)+N183)+H183+L183</f>
        <v>#VALUE!</v>
      </c>
      <c r="P183" s="21" t="e">
        <f>(((J183-O183)-H183)/1.16)+H183</f>
        <v>#VALUE!</v>
      </c>
      <c r="Q183" s="44"/>
      <c r="R183" s="24"/>
      <c r="S183" s="23" t="e">
        <f t="shared" si="6"/>
        <v>#DIV/0!</v>
      </c>
      <c r="T183" s="23" t="e">
        <f t="shared" si="7"/>
        <v>#DIV/0!</v>
      </c>
      <c r="U183" s="22" t="e">
        <f t="shared" si="8"/>
        <v>#DIV/0!</v>
      </c>
      <c r="V183" s="44"/>
      <c r="W183" s="44"/>
      <c r="X183" s="44"/>
      <c r="Y183" s="44"/>
      <c r="Z183" s="44"/>
    </row>
    <row r="184" spans="1:26" ht="15.75" customHeight="1">
      <c r="A184" s="44"/>
      <c r="B184" s="14"/>
      <c r="C184" s="53"/>
      <c r="D184" s="15"/>
      <c r="E184" s="89"/>
      <c r="F184" s="16"/>
      <c r="G184" s="16"/>
      <c r="H184" s="90" t="str">
        <f>IF(G184="Regular",Listas!$K$16,IF(G184="Premium",Listas!$K$17,IF(G184="Diesel",Listas!$K$18,"-")))</f>
        <v>-</v>
      </c>
      <c r="I184" s="17"/>
      <c r="J184" s="18"/>
      <c r="K184" s="19" t="str">
        <f>+IFERROR(IF(G184="Regular",VLOOKUP(C184,'PRECIO TERMINAL PEMEX'!$B$4:$E$35,2,0),IF(G184="Premium",VLOOKUP(C184,'PRECIO TERMINAL PEMEX'!$B$4:$E$35,3,0),IF(G184="Diesel",VLOOKUP(C184,'PRECIO TERMINAL PEMEX'!$B$4:$E$35,4,0),"Seleccione Producto"))),"-")</f>
        <v>Seleccione Producto</v>
      </c>
      <c r="L184" s="93" t="str">
        <f>+IFERROR(IF(F184="VHSA",VLOOKUP(B184,Listas!$C$4:$F$17,2,0),IF(F184="DOS BOCAS",VLOOKUP(B184,Listas!$C$4:$F$17,3,0),IF(F184="GLENCORE",VLOOKUP(B184,Listas!$C$4:$F$17,4,0),"Seleccione TAR"))),"-")</f>
        <v>Seleccione TAR</v>
      </c>
      <c r="M184" s="19" t="str">
        <f>+IFERROR(IF(G184="Regular",VLOOKUP(C184,'DESCUENTO PROVEEDORES'!$B$4:$E$35,2,0),IF(G184="Premium",VLOOKUP(C184,'DESCUENTO PROVEEDORES'!$B$4:$E$35,3,0),IF(G184="Diesel",VLOOKUP(C184,'DESCUENTO PROVEEDORES'!$B$4:$E$35,4,0),"Seleccione Proveedor"))),"-")</f>
        <v>Seleccione Proveedor</v>
      </c>
      <c r="N184" s="20" t="e">
        <f>((((K184-H184)/1.16)-M184))</f>
        <v>#VALUE!</v>
      </c>
      <c r="O184" s="21" t="e">
        <f>((N184*16%)+N184)+H184+L184</f>
        <v>#VALUE!</v>
      </c>
      <c r="P184" s="21" t="e">
        <f>(((J184-O184)-H184)/1.16)+H184</f>
        <v>#VALUE!</v>
      </c>
      <c r="Q184" s="44"/>
      <c r="R184" s="24"/>
      <c r="S184" s="23" t="e">
        <f t="shared" si="6"/>
        <v>#DIV/0!</v>
      </c>
      <c r="T184" s="23" t="e">
        <f t="shared" si="7"/>
        <v>#DIV/0!</v>
      </c>
      <c r="U184" s="22" t="e">
        <f t="shared" si="8"/>
        <v>#DIV/0!</v>
      </c>
      <c r="V184" s="44"/>
      <c r="W184" s="44"/>
      <c r="X184" s="44"/>
      <c r="Y184" s="44"/>
      <c r="Z184" s="44"/>
    </row>
    <row r="185" spans="1:26" ht="15.75" customHeight="1">
      <c r="A185" s="44"/>
      <c r="B185" s="14"/>
      <c r="C185" s="53"/>
      <c r="D185" s="15"/>
      <c r="E185" s="89"/>
      <c r="F185" s="16"/>
      <c r="G185" s="16"/>
      <c r="H185" s="90" t="str">
        <f>IF(G185="Regular",Listas!$K$16,IF(G185="Premium",Listas!$K$17,IF(G185="Diesel",Listas!$K$18,"-")))</f>
        <v>-</v>
      </c>
      <c r="I185" s="17"/>
      <c r="J185" s="18"/>
      <c r="K185" s="19" t="str">
        <f>+IFERROR(IF(G185="Regular",VLOOKUP(C185,'PRECIO TERMINAL PEMEX'!$B$4:$E$35,2,0),IF(G185="Premium",VLOOKUP(C185,'PRECIO TERMINAL PEMEX'!$B$4:$E$35,3,0),IF(G185="Diesel",VLOOKUP(C185,'PRECIO TERMINAL PEMEX'!$B$4:$E$35,4,0),"Seleccione Producto"))),"-")</f>
        <v>Seleccione Producto</v>
      </c>
      <c r="L185" s="93" t="str">
        <f>+IFERROR(IF(F185="VHSA",VLOOKUP(B185,Listas!$C$4:$F$17,2,0),IF(F185="DOS BOCAS",VLOOKUP(B185,Listas!$C$4:$F$17,3,0),IF(F185="GLENCORE",VLOOKUP(B185,Listas!$C$4:$F$17,4,0),"Seleccione TAR"))),"-")</f>
        <v>Seleccione TAR</v>
      </c>
      <c r="M185" s="19" t="str">
        <f>+IFERROR(IF(G185="Regular",VLOOKUP(C185,'DESCUENTO PROVEEDORES'!$B$4:$E$35,2,0),IF(G185="Premium",VLOOKUP(C185,'DESCUENTO PROVEEDORES'!$B$4:$E$35,3,0),IF(G185="Diesel",VLOOKUP(C185,'DESCUENTO PROVEEDORES'!$B$4:$E$35,4,0),"Seleccione Proveedor"))),"-")</f>
        <v>Seleccione Proveedor</v>
      </c>
      <c r="N185" s="20" t="e">
        <f>((((K185-H185)/1.16)-M185))</f>
        <v>#VALUE!</v>
      </c>
      <c r="O185" s="21" t="e">
        <f>((N185*16%)+N185)+H185+L185</f>
        <v>#VALUE!</v>
      </c>
      <c r="P185" s="21" t="e">
        <f>(((J185-O185)-H185)/1.16)+H185</f>
        <v>#VALUE!</v>
      </c>
      <c r="Q185" s="44"/>
      <c r="R185" s="24"/>
      <c r="S185" s="23" t="e">
        <f t="shared" si="6"/>
        <v>#DIV/0!</v>
      </c>
      <c r="T185" s="23" t="e">
        <f t="shared" si="7"/>
        <v>#DIV/0!</v>
      </c>
      <c r="U185" s="22" t="e">
        <f t="shared" si="8"/>
        <v>#DIV/0!</v>
      </c>
      <c r="V185" s="44"/>
      <c r="W185" s="44"/>
      <c r="X185" s="44"/>
      <c r="Y185" s="44"/>
      <c r="Z185" s="44"/>
    </row>
    <row r="186" spans="1:26" ht="15.75" customHeight="1">
      <c r="A186" s="44"/>
      <c r="B186" s="14"/>
      <c r="C186" s="53"/>
      <c r="D186" s="15"/>
      <c r="E186" s="89"/>
      <c r="F186" s="16"/>
      <c r="G186" s="16"/>
      <c r="H186" s="90" t="str">
        <f>IF(G186="Regular",Listas!$K$16,IF(G186="Premium",Listas!$K$17,IF(G186="Diesel",Listas!$K$18,"-")))</f>
        <v>-</v>
      </c>
      <c r="I186" s="17"/>
      <c r="J186" s="18"/>
      <c r="K186" s="19" t="str">
        <f>+IFERROR(IF(G186="Regular",VLOOKUP(C186,'PRECIO TERMINAL PEMEX'!$B$4:$E$35,2,0),IF(G186="Premium",VLOOKUP(C186,'PRECIO TERMINAL PEMEX'!$B$4:$E$35,3,0),IF(G186="Diesel",VLOOKUP(C186,'PRECIO TERMINAL PEMEX'!$B$4:$E$35,4,0),"Seleccione Producto"))),"-")</f>
        <v>Seleccione Producto</v>
      </c>
      <c r="L186" s="93" t="str">
        <f>+IFERROR(IF(F186="VHSA",VLOOKUP(B186,Listas!$C$4:$F$17,2,0),IF(F186="DOS BOCAS",VLOOKUP(B186,Listas!$C$4:$F$17,3,0),IF(F186="GLENCORE",VLOOKUP(B186,Listas!$C$4:$F$17,4,0),"Seleccione TAR"))),"-")</f>
        <v>Seleccione TAR</v>
      </c>
      <c r="M186" s="19" t="str">
        <f>+IFERROR(IF(G186="Regular",VLOOKUP(C186,'DESCUENTO PROVEEDORES'!$B$4:$E$35,2,0),IF(G186="Premium",VLOOKUP(C186,'DESCUENTO PROVEEDORES'!$B$4:$E$35,3,0),IF(G186="Diesel",VLOOKUP(C186,'DESCUENTO PROVEEDORES'!$B$4:$E$35,4,0),"Seleccione Proveedor"))),"-")</f>
        <v>Seleccione Proveedor</v>
      </c>
      <c r="N186" s="20" t="e">
        <f>((((K186-H186)/1.16)-M186))</f>
        <v>#VALUE!</v>
      </c>
      <c r="O186" s="21" t="e">
        <f>((N186*16%)+N186)+H186+L186</f>
        <v>#VALUE!</v>
      </c>
      <c r="P186" s="21" t="e">
        <f>(((J186-O186)-H186)/1.16)+H186</f>
        <v>#VALUE!</v>
      </c>
      <c r="Q186" s="44"/>
      <c r="R186" s="24"/>
      <c r="S186" s="23" t="e">
        <f t="shared" si="6"/>
        <v>#DIV/0!</v>
      </c>
      <c r="T186" s="23" t="e">
        <f t="shared" si="7"/>
        <v>#DIV/0!</v>
      </c>
      <c r="U186" s="22" t="e">
        <f t="shared" si="8"/>
        <v>#DIV/0!</v>
      </c>
      <c r="V186" s="44"/>
      <c r="W186" s="44"/>
      <c r="X186" s="44"/>
      <c r="Y186" s="44"/>
      <c r="Z186" s="44"/>
    </row>
    <row r="187" spans="1:26" ht="15.75" customHeight="1">
      <c r="A187" s="44"/>
      <c r="B187" s="14"/>
      <c r="C187" s="53"/>
      <c r="D187" s="15"/>
      <c r="E187" s="89"/>
      <c r="F187" s="16"/>
      <c r="G187" s="16"/>
      <c r="H187" s="90" t="str">
        <f>IF(G187="Regular",Listas!$K$16,IF(G187="Premium",Listas!$K$17,IF(G187="Diesel",Listas!$K$18,"-")))</f>
        <v>-</v>
      </c>
      <c r="I187" s="17"/>
      <c r="J187" s="18"/>
      <c r="K187" s="19" t="str">
        <f>+IFERROR(IF(G187="Regular",VLOOKUP(C187,'PRECIO TERMINAL PEMEX'!$B$4:$E$35,2,0),IF(G187="Premium",VLOOKUP(C187,'PRECIO TERMINAL PEMEX'!$B$4:$E$35,3,0),IF(G187="Diesel",VLOOKUP(C187,'PRECIO TERMINAL PEMEX'!$B$4:$E$35,4,0),"Seleccione Producto"))),"-")</f>
        <v>Seleccione Producto</v>
      </c>
      <c r="L187" s="93" t="str">
        <f>+IFERROR(IF(F187="VHSA",VLOOKUP(B187,Listas!$C$4:$F$17,2,0),IF(F187="DOS BOCAS",VLOOKUP(B187,Listas!$C$4:$F$17,3,0),IF(F187="GLENCORE",VLOOKUP(B187,Listas!$C$4:$F$17,4,0),"Seleccione TAR"))),"-")</f>
        <v>Seleccione TAR</v>
      </c>
      <c r="M187" s="19" t="str">
        <f>+IFERROR(IF(G187="Regular",VLOOKUP(C187,'DESCUENTO PROVEEDORES'!$B$4:$E$35,2,0),IF(G187="Premium",VLOOKUP(C187,'DESCUENTO PROVEEDORES'!$B$4:$E$35,3,0),IF(G187="Diesel",VLOOKUP(C187,'DESCUENTO PROVEEDORES'!$B$4:$E$35,4,0),"Seleccione Proveedor"))),"-")</f>
        <v>Seleccione Proveedor</v>
      </c>
      <c r="N187" s="20" t="e">
        <f>((((K187-H187)/1.16)-M187))</f>
        <v>#VALUE!</v>
      </c>
      <c r="O187" s="21" t="e">
        <f>((N187*16%)+N187)+H187+L187</f>
        <v>#VALUE!</v>
      </c>
      <c r="P187" s="21" t="e">
        <f>(((J187-O187)-H187)/1.16)+H187</f>
        <v>#VALUE!</v>
      </c>
      <c r="Q187" s="44"/>
      <c r="R187" s="24"/>
      <c r="S187" s="23" t="e">
        <f t="shared" si="6"/>
        <v>#DIV/0!</v>
      </c>
      <c r="T187" s="23" t="e">
        <f t="shared" si="7"/>
        <v>#DIV/0!</v>
      </c>
      <c r="U187" s="22" t="e">
        <f t="shared" si="8"/>
        <v>#DIV/0!</v>
      </c>
      <c r="V187" s="44"/>
      <c r="W187" s="44"/>
      <c r="X187" s="44"/>
      <c r="Y187" s="44"/>
      <c r="Z187" s="44"/>
    </row>
    <row r="188" spans="1:26" ht="15.75" customHeight="1">
      <c r="A188" s="44"/>
      <c r="B188" s="14"/>
      <c r="C188" s="53"/>
      <c r="D188" s="15"/>
      <c r="E188" s="89"/>
      <c r="F188" s="16"/>
      <c r="G188" s="16"/>
      <c r="H188" s="90" t="str">
        <f>IF(G188="Regular",Listas!$K$16,IF(G188="Premium",Listas!$K$17,IF(G188="Diesel",Listas!$K$18,"-")))</f>
        <v>-</v>
      </c>
      <c r="I188" s="17"/>
      <c r="J188" s="18"/>
      <c r="K188" s="19" t="str">
        <f>+IFERROR(IF(G188="Regular",VLOOKUP(C188,'PRECIO TERMINAL PEMEX'!$B$4:$E$35,2,0),IF(G188="Premium",VLOOKUP(C188,'PRECIO TERMINAL PEMEX'!$B$4:$E$35,3,0),IF(G188="Diesel",VLOOKUP(C188,'PRECIO TERMINAL PEMEX'!$B$4:$E$35,4,0),"Seleccione Producto"))),"-")</f>
        <v>Seleccione Producto</v>
      </c>
      <c r="L188" s="93" t="str">
        <f>+IFERROR(IF(F188="VHSA",VLOOKUP(B188,Listas!$C$4:$F$17,2,0),IF(F188="DOS BOCAS",VLOOKUP(B188,Listas!$C$4:$F$17,3,0),IF(F188="GLENCORE",VLOOKUP(B188,Listas!$C$4:$F$17,4,0),"Seleccione TAR"))),"-")</f>
        <v>Seleccione TAR</v>
      </c>
      <c r="M188" s="19" t="str">
        <f>+IFERROR(IF(G188="Regular",VLOOKUP(C188,'DESCUENTO PROVEEDORES'!$B$4:$E$35,2,0),IF(G188="Premium",VLOOKUP(C188,'DESCUENTO PROVEEDORES'!$B$4:$E$35,3,0),IF(G188="Diesel",VLOOKUP(C188,'DESCUENTO PROVEEDORES'!$B$4:$E$35,4,0),"Seleccione Proveedor"))),"-")</f>
        <v>Seleccione Proveedor</v>
      </c>
      <c r="N188" s="20" t="e">
        <f>((((K188-H188)/1.16)-M188))</f>
        <v>#VALUE!</v>
      </c>
      <c r="O188" s="21" t="e">
        <f>((N188*16%)+N188)+H188+L188</f>
        <v>#VALUE!</v>
      </c>
      <c r="P188" s="21" t="e">
        <f>(((J188-O188)-H188)/1.16)+H188</f>
        <v>#VALUE!</v>
      </c>
      <c r="Q188" s="44"/>
      <c r="R188" s="24"/>
      <c r="S188" s="23" t="e">
        <f t="shared" si="6"/>
        <v>#DIV/0!</v>
      </c>
      <c r="T188" s="23" t="e">
        <f t="shared" si="7"/>
        <v>#DIV/0!</v>
      </c>
      <c r="U188" s="22" t="e">
        <f t="shared" si="8"/>
        <v>#DIV/0!</v>
      </c>
      <c r="V188" s="44"/>
      <c r="W188" s="44"/>
      <c r="X188" s="44"/>
      <c r="Y188" s="44"/>
      <c r="Z188" s="44"/>
    </row>
    <row r="189" spans="1:26" ht="15.75" customHeight="1">
      <c r="A189" s="44"/>
      <c r="B189" s="14"/>
      <c r="C189" s="53"/>
      <c r="D189" s="15"/>
      <c r="E189" s="89"/>
      <c r="F189" s="16"/>
      <c r="G189" s="16"/>
      <c r="H189" s="90" t="str">
        <f>IF(G189="Regular",Listas!$K$16,IF(G189="Premium",Listas!$K$17,IF(G189="Diesel",Listas!$K$18,"-")))</f>
        <v>-</v>
      </c>
      <c r="I189" s="17"/>
      <c r="J189" s="18"/>
      <c r="K189" s="19" t="str">
        <f>+IFERROR(IF(G189="Regular",VLOOKUP(C189,'PRECIO TERMINAL PEMEX'!$B$4:$E$35,2,0),IF(G189="Premium",VLOOKUP(C189,'PRECIO TERMINAL PEMEX'!$B$4:$E$35,3,0),IF(G189="Diesel",VLOOKUP(C189,'PRECIO TERMINAL PEMEX'!$B$4:$E$35,4,0),"Seleccione Producto"))),"-")</f>
        <v>Seleccione Producto</v>
      </c>
      <c r="L189" s="93" t="str">
        <f>+IFERROR(IF(F189="VHSA",VLOOKUP(B189,Listas!$C$4:$F$17,2,0),IF(F189="DOS BOCAS",VLOOKUP(B189,Listas!$C$4:$F$17,3,0),IF(F189="GLENCORE",VLOOKUP(B189,Listas!$C$4:$F$17,4,0),"Seleccione TAR"))),"-")</f>
        <v>Seleccione TAR</v>
      </c>
      <c r="M189" s="19" t="str">
        <f>+IFERROR(IF(G189="Regular",VLOOKUP(C189,'DESCUENTO PROVEEDORES'!$B$4:$E$35,2,0),IF(G189="Premium",VLOOKUP(C189,'DESCUENTO PROVEEDORES'!$B$4:$E$35,3,0),IF(G189="Diesel",VLOOKUP(C189,'DESCUENTO PROVEEDORES'!$B$4:$E$35,4,0),"Seleccione Proveedor"))),"-")</f>
        <v>Seleccione Proveedor</v>
      </c>
      <c r="N189" s="20" t="e">
        <f>((((K189-H189)/1.16)-M189))</f>
        <v>#VALUE!</v>
      </c>
      <c r="O189" s="21" t="e">
        <f>((N189*16%)+N189)+H189+L189</f>
        <v>#VALUE!</v>
      </c>
      <c r="P189" s="21" t="e">
        <f>(((J189-O189)-H189)/1.16)+H189</f>
        <v>#VALUE!</v>
      </c>
      <c r="Q189" s="44"/>
      <c r="R189" s="24"/>
      <c r="S189" s="23" t="e">
        <f t="shared" si="6"/>
        <v>#DIV/0!</v>
      </c>
      <c r="T189" s="23" t="e">
        <f t="shared" si="7"/>
        <v>#DIV/0!</v>
      </c>
      <c r="U189" s="22" t="e">
        <f t="shared" si="8"/>
        <v>#DIV/0!</v>
      </c>
      <c r="V189" s="44"/>
      <c r="W189" s="44"/>
      <c r="X189" s="44"/>
      <c r="Y189" s="44"/>
      <c r="Z189" s="44"/>
    </row>
    <row r="190" spans="1:26" ht="15.75" customHeight="1">
      <c r="A190" s="44"/>
      <c r="B190" s="14"/>
      <c r="C190" s="53"/>
      <c r="D190" s="15"/>
      <c r="E190" s="89"/>
      <c r="F190" s="16"/>
      <c r="G190" s="16"/>
      <c r="H190" s="90" t="str">
        <f>IF(G190="Regular",Listas!$K$16,IF(G190="Premium",Listas!$K$17,IF(G190="Diesel",Listas!$K$18,"-")))</f>
        <v>-</v>
      </c>
      <c r="I190" s="17"/>
      <c r="J190" s="18"/>
      <c r="K190" s="19" t="str">
        <f>+IFERROR(IF(G190="Regular",VLOOKUP(C190,'PRECIO TERMINAL PEMEX'!$B$4:$E$35,2,0),IF(G190="Premium",VLOOKUP(C190,'PRECIO TERMINAL PEMEX'!$B$4:$E$35,3,0),IF(G190="Diesel",VLOOKUP(C190,'PRECIO TERMINAL PEMEX'!$B$4:$E$35,4,0),"Seleccione Producto"))),"-")</f>
        <v>Seleccione Producto</v>
      </c>
      <c r="L190" s="93" t="str">
        <f>+IFERROR(IF(F190="VHSA",VLOOKUP(B190,Listas!$C$4:$F$17,2,0),IF(F190="DOS BOCAS",VLOOKUP(B190,Listas!$C$4:$F$17,3,0),IF(F190="GLENCORE",VLOOKUP(B190,Listas!$C$4:$F$17,4,0),"Seleccione TAR"))),"-")</f>
        <v>Seleccione TAR</v>
      </c>
      <c r="M190" s="19" t="str">
        <f>+IFERROR(IF(G190="Regular",VLOOKUP(C190,'DESCUENTO PROVEEDORES'!$B$4:$E$35,2,0),IF(G190="Premium",VLOOKUP(C190,'DESCUENTO PROVEEDORES'!$B$4:$E$35,3,0),IF(G190="Diesel",VLOOKUP(C190,'DESCUENTO PROVEEDORES'!$B$4:$E$35,4,0),"Seleccione Proveedor"))),"-")</f>
        <v>Seleccione Proveedor</v>
      </c>
      <c r="N190" s="20" t="e">
        <f>((((K190-H190)/1.16)-M190))</f>
        <v>#VALUE!</v>
      </c>
      <c r="O190" s="21" t="e">
        <f>((N190*16%)+N190)+H190+L190</f>
        <v>#VALUE!</v>
      </c>
      <c r="P190" s="21" t="e">
        <f>(((J190-O190)-H190)/1.16)+H190</f>
        <v>#VALUE!</v>
      </c>
      <c r="Q190" s="44"/>
      <c r="R190" s="24"/>
      <c r="S190" s="23" t="e">
        <f t="shared" si="6"/>
        <v>#DIV/0!</v>
      </c>
      <c r="T190" s="23" t="e">
        <f t="shared" si="7"/>
        <v>#DIV/0!</v>
      </c>
      <c r="U190" s="22" t="e">
        <f t="shared" si="8"/>
        <v>#DIV/0!</v>
      </c>
      <c r="V190" s="44"/>
      <c r="W190" s="44"/>
      <c r="X190" s="44"/>
      <c r="Y190" s="44"/>
      <c r="Z190" s="44"/>
    </row>
    <row r="191" spans="1:26" ht="15.75" customHeight="1">
      <c r="A191" s="44"/>
      <c r="B191" s="14"/>
      <c r="C191" s="53"/>
      <c r="D191" s="15"/>
      <c r="E191" s="89"/>
      <c r="F191" s="16"/>
      <c r="G191" s="16"/>
      <c r="H191" s="90" t="str">
        <f>IF(G191="Regular",Listas!$K$16,IF(G191="Premium",Listas!$K$17,IF(G191="Diesel",Listas!$K$18,"-")))</f>
        <v>-</v>
      </c>
      <c r="I191" s="17"/>
      <c r="J191" s="18"/>
      <c r="K191" s="19" t="str">
        <f>+IFERROR(IF(G191="Regular",VLOOKUP(C191,'PRECIO TERMINAL PEMEX'!$B$4:$E$35,2,0),IF(G191="Premium",VLOOKUP(C191,'PRECIO TERMINAL PEMEX'!$B$4:$E$35,3,0),IF(G191="Diesel",VLOOKUP(C191,'PRECIO TERMINAL PEMEX'!$B$4:$E$35,4,0),"Seleccione Producto"))),"-")</f>
        <v>Seleccione Producto</v>
      </c>
      <c r="L191" s="93" t="str">
        <f>+IFERROR(IF(F191="VHSA",VLOOKUP(B191,Listas!$C$4:$F$17,2,0),IF(F191="DOS BOCAS",VLOOKUP(B191,Listas!$C$4:$F$17,3,0),IF(F191="GLENCORE",VLOOKUP(B191,Listas!$C$4:$F$17,4,0),"Seleccione TAR"))),"-")</f>
        <v>Seleccione TAR</v>
      </c>
      <c r="M191" s="19" t="str">
        <f>+IFERROR(IF(G191="Regular",VLOOKUP(C191,'DESCUENTO PROVEEDORES'!$B$4:$E$35,2,0),IF(G191="Premium",VLOOKUP(C191,'DESCUENTO PROVEEDORES'!$B$4:$E$35,3,0),IF(G191="Diesel",VLOOKUP(C191,'DESCUENTO PROVEEDORES'!$B$4:$E$35,4,0),"Seleccione Proveedor"))),"-")</f>
        <v>Seleccione Proveedor</v>
      </c>
      <c r="N191" s="20" t="e">
        <f>((((K191-H191)/1.16)-M191))</f>
        <v>#VALUE!</v>
      </c>
      <c r="O191" s="21" t="e">
        <f>((N191*16%)+N191)+H191+L191</f>
        <v>#VALUE!</v>
      </c>
      <c r="P191" s="21" t="e">
        <f>(((J191-O191)-H191)/1.16)+H191</f>
        <v>#VALUE!</v>
      </c>
      <c r="Q191" s="44"/>
      <c r="R191" s="24"/>
      <c r="S191" s="23" t="e">
        <f t="shared" si="6"/>
        <v>#DIV/0!</v>
      </c>
      <c r="T191" s="23" t="e">
        <f t="shared" si="7"/>
        <v>#DIV/0!</v>
      </c>
      <c r="U191" s="22" t="e">
        <f t="shared" si="8"/>
        <v>#DIV/0!</v>
      </c>
      <c r="V191" s="44"/>
      <c r="W191" s="44"/>
      <c r="X191" s="44"/>
      <c r="Y191" s="44"/>
      <c r="Z191" s="44"/>
    </row>
    <row r="192" spans="1:26" ht="15.75" customHeight="1">
      <c r="A192" s="44"/>
      <c r="B192" s="14"/>
      <c r="C192" s="53"/>
      <c r="D192" s="15"/>
      <c r="E192" s="89"/>
      <c r="F192" s="16"/>
      <c r="G192" s="16"/>
      <c r="H192" s="90" t="str">
        <f>IF(G192="Regular",Listas!$K$16,IF(G192="Premium",Listas!$K$17,IF(G192="Diesel",Listas!$K$18,"-")))</f>
        <v>-</v>
      </c>
      <c r="I192" s="17"/>
      <c r="J192" s="18"/>
      <c r="K192" s="19" t="str">
        <f>+IFERROR(IF(G192="Regular",VLOOKUP(C192,'PRECIO TERMINAL PEMEX'!$B$4:$E$35,2,0),IF(G192="Premium",VLOOKUP(C192,'PRECIO TERMINAL PEMEX'!$B$4:$E$35,3,0),IF(G192="Diesel",VLOOKUP(C192,'PRECIO TERMINAL PEMEX'!$B$4:$E$35,4,0),"Seleccione Producto"))),"-")</f>
        <v>Seleccione Producto</v>
      </c>
      <c r="L192" s="93" t="str">
        <f>+IFERROR(IF(F192="VHSA",VLOOKUP(B192,Listas!$C$4:$F$17,2,0),IF(F192="DOS BOCAS",VLOOKUP(B192,Listas!$C$4:$F$17,3,0),IF(F192="GLENCORE",VLOOKUP(B192,Listas!$C$4:$F$17,4,0),"Seleccione TAR"))),"-")</f>
        <v>Seleccione TAR</v>
      </c>
      <c r="M192" s="19" t="str">
        <f>+IFERROR(IF(G192="Regular",VLOOKUP(C192,'DESCUENTO PROVEEDORES'!$B$4:$E$35,2,0),IF(G192="Premium",VLOOKUP(C192,'DESCUENTO PROVEEDORES'!$B$4:$E$35,3,0),IF(G192="Diesel",VLOOKUP(C192,'DESCUENTO PROVEEDORES'!$B$4:$E$35,4,0),"Seleccione Proveedor"))),"-")</f>
        <v>Seleccione Proveedor</v>
      </c>
      <c r="N192" s="20" t="e">
        <f>((((K192-H192)/1.16)-M192))</f>
        <v>#VALUE!</v>
      </c>
      <c r="O192" s="21" t="e">
        <f>((N192*16%)+N192)+H192+L192</f>
        <v>#VALUE!</v>
      </c>
      <c r="P192" s="21" t="e">
        <f>(((J192-O192)-H192)/1.16)+H192</f>
        <v>#VALUE!</v>
      </c>
      <c r="Q192" s="44"/>
      <c r="R192" s="24"/>
      <c r="S192" s="23" t="e">
        <f t="shared" si="6"/>
        <v>#DIV/0!</v>
      </c>
      <c r="T192" s="23" t="e">
        <f t="shared" si="7"/>
        <v>#DIV/0!</v>
      </c>
      <c r="U192" s="22" t="e">
        <f t="shared" si="8"/>
        <v>#DIV/0!</v>
      </c>
      <c r="V192" s="44"/>
      <c r="W192" s="44"/>
      <c r="X192" s="44"/>
      <c r="Y192" s="44"/>
      <c r="Z192" s="44"/>
    </row>
    <row r="193" spans="1:26" ht="15.75" customHeight="1">
      <c r="A193" s="44"/>
      <c r="B193" s="14"/>
      <c r="C193" s="53"/>
      <c r="D193" s="15"/>
      <c r="E193" s="89"/>
      <c r="F193" s="16"/>
      <c r="G193" s="16"/>
      <c r="H193" s="90" t="str">
        <f>IF(G193="Regular",Listas!$K$16,IF(G193="Premium",Listas!$K$17,IF(G193="Diesel",Listas!$K$18,"-")))</f>
        <v>-</v>
      </c>
      <c r="I193" s="17"/>
      <c r="J193" s="18"/>
      <c r="K193" s="19" t="str">
        <f>+IFERROR(IF(G193="Regular",VLOOKUP(C193,'PRECIO TERMINAL PEMEX'!$B$4:$E$35,2,0),IF(G193="Premium",VLOOKUP(C193,'PRECIO TERMINAL PEMEX'!$B$4:$E$35,3,0),IF(G193="Diesel",VLOOKUP(C193,'PRECIO TERMINAL PEMEX'!$B$4:$E$35,4,0),"Seleccione Producto"))),"-")</f>
        <v>Seleccione Producto</v>
      </c>
      <c r="L193" s="93" t="str">
        <f>+IFERROR(IF(F193="VHSA",VLOOKUP(B193,Listas!$C$4:$F$17,2,0),IF(F193="DOS BOCAS",VLOOKUP(B193,Listas!$C$4:$F$17,3,0),IF(F193="GLENCORE",VLOOKUP(B193,Listas!$C$4:$F$17,4,0),"Seleccione TAR"))),"-")</f>
        <v>Seleccione TAR</v>
      </c>
      <c r="M193" s="19" t="str">
        <f>+IFERROR(IF(G193="Regular",VLOOKUP(C193,'DESCUENTO PROVEEDORES'!$B$4:$E$35,2,0),IF(G193="Premium",VLOOKUP(C193,'DESCUENTO PROVEEDORES'!$B$4:$E$35,3,0),IF(G193="Diesel",VLOOKUP(C193,'DESCUENTO PROVEEDORES'!$B$4:$E$35,4,0),"Seleccione Proveedor"))),"-")</f>
        <v>Seleccione Proveedor</v>
      </c>
      <c r="N193" s="20" t="e">
        <f>((((K193-H193)/1.16)-M193))</f>
        <v>#VALUE!</v>
      </c>
      <c r="O193" s="21" t="e">
        <f>((N193*16%)+N193)+H193+L193</f>
        <v>#VALUE!</v>
      </c>
      <c r="P193" s="21" t="e">
        <f>(((J193-O193)-H193)/1.16)+H193</f>
        <v>#VALUE!</v>
      </c>
      <c r="Q193" s="44"/>
      <c r="R193" s="24"/>
      <c r="S193" s="23" t="e">
        <f t="shared" si="6"/>
        <v>#DIV/0!</v>
      </c>
      <c r="T193" s="23" t="e">
        <f t="shared" si="7"/>
        <v>#DIV/0!</v>
      </c>
      <c r="U193" s="22" t="e">
        <f t="shared" si="8"/>
        <v>#DIV/0!</v>
      </c>
      <c r="V193" s="44"/>
      <c r="W193" s="44"/>
      <c r="X193" s="44"/>
      <c r="Y193" s="44"/>
      <c r="Z193" s="44"/>
    </row>
    <row r="194" spans="1:26" ht="15.75" customHeight="1">
      <c r="A194" s="44"/>
      <c r="B194" s="14"/>
      <c r="C194" s="53"/>
      <c r="D194" s="15"/>
      <c r="E194" s="89"/>
      <c r="F194" s="16"/>
      <c r="G194" s="16"/>
      <c r="H194" s="90" t="str">
        <f>IF(G194="Regular",Listas!$K$16,IF(G194="Premium",Listas!$K$17,IF(G194="Diesel",Listas!$K$18,"-")))</f>
        <v>-</v>
      </c>
      <c r="I194" s="17"/>
      <c r="J194" s="18"/>
      <c r="K194" s="19" t="str">
        <f>+IFERROR(IF(G194="Regular",VLOOKUP(C194,'PRECIO TERMINAL PEMEX'!$B$4:$E$35,2,0),IF(G194="Premium",VLOOKUP(C194,'PRECIO TERMINAL PEMEX'!$B$4:$E$35,3,0),IF(G194="Diesel",VLOOKUP(C194,'PRECIO TERMINAL PEMEX'!$B$4:$E$35,4,0),"Seleccione Producto"))),"-")</f>
        <v>Seleccione Producto</v>
      </c>
      <c r="L194" s="93" t="str">
        <f>+IFERROR(IF(F194="VHSA",VLOOKUP(B194,Listas!$C$4:$F$17,2,0),IF(F194="DOS BOCAS",VLOOKUP(B194,Listas!$C$4:$F$17,3,0),IF(F194="GLENCORE",VLOOKUP(B194,Listas!$C$4:$F$17,4,0),"Seleccione TAR"))),"-")</f>
        <v>Seleccione TAR</v>
      </c>
      <c r="M194" s="19" t="str">
        <f>+IFERROR(IF(G194="Regular",VLOOKUP(C194,'DESCUENTO PROVEEDORES'!$B$4:$E$35,2,0),IF(G194="Premium",VLOOKUP(C194,'DESCUENTO PROVEEDORES'!$B$4:$E$35,3,0),IF(G194="Diesel",VLOOKUP(C194,'DESCUENTO PROVEEDORES'!$B$4:$E$35,4,0),"Seleccione Proveedor"))),"-")</f>
        <v>Seleccione Proveedor</v>
      </c>
      <c r="N194" s="20" t="e">
        <f>((((K194-H194)/1.16)-M194))</f>
        <v>#VALUE!</v>
      </c>
      <c r="O194" s="21" t="e">
        <f>((N194*16%)+N194)+H194+L194</f>
        <v>#VALUE!</v>
      </c>
      <c r="P194" s="21" t="e">
        <f>(((J194-O194)-H194)/1.16)+H194</f>
        <v>#VALUE!</v>
      </c>
      <c r="Q194" s="44"/>
      <c r="R194" s="24"/>
      <c r="S194" s="23" t="e">
        <f t="shared" si="6"/>
        <v>#DIV/0!</v>
      </c>
      <c r="T194" s="23" t="e">
        <f t="shared" si="7"/>
        <v>#DIV/0!</v>
      </c>
      <c r="U194" s="22" t="e">
        <f t="shared" si="8"/>
        <v>#DIV/0!</v>
      </c>
      <c r="V194" s="44"/>
      <c r="W194" s="44"/>
      <c r="X194" s="44"/>
      <c r="Y194" s="44"/>
      <c r="Z194" s="44"/>
    </row>
    <row r="195" spans="1:26" ht="15.75" customHeight="1">
      <c r="A195" s="44"/>
      <c r="B195" s="14"/>
      <c r="C195" s="53"/>
      <c r="D195" s="15"/>
      <c r="E195" s="89"/>
      <c r="F195" s="16"/>
      <c r="G195" s="16"/>
      <c r="H195" s="90" t="str">
        <f>IF(G195="Regular",Listas!$K$16,IF(G195="Premium",Listas!$K$17,IF(G195="Diesel",Listas!$K$18,"-")))</f>
        <v>-</v>
      </c>
      <c r="I195" s="17"/>
      <c r="J195" s="18"/>
      <c r="K195" s="19" t="str">
        <f>+IFERROR(IF(G195="Regular",VLOOKUP(C195,'PRECIO TERMINAL PEMEX'!$B$4:$E$35,2,0),IF(G195="Premium",VLOOKUP(C195,'PRECIO TERMINAL PEMEX'!$B$4:$E$35,3,0),IF(G195="Diesel",VLOOKUP(C195,'PRECIO TERMINAL PEMEX'!$B$4:$E$35,4,0),"Seleccione Producto"))),"-")</f>
        <v>Seleccione Producto</v>
      </c>
      <c r="L195" s="93" t="str">
        <f>+IFERROR(IF(F195="VHSA",VLOOKUP(B195,Listas!$C$4:$F$17,2,0),IF(F195="DOS BOCAS",VLOOKUP(B195,Listas!$C$4:$F$17,3,0),IF(F195="GLENCORE",VLOOKUP(B195,Listas!$C$4:$F$17,4,0),"Seleccione TAR"))),"-")</f>
        <v>Seleccione TAR</v>
      </c>
      <c r="M195" s="19" t="str">
        <f>+IFERROR(IF(G195="Regular",VLOOKUP(C195,'DESCUENTO PROVEEDORES'!$B$4:$E$35,2,0),IF(G195="Premium",VLOOKUP(C195,'DESCUENTO PROVEEDORES'!$B$4:$E$35,3,0),IF(G195="Diesel",VLOOKUP(C195,'DESCUENTO PROVEEDORES'!$B$4:$E$35,4,0),"Seleccione Proveedor"))),"-")</f>
        <v>Seleccione Proveedor</v>
      </c>
      <c r="N195" s="20" t="e">
        <f>((((K195-H195)/1.16)-M195))</f>
        <v>#VALUE!</v>
      </c>
      <c r="O195" s="21" t="e">
        <f>((N195*16%)+N195)+H195+L195</f>
        <v>#VALUE!</v>
      </c>
      <c r="P195" s="21" t="e">
        <f>(((J195-O195)-H195)/1.16)+H195</f>
        <v>#VALUE!</v>
      </c>
      <c r="Q195" s="44"/>
      <c r="R195" s="24"/>
      <c r="S195" s="23" t="e">
        <f t="shared" si="6"/>
        <v>#DIV/0!</v>
      </c>
      <c r="T195" s="23" t="e">
        <f t="shared" si="7"/>
        <v>#DIV/0!</v>
      </c>
      <c r="U195" s="22" t="e">
        <f t="shared" si="8"/>
        <v>#DIV/0!</v>
      </c>
      <c r="V195" s="44"/>
      <c r="W195" s="44"/>
      <c r="X195" s="44"/>
      <c r="Y195" s="44"/>
      <c r="Z195" s="44"/>
    </row>
    <row r="196" spans="1:26" ht="15.75" customHeight="1">
      <c r="A196" s="44"/>
      <c r="B196" s="14"/>
      <c r="C196" s="53"/>
      <c r="D196" s="15"/>
      <c r="E196" s="89"/>
      <c r="F196" s="16"/>
      <c r="G196" s="16"/>
      <c r="H196" s="90" t="str">
        <f>IF(G196="Regular",Listas!$K$16,IF(G196="Premium",Listas!$K$17,IF(G196="Diesel",Listas!$K$18,"-")))</f>
        <v>-</v>
      </c>
      <c r="I196" s="17"/>
      <c r="J196" s="18"/>
      <c r="K196" s="19" t="str">
        <f>+IFERROR(IF(G196="Regular",VLOOKUP(C196,'PRECIO TERMINAL PEMEX'!$B$4:$E$35,2,0),IF(G196="Premium",VLOOKUP(C196,'PRECIO TERMINAL PEMEX'!$B$4:$E$35,3,0),IF(G196="Diesel",VLOOKUP(C196,'PRECIO TERMINAL PEMEX'!$B$4:$E$35,4,0),"Seleccione Producto"))),"-")</f>
        <v>Seleccione Producto</v>
      </c>
      <c r="L196" s="93" t="str">
        <f>+IFERROR(IF(F196="VHSA",VLOOKUP(B196,Listas!$C$4:$F$17,2,0),IF(F196="DOS BOCAS",VLOOKUP(B196,Listas!$C$4:$F$17,3,0),IF(F196="GLENCORE",VLOOKUP(B196,Listas!$C$4:$F$17,4,0),"Seleccione TAR"))),"-")</f>
        <v>Seleccione TAR</v>
      </c>
      <c r="M196" s="19" t="str">
        <f>+IFERROR(IF(G196="Regular",VLOOKUP(C196,'DESCUENTO PROVEEDORES'!$B$4:$E$35,2,0),IF(G196="Premium",VLOOKUP(C196,'DESCUENTO PROVEEDORES'!$B$4:$E$35,3,0),IF(G196="Diesel",VLOOKUP(C196,'DESCUENTO PROVEEDORES'!$B$4:$E$35,4,0),"Seleccione Proveedor"))),"-")</f>
        <v>Seleccione Proveedor</v>
      </c>
      <c r="N196" s="20" t="e">
        <f>((((K196-H196)/1.16)-M196))</f>
        <v>#VALUE!</v>
      </c>
      <c r="O196" s="21" t="e">
        <f>((N196*16%)+N196)+H196+L196</f>
        <v>#VALUE!</v>
      </c>
      <c r="P196" s="21" t="e">
        <f>(((J196-O196)-H196)/1.16)+H196</f>
        <v>#VALUE!</v>
      </c>
      <c r="Q196" s="44"/>
      <c r="R196" s="24"/>
      <c r="S196" s="23" t="e">
        <f t="shared" si="6"/>
        <v>#DIV/0!</v>
      </c>
      <c r="T196" s="23" t="e">
        <f t="shared" si="7"/>
        <v>#DIV/0!</v>
      </c>
      <c r="U196" s="22" t="e">
        <f t="shared" si="8"/>
        <v>#DIV/0!</v>
      </c>
      <c r="V196" s="44"/>
      <c r="W196" s="44"/>
      <c r="X196" s="44"/>
      <c r="Y196" s="44"/>
      <c r="Z196" s="44"/>
    </row>
    <row r="197" spans="1:26" ht="15.75" customHeight="1">
      <c r="A197" s="44"/>
      <c r="B197" s="14"/>
      <c r="C197" s="53"/>
      <c r="D197" s="15"/>
      <c r="E197" s="89"/>
      <c r="F197" s="16"/>
      <c r="G197" s="16"/>
      <c r="H197" s="90" t="str">
        <f>IF(G197="Regular",Listas!$K$16,IF(G197="Premium",Listas!$K$17,IF(G197="Diesel",Listas!$K$18,"-")))</f>
        <v>-</v>
      </c>
      <c r="I197" s="17"/>
      <c r="J197" s="18"/>
      <c r="K197" s="19" t="str">
        <f>+IFERROR(IF(G197="Regular",VLOOKUP(C197,'PRECIO TERMINAL PEMEX'!$B$4:$E$35,2,0),IF(G197="Premium",VLOOKUP(C197,'PRECIO TERMINAL PEMEX'!$B$4:$E$35,3,0),IF(G197="Diesel",VLOOKUP(C197,'PRECIO TERMINAL PEMEX'!$B$4:$E$35,4,0),"Seleccione Producto"))),"-")</f>
        <v>Seleccione Producto</v>
      </c>
      <c r="L197" s="93" t="str">
        <f>+IFERROR(IF(F197="VHSA",VLOOKUP(B197,Listas!$C$4:$F$17,2,0),IF(F197="DOS BOCAS",VLOOKUP(B197,Listas!$C$4:$F$17,3,0),IF(F197="GLENCORE",VLOOKUP(B197,Listas!$C$4:$F$17,4,0),"Seleccione TAR"))),"-")</f>
        <v>Seleccione TAR</v>
      </c>
      <c r="M197" s="19" t="str">
        <f>+IFERROR(IF(G197="Regular",VLOOKUP(C197,'DESCUENTO PROVEEDORES'!$B$4:$E$35,2,0),IF(G197="Premium",VLOOKUP(C197,'DESCUENTO PROVEEDORES'!$B$4:$E$35,3,0),IF(G197="Diesel",VLOOKUP(C197,'DESCUENTO PROVEEDORES'!$B$4:$E$35,4,0),"Seleccione Proveedor"))),"-")</f>
        <v>Seleccione Proveedor</v>
      </c>
      <c r="N197" s="20" t="e">
        <f>((((K197-H197)/1.16)-M197))</f>
        <v>#VALUE!</v>
      </c>
      <c r="O197" s="21" t="e">
        <f>((N197*16%)+N197)+H197+L197</f>
        <v>#VALUE!</v>
      </c>
      <c r="P197" s="21" t="e">
        <f>(((J197-O197)-H197)/1.16)+H197</f>
        <v>#VALUE!</v>
      </c>
      <c r="Q197" s="44"/>
      <c r="R197" s="24"/>
      <c r="S197" s="23" t="e">
        <f t="shared" ref="S197:S260" si="9">R197/I197</f>
        <v>#DIV/0!</v>
      </c>
      <c r="T197" s="23" t="e">
        <f t="shared" ref="T197:T260" si="10">(J197-S197)/1.16</f>
        <v>#DIV/0!</v>
      </c>
      <c r="U197" s="22" t="e">
        <f t="shared" ref="U197:U260" si="11">+T197-P197</f>
        <v>#DIV/0!</v>
      </c>
      <c r="V197" s="44"/>
      <c r="W197" s="44"/>
      <c r="X197" s="44"/>
      <c r="Y197" s="44"/>
      <c r="Z197" s="44"/>
    </row>
    <row r="198" spans="1:26" ht="15.75" customHeight="1">
      <c r="A198" s="44"/>
      <c r="B198" s="14"/>
      <c r="C198" s="53"/>
      <c r="D198" s="15"/>
      <c r="E198" s="89"/>
      <c r="F198" s="16"/>
      <c r="G198" s="16"/>
      <c r="H198" s="90" t="str">
        <f>IF(G198="Regular",Listas!$K$16,IF(G198="Premium",Listas!$K$17,IF(G198="Diesel",Listas!$K$18,"-")))</f>
        <v>-</v>
      </c>
      <c r="I198" s="17"/>
      <c r="J198" s="18"/>
      <c r="K198" s="19" t="str">
        <f>+IFERROR(IF(G198="Regular",VLOOKUP(C198,'PRECIO TERMINAL PEMEX'!$B$4:$E$35,2,0),IF(G198="Premium",VLOOKUP(C198,'PRECIO TERMINAL PEMEX'!$B$4:$E$35,3,0),IF(G198="Diesel",VLOOKUP(C198,'PRECIO TERMINAL PEMEX'!$B$4:$E$35,4,0),"Seleccione Producto"))),"-")</f>
        <v>Seleccione Producto</v>
      </c>
      <c r="L198" s="93" t="str">
        <f>+IFERROR(IF(F198="VHSA",VLOOKUP(B198,Listas!$C$4:$F$17,2,0),IF(F198="DOS BOCAS",VLOOKUP(B198,Listas!$C$4:$F$17,3,0),IF(F198="GLENCORE",VLOOKUP(B198,Listas!$C$4:$F$17,4,0),"Seleccione TAR"))),"-")</f>
        <v>Seleccione TAR</v>
      </c>
      <c r="M198" s="19" t="str">
        <f>+IFERROR(IF(G198="Regular",VLOOKUP(C198,'DESCUENTO PROVEEDORES'!$B$4:$E$35,2,0),IF(G198="Premium",VLOOKUP(C198,'DESCUENTO PROVEEDORES'!$B$4:$E$35,3,0),IF(G198="Diesel",VLOOKUP(C198,'DESCUENTO PROVEEDORES'!$B$4:$E$35,4,0),"Seleccione Proveedor"))),"-")</f>
        <v>Seleccione Proveedor</v>
      </c>
      <c r="N198" s="20" t="e">
        <f>((((K198-H198)/1.16)-M198))</f>
        <v>#VALUE!</v>
      </c>
      <c r="O198" s="21" t="e">
        <f>((N198*16%)+N198)+H198+L198</f>
        <v>#VALUE!</v>
      </c>
      <c r="P198" s="21" t="e">
        <f>(((J198-O198)-H198)/1.16)+H198</f>
        <v>#VALUE!</v>
      </c>
      <c r="Q198" s="44"/>
      <c r="R198" s="24"/>
      <c r="S198" s="23" t="e">
        <f t="shared" si="9"/>
        <v>#DIV/0!</v>
      </c>
      <c r="T198" s="23" t="e">
        <f t="shared" si="10"/>
        <v>#DIV/0!</v>
      </c>
      <c r="U198" s="22" t="e">
        <f t="shared" si="11"/>
        <v>#DIV/0!</v>
      </c>
      <c r="V198" s="44"/>
      <c r="W198" s="44"/>
      <c r="X198" s="44"/>
      <c r="Y198" s="44"/>
      <c r="Z198" s="44"/>
    </row>
    <row r="199" spans="1:26" ht="15.75" customHeight="1">
      <c r="A199" s="44"/>
      <c r="B199" s="14"/>
      <c r="C199" s="53"/>
      <c r="D199" s="15"/>
      <c r="E199" s="89"/>
      <c r="F199" s="16"/>
      <c r="G199" s="16"/>
      <c r="H199" s="90" t="str">
        <f>IF(G199="Regular",Listas!$K$16,IF(G199="Premium",Listas!$K$17,IF(G199="Diesel",Listas!$K$18,"-")))</f>
        <v>-</v>
      </c>
      <c r="I199" s="17"/>
      <c r="J199" s="18"/>
      <c r="K199" s="19" t="str">
        <f>+IFERROR(IF(G199="Regular",VLOOKUP(C199,'PRECIO TERMINAL PEMEX'!$B$4:$E$35,2,0),IF(G199="Premium",VLOOKUP(C199,'PRECIO TERMINAL PEMEX'!$B$4:$E$35,3,0),IF(G199="Diesel",VLOOKUP(C199,'PRECIO TERMINAL PEMEX'!$B$4:$E$35,4,0),"Seleccione Producto"))),"-")</f>
        <v>Seleccione Producto</v>
      </c>
      <c r="L199" s="93" t="str">
        <f>+IFERROR(IF(F199="VHSA",VLOOKUP(B199,Listas!$C$4:$F$17,2,0),IF(F199="DOS BOCAS",VLOOKUP(B199,Listas!$C$4:$F$17,3,0),IF(F199="GLENCORE",VLOOKUP(B199,Listas!$C$4:$F$17,4,0),"Seleccione TAR"))),"-")</f>
        <v>Seleccione TAR</v>
      </c>
      <c r="M199" s="19" t="str">
        <f>+IFERROR(IF(G199="Regular",VLOOKUP(C199,'DESCUENTO PROVEEDORES'!$B$4:$E$35,2,0),IF(G199="Premium",VLOOKUP(C199,'DESCUENTO PROVEEDORES'!$B$4:$E$35,3,0),IF(G199="Diesel",VLOOKUP(C199,'DESCUENTO PROVEEDORES'!$B$4:$E$35,4,0),"Seleccione Proveedor"))),"-")</f>
        <v>Seleccione Proveedor</v>
      </c>
      <c r="N199" s="20" t="e">
        <f>((((K199-H199)/1.16)-M199))</f>
        <v>#VALUE!</v>
      </c>
      <c r="O199" s="21" t="e">
        <f>((N199*16%)+N199)+H199+L199</f>
        <v>#VALUE!</v>
      </c>
      <c r="P199" s="21" t="e">
        <f>(((J199-O199)-H199)/1.16)+H199</f>
        <v>#VALUE!</v>
      </c>
      <c r="Q199" s="44"/>
      <c r="R199" s="24"/>
      <c r="S199" s="23" t="e">
        <f t="shared" si="9"/>
        <v>#DIV/0!</v>
      </c>
      <c r="T199" s="23" t="e">
        <f t="shared" si="10"/>
        <v>#DIV/0!</v>
      </c>
      <c r="U199" s="22" t="e">
        <f t="shared" si="11"/>
        <v>#DIV/0!</v>
      </c>
      <c r="V199" s="44"/>
      <c r="W199" s="44"/>
      <c r="X199" s="44"/>
      <c r="Y199" s="44"/>
      <c r="Z199" s="44"/>
    </row>
    <row r="200" spans="1:26" ht="15.75" customHeight="1">
      <c r="A200" s="44" t="s">
        <v>85</v>
      </c>
      <c r="B200" s="14"/>
      <c r="C200" s="53"/>
      <c r="D200" s="15"/>
      <c r="E200" s="89"/>
      <c r="F200" s="16"/>
      <c r="G200" s="16"/>
      <c r="H200" s="90" t="str">
        <f>IF(G200="Regular",Listas!$K$16,IF(G200="Premium",Listas!$K$17,IF(G200="Diesel",Listas!$K$18,"-")))</f>
        <v>-</v>
      </c>
      <c r="I200" s="17"/>
      <c r="J200" s="18"/>
      <c r="K200" s="19" t="str">
        <f>+IFERROR(IF(G200="Regular",VLOOKUP(C200,'PRECIO TERMINAL PEMEX'!$B$4:$E$35,2,0),IF(G200="Premium",VLOOKUP(C200,'PRECIO TERMINAL PEMEX'!$B$4:$E$35,3,0),IF(G200="Diesel",VLOOKUP(C200,'PRECIO TERMINAL PEMEX'!$B$4:$E$35,4,0),"Seleccione Producto"))),"-")</f>
        <v>Seleccione Producto</v>
      </c>
      <c r="L200" s="93" t="str">
        <f>+IFERROR(IF(F200="VHSA",VLOOKUP(B200,Listas!$C$4:$F$17,2,0),IF(F200="DOS BOCAS",VLOOKUP(B200,Listas!$C$4:$F$17,3,0),IF(F200="GLENCORE",VLOOKUP(B200,Listas!$C$4:$F$17,4,0),"Seleccione TAR"))),"-")</f>
        <v>Seleccione TAR</v>
      </c>
      <c r="M200" s="19" t="str">
        <f>+IFERROR(IF(G200="Regular",VLOOKUP(C200,'DESCUENTO PROVEEDORES'!$B$4:$E$35,2,0),IF(G200="Premium",VLOOKUP(C200,'DESCUENTO PROVEEDORES'!$B$4:$E$35,3,0),IF(G200="Diesel",VLOOKUP(C200,'DESCUENTO PROVEEDORES'!$B$4:$E$35,4,0),"Seleccione Proveedor"))),"-")</f>
        <v>Seleccione Proveedor</v>
      </c>
      <c r="N200" s="20" t="e">
        <f>((((K200-H200)/1.16)-M200))</f>
        <v>#VALUE!</v>
      </c>
      <c r="O200" s="21" t="e">
        <f>((N200*16%)+N200)+H200+L200</f>
        <v>#VALUE!</v>
      </c>
      <c r="P200" s="21" t="e">
        <f>(((J200-O200)-H200)/1.16)+H200</f>
        <v>#VALUE!</v>
      </c>
      <c r="Q200" s="44"/>
      <c r="R200" s="24"/>
      <c r="S200" s="23" t="e">
        <f t="shared" si="9"/>
        <v>#DIV/0!</v>
      </c>
      <c r="T200" s="23" t="e">
        <f t="shared" si="10"/>
        <v>#DIV/0!</v>
      </c>
      <c r="U200" s="22" t="e">
        <f t="shared" si="11"/>
        <v>#DIV/0!</v>
      </c>
      <c r="V200" s="44"/>
      <c r="W200" s="44"/>
      <c r="X200" s="44"/>
      <c r="Y200" s="44"/>
      <c r="Z200" s="44"/>
    </row>
    <row r="201" spans="1:26" ht="15.75" customHeight="1">
      <c r="A201" s="44"/>
      <c r="B201" s="14"/>
      <c r="C201" s="53"/>
      <c r="D201" s="15"/>
      <c r="E201" s="89"/>
      <c r="F201" s="16"/>
      <c r="G201" s="16"/>
      <c r="H201" s="90" t="str">
        <f>IF(G201="Regular",Listas!$K$16,IF(G201="Premium",Listas!$K$17,IF(G201="Diesel",Listas!$K$18,"-")))</f>
        <v>-</v>
      </c>
      <c r="I201" s="17"/>
      <c r="J201" s="18"/>
      <c r="K201" s="19" t="str">
        <f>+IFERROR(IF(G201="Regular",VLOOKUP(C201,'PRECIO TERMINAL PEMEX'!$B$4:$E$35,2,0),IF(G201="Premium",VLOOKUP(C201,'PRECIO TERMINAL PEMEX'!$B$4:$E$35,3,0),IF(G201="Diesel",VLOOKUP(C201,'PRECIO TERMINAL PEMEX'!$B$4:$E$35,4,0),"Seleccione Producto"))),"-")</f>
        <v>Seleccione Producto</v>
      </c>
      <c r="L201" s="93" t="str">
        <f>+IFERROR(IF(F201="VHSA",VLOOKUP(B201,Listas!$C$4:$F$17,2,0),IF(F201="DOS BOCAS",VLOOKUP(B201,Listas!$C$4:$F$17,3,0),IF(F201="GLENCORE",VLOOKUP(B201,Listas!$C$4:$F$17,4,0),"Seleccione TAR"))),"-")</f>
        <v>Seleccione TAR</v>
      </c>
      <c r="M201" s="19" t="str">
        <f>+IFERROR(IF(G201="Regular",VLOOKUP(C201,'DESCUENTO PROVEEDORES'!$B$4:$E$35,2,0),IF(G201="Premium",VLOOKUP(C201,'DESCUENTO PROVEEDORES'!$B$4:$E$35,3,0),IF(G201="Diesel",VLOOKUP(C201,'DESCUENTO PROVEEDORES'!$B$4:$E$35,4,0),"Seleccione Proveedor"))),"-")</f>
        <v>Seleccione Proveedor</v>
      </c>
      <c r="N201" s="20" t="e">
        <f>((((K201-H201)/1.16)-M201))</f>
        <v>#VALUE!</v>
      </c>
      <c r="O201" s="21" t="e">
        <f>((N201*16%)+N201)+H201+L201</f>
        <v>#VALUE!</v>
      </c>
      <c r="P201" s="21" t="e">
        <f>(((J201-O201)-H201)/1.16)+H201</f>
        <v>#VALUE!</v>
      </c>
      <c r="Q201" s="44"/>
      <c r="R201" s="24"/>
      <c r="S201" s="23" t="e">
        <f t="shared" si="9"/>
        <v>#DIV/0!</v>
      </c>
      <c r="T201" s="23" t="e">
        <f t="shared" si="10"/>
        <v>#DIV/0!</v>
      </c>
      <c r="U201" s="22" t="e">
        <f t="shared" si="11"/>
        <v>#DIV/0!</v>
      </c>
      <c r="V201" s="44"/>
      <c r="W201" s="44"/>
      <c r="X201" s="44"/>
      <c r="Y201" s="44"/>
      <c r="Z201" s="44"/>
    </row>
    <row r="202" spans="1:26" ht="15.75" customHeight="1">
      <c r="A202" s="44"/>
      <c r="B202" s="14"/>
      <c r="C202" s="53"/>
      <c r="D202" s="15"/>
      <c r="E202" s="89"/>
      <c r="F202" s="16"/>
      <c r="G202" s="16"/>
      <c r="H202" s="90" t="str">
        <f>IF(G202="Regular",Listas!$K$16,IF(G202="Premium",Listas!$K$17,IF(G202="Diesel",Listas!$K$18,"-")))</f>
        <v>-</v>
      </c>
      <c r="I202" s="17"/>
      <c r="J202" s="18"/>
      <c r="K202" s="19" t="str">
        <f>+IFERROR(IF(G202="Regular",VLOOKUP(C202,'PRECIO TERMINAL PEMEX'!$B$4:$E$35,2,0),IF(G202="Premium",VLOOKUP(C202,'PRECIO TERMINAL PEMEX'!$B$4:$E$35,3,0),IF(G202="Diesel",VLOOKUP(C202,'PRECIO TERMINAL PEMEX'!$B$4:$E$35,4,0),"Seleccione Producto"))),"-")</f>
        <v>Seleccione Producto</v>
      </c>
      <c r="L202" s="93" t="str">
        <f>+IFERROR(IF(F202="VHSA",VLOOKUP(B202,Listas!$C$4:$F$17,2,0),IF(F202="DOS BOCAS",VLOOKUP(B202,Listas!$C$4:$F$17,3,0),IF(F202="GLENCORE",VLOOKUP(B202,Listas!$C$4:$F$17,4,0),"Seleccione TAR"))),"-")</f>
        <v>Seleccione TAR</v>
      </c>
      <c r="M202" s="19" t="str">
        <f>+IFERROR(IF(G202="Regular",VLOOKUP(C202,'DESCUENTO PROVEEDORES'!$B$4:$E$35,2,0),IF(G202="Premium",VLOOKUP(C202,'DESCUENTO PROVEEDORES'!$B$4:$E$35,3,0),IF(G202="Diesel",VLOOKUP(C202,'DESCUENTO PROVEEDORES'!$B$4:$E$35,4,0),"Seleccione Proveedor"))),"-")</f>
        <v>Seleccione Proveedor</v>
      </c>
      <c r="N202" s="20" t="e">
        <f>((((K202-H202)/1.16)-M202))</f>
        <v>#VALUE!</v>
      </c>
      <c r="O202" s="21" t="e">
        <f>((N202*16%)+N202)+H202+L202</f>
        <v>#VALUE!</v>
      </c>
      <c r="P202" s="21" t="e">
        <f>(((J202-O202)-H202)/1.16)+H202</f>
        <v>#VALUE!</v>
      </c>
      <c r="Q202" s="44"/>
      <c r="R202" s="24"/>
      <c r="S202" s="23" t="e">
        <f t="shared" si="9"/>
        <v>#DIV/0!</v>
      </c>
      <c r="T202" s="23" t="e">
        <f t="shared" si="10"/>
        <v>#DIV/0!</v>
      </c>
      <c r="U202" s="22" t="e">
        <f t="shared" si="11"/>
        <v>#DIV/0!</v>
      </c>
      <c r="V202" s="44"/>
      <c r="W202" s="44"/>
      <c r="X202" s="44"/>
      <c r="Y202" s="44"/>
      <c r="Z202" s="44"/>
    </row>
    <row r="203" spans="1:26" ht="15.75" customHeight="1">
      <c r="A203" s="44"/>
      <c r="B203" s="14"/>
      <c r="C203" s="53"/>
      <c r="D203" s="15"/>
      <c r="E203" s="89"/>
      <c r="F203" s="16"/>
      <c r="G203" s="16"/>
      <c r="H203" s="90" t="str">
        <f>IF(G203="Regular",Listas!$K$16,IF(G203="Premium",Listas!$K$17,IF(G203="Diesel",Listas!$K$18,"-")))</f>
        <v>-</v>
      </c>
      <c r="I203" s="17"/>
      <c r="J203" s="18"/>
      <c r="K203" s="19" t="str">
        <f>+IFERROR(IF(G203="Regular",VLOOKUP(C203,'PRECIO TERMINAL PEMEX'!$B$4:$E$35,2,0),IF(G203="Premium",VLOOKUP(C203,'PRECIO TERMINAL PEMEX'!$B$4:$E$35,3,0),IF(G203="Diesel",VLOOKUP(C203,'PRECIO TERMINAL PEMEX'!$B$4:$E$35,4,0),"Seleccione Producto"))),"-")</f>
        <v>Seleccione Producto</v>
      </c>
      <c r="L203" s="93" t="str">
        <f>+IFERROR(IF(F203="VHSA",VLOOKUP(B203,Listas!$C$4:$F$17,2,0),IF(F203="DOS BOCAS",VLOOKUP(B203,Listas!$C$4:$F$17,3,0),IF(F203="GLENCORE",VLOOKUP(B203,Listas!$C$4:$F$17,4,0),"Seleccione TAR"))),"-")</f>
        <v>Seleccione TAR</v>
      </c>
      <c r="M203" s="19" t="str">
        <f>+IFERROR(IF(G203="Regular",VLOOKUP(C203,'DESCUENTO PROVEEDORES'!$B$4:$E$35,2,0),IF(G203="Premium",VLOOKUP(C203,'DESCUENTO PROVEEDORES'!$B$4:$E$35,3,0),IF(G203="Diesel",VLOOKUP(C203,'DESCUENTO PROVEEDORES'!$B$4:$E$35,4,0),"Seleccione Proveedor"))),"-")</f>
        <v>Seleccione Proveedor</v>
      </c>
      <c r="N203" s="20" t="e">
        <f>((((K203-H203)/1.16)-M203))</f>
        <v>#VALUE!</v>
      </c>
      <c r="O203" s="21" t="e">
        <f>((N203*16%)+N203)+H203+L203</f>
        <v>#VALUE!</v>
      </c>
      <c r="P203" s="21" t="e">
        <f>(((J203-O203)-H203)/1.16)+H203</f>
        <v>#VALUE!</v>
      </c>
      <c r="Q203" s="44"/>
      <c r="R203" s="24"/>
      <c r="S203" s="23" t="e">
        <f t="shared" si="9"/>
        <v>#DIV/0!</v>
      </c>
      <c r="T203" s="23" t="e">
        <f t="shared" si="10"/>
        <v>#DIV/0!</v>
      </c>
      <c r="U203" s="22" t="e">
        <f t="shared" si="11"/>
        <v>#DIV/0!</v>
      </c>
      <c r="V203" s="44"/>
      <c r="W203" s="44"/>
      <c r="X203" s="44"/>
      <c r="Y203" s="44"/>
      <c r="Z203" s="44"/>
    </row>
    <row r="204" spans="1:26" ht="15.75" customHeight="1">
      <c r="A204" s="44"/>
      <c r="B204" s="14"/>
      <c r="C204" s="53"/>
      <c r="D204" s="15"/>
      <c r="E204" s="89"/>
      <c r="F204" s="16"/>
      <c r="G204" s="16"/>
      <c r="H204" s="90" t="str">
        <f>IF(G204="Regular",Listas!$K$16,IF(G204="Premium",Listas!$K$17,IF(G204="Diesel",Listas!$K$18,"-")))</f>
        <v>-</v>
      </c>
      <c r="I204" s="17"/>
      <c r="J204" s="18"/>
      <c r="K204" s="19" t="str">
        <f>+IFERROR(IF(G204="Regular",VLOOKUP(C204,'PRECIO TERMINAL PEMEX'!$B$4:$E$35,2,0),IF(G204="Premium",VLOOKUP(C204,'PRECIO TERMINAL PEMEX'!$B$4:$E$35,3,0),IF(G204="Diesel",VLOOKUP(C204,'PRECIO TERMINAL PEMEX'!$B$4:$E$35,4,0),"Seleccione Producto"))),"-")</f>
        <v>Seleccione Producto</v>
      </c>
      <c r="L204" s="93" t="str">
        <f>+IFERROR(IF(F204="VHSA",VLOOKUP(B204,Listas!$C$4:$F$17,2,0),IF(F204="DOS BOCAS",VLOOKUP(B204,Listas!$C$4:$F$17,3,0),IF(F204="GLENCORE",VLOOKUP(B204,Listas!$C$4:$F$17,4,0),"Seleccione TAR"))),"-")</f>
        <v>Seleccione TAR</v>
      </c>
      <c r="M204" s="19" t="str">
        <f>+IFERROR(IF(G204="Regular",VLOOKUP(C204,'DESCUENTO PROVEEDORES'!$B$4:$E$35,2,0),IF(G204="Premium",VLOOKUP(C204,'DESCUENTO PROVEEDORES'!$B$4:$E$35,3,0),IF(G204="Diesel",VLOOKUP(C204,'DESCUENTO PROVEEDORES'!$B$4:$E$35,4,0),"Seleccione Proveedor"))),"-")</f>
        <v>Seleccione Proveedor</v>
      </c>
      <c r="N204" s="20" t="e">
        <f>((((K204-H204)/1.16)-M204))</f>
        <v>#VALUE!</v>
      </c>
      <c r="O204" s="21" t="e">
        <f>((N204*16%)+N204)+H204+L204</f>
        <v>#VALUE!</v>
      </c>
      <c r="P204" s="21" t="e">
        <f>(((J204-O204)-H204)/1.16)+H204</f>
        <v>#VALUE!</v>
      </c>
      <c r="Q204" s="44"/>
      <c r="R204" s="24"/>
      <c r="S204" s="23" t="e">
        <f t="shared" si="9"/>
        <v>#DIV/0!</v>
      </c>
      <c r="T204" s="23" t="e">
        <f t="shared" si="10"/>
        <v>#DIV/0!</v>
      </c>
      <c r="U204" s="22" t="e">
        <f t="shared" si="11"/>
        <v>#DIV/0!</v>
      </c>
      <c r="V204" s="44"/>
      <c r="W204" s="44"/>
      <c r="X204" s="44"/>
      <c r="Y204" s="44"/>
      <c r="Z204" s="44"/>
    </row>
    <row r="205" spans="1:26" ht="15.75" customHeight="1">
      <c r="A205" s="44"/>
      <c r="B205" s="14"/>
      <c r="C205" s="53"/>
      <c r="D205" s="15"/>
      <c r="E205" s="89"/>
      <c r="F205" s="16"/>
      <c r="G205" s="16"/>
      <c r="H205" s="90" t="str">
        <f>IF(G205="Regular",Listas!$K$16,IF(G205="Premium",Listas!$K$17,IF(G205="Diesel",Listas!$K$18,"-")))</f>
        <v>-</v>
      </c>
      <c r="I205" s="17"/>
      <c r="J205" s="18"/>
      <c r="K205" s="19" t="str">
        <f>+IFERROR(IF(G205="Regular",VLOOKUP(C205,'PRECIO TERMINAL PEMEX'!$B$4:$E$35,2,0),IF(G205="Premium",VLOOKUP(C205,'PRECIO TERMINAL PEMEX'!$B$4:$E$35,3,0),IF(G205="Diesel",VLOOKUP(C205,'PRECIO TERMINAL PEMEX'!$B$4:$E$35,4,0),"Seleccione Producto"))),"-")</f>
        <v>Seleccione Producto</v>
      </c>
      <c r="L205" s="93" t="str">
        <f>+IFERROR(IF(F205="VHSA",VLOOKUP(B205,Listas!$C$4:$F$17,2,0),IF(F205="DOS BOCAS",VLOOKUP(B205,Listas!$C$4:$F$17,3,0),IF(F205="GLENCORE",VLOOKUP(B205,Listas!$C$4:$F$17,4,0),"Seleccione TAR"))),"-")</f>
        <v>Seleccione TAR</v>
      </c>
      <c r="M205" s="19" t="str">
        <f>+IFERROR(IF(G205="Regular",VLOOKUP(C205,'DESCUENTO PROVEEDORES'!$B$4:$E$35,2,0),IF(G205="Premium",VLOOKUP(C205,'DESCUENTO PROVEEDORES'!$B$4:$E$35,3,0),IF(G205="Diesel",VLOOKUP(C205,'DESCUENTO PROVEEDORES'!$B$4:$E$35,4,0),"Seleccione Proveedor"))),"-")</f>
        <v>Seleccione Proveedor</v>
      </c>
      <c r="N205" s="20" t="e">
        <f>((((K205-H205)/1.16)-M205))</f>
        <v>#VALUE!</v>
      </c>
      <c r="O205" s="21" t="e">
        <f>((N205*16%)+N205)+H205+L205</f>
        <v>#VALUE!</v>
      </c>
      <c r="P205" s="21" t="e">
        <f>(((J205-O205)-H205)/1.16)+H205</f>
        <v>#VALUE!</v>
      </c>
      <c r="Q205" s="44"/>
      <c r="R205" s="24"/>
      <c r="S205" s="23" t="e">
        <f t="shared" si="9"/>
        <v>#DIV/0!</v>
      </c>
      <c r="T205" s="23" t="e">
        <f t="shared" si="10"/>
        <v>#DIV/0!</v>
      </c>
      <c r="U205" s="22" t="e">
        <f t="shared" si="11"/>
        <v>#DIV/0!</v>
      </c>
      <c r="V205" s="44"/>
      <c r="W205" s="44"/>
      <c r="X205" s="44"/>
      <c r="Y205" s="44"/>
      <c r="Z205" s="44"/>
    </row>
    <row r="206" spans="1:26" ht="15.75" customHeight="1">
      <c r="A206" s="44"/>
      <c r="B206" s="14"/>
      <c r="C206" s="53"/>
      <c r="D206" s="15"/>
      <c r="E206" s="89"/>
      <c r="F206" s="16"/>
      <c r="G206" s="16"/>
      <c r="H206" s="90" t="str">
        <f>IF(G206="Regular",Listas!$K$16,IF(G206="Premium",Listas!$K$17,IF(G206="Diesel",Listas!$K$18,"-")))</f>
        <v>-</v>
      </c>
      <c r="I206" s="17"/>
      <c r="J206" s="18"/>
      <c r="K206" s="19" t="str">
        <f>+IFERROR(IF(G206="Regular",VLOOKUP(C206,'PRECIO TERMINAL PEMEX'!$B$4:$E$35,2,0),IF(G206="Premium",VLOOKUP(C206,'PRECIO TERMINAL PEMEX'!$B$4:$E$35,3,0),IF(G206="Diesel",VLOOKUP(C206,'PRECIO TERMINAL PEMEX'!$B$4:$E$35,4,0),"Seleccione Producto"))),"-")</f>
        <v>Seleccione Producto</v>
      </c>
      <c r="L206" s="93" t="str">
        <f>+IFERROR(IF(F206="VHSA",VLOOKUP(B206,Listas!$C$4:$F$17,2,0),IF(F206="DOS BOCAS",VLOOKUP(B206,Listas!$C$4:$F$17,3,0),IF(F206="GLENCORE",VLOOKUP(B206,Listas!$C$4:$F$17,4,0),"Seleccione TAR"))),"-")</f>
        <v>Seleccione TAR</v>
      </c>
      <c r="M206" s="19" t="str">
        <f>+IFERROR(IF(G206="Regular",VLOOKUP(C206,'DESCUENTO PROVEEDORES'!$B$4:$E$35,2,0),IF(G206="Premium",VLOOKUP(C206,'DESCUENTO PROVEEDORES'!$B$4:$E$35,3,0),IF(G206="Diesel",VLOOKUP(C206,'DESCUENTO PROVEEDORES'!$B$4:$E$35,4,0),"Seleccione Proveedor"))),"-")</f>
        <v>Seleccione Proveedor</v>
      </c>
      <c r="N206" s="20" t="e">
        <f>((((K206-H206)/1.16)-M206))</f>
        <v>#VALUE!</v>
      </c>
      <c r="O206" s="21" t="e">
        <f>((N206*16%)+N206)+H206+L206</f>
        <v>#VALUE!</v>
      </c>
      <c r="P206" s="21" t="e">
        <f>(((J206-O206)-H206)/1.16)+H206</f>
        <v>#VALUE!</v>
      </c>
      <c r="Q206" s="44"/>
      <c r="R206" s="24"/>
      <c r="S206" s="23" t="e">
        <f t="shared" si="9"/>
        <v>#DIV/0!</v>
      </c>
      <c r="T206" s="23" t="e">
        <f t="shared" si="10"/>
        <v>#DIV/0!</v>
      </c>
      <c r="U206" s="22" t="e">
        <f t="shared" si="11"/>
        <v>#DIV/0!</v>
      </c>
      <c r="V206" s="44"/>
      <c r="W206" s="44"/>
      <c r="X206" s="44"/>
      <c r="Y206" s="44"/>
      <c r="Z206" s="44"/>
    </row>
    <row r="207" spans="1:26" ht="15.75" customHeight="1">
      <c r="A207" s="44"/>
      <c r="B207" s="14"/>
      <c r="C207" s="53"/>
      <c r="D207" s="15"/>
      <c r="E207" s="89"/>
      <c r="F207" s="16"/>
      <c r="G207" s="16"/>
      <c r="H207" s="90" t="str">
        <f>IF(G207="Regular",Listas!$K$16,IF(G207="Premium",Listas!$K$17,IF(G207="Diesel",Listas!$K$18,"-")))</f>
        <v>-</v>
      </c>
      <c r="I207" s="17"/>
      <c r="J207" s="18"/>
      <c r="K207" s="19" t="str">
        <f>+IFERROR(IF(G207="Regular",VLOOKUP(C207,'PRECIO TERMINAL PEMEX'!$B$4:$E$35,2,0),IF(G207="Premium",VLOOKUP(C207,'PRECIO TERMINAL PEMEX'!$B$4:$E$35,3,0),IF(G207="Diesel",VLOOKUP(C207,'PRECIO TERMINAL PEMEX'!$B$4:$E$35,4,0),"Seleccione Producto"))),"-")</f>
        <v>Seleccione Producto</v>
      </c>
      <c r="L207" s="93" t="str">
        <f>+IFERROR(IF(F207="VHSA",VLOOKUP(B207,Listas!$C$4:$F$17,2,0),IF(F207="DOS BOCAS",VLOOKUP(B207,Listas!$C$4:$F$17,3,0),IF(F207="GLENCORE",VLOOKUP(B207,Listas!$C$4:$F$17,4,0),"Seleccione TAR"))),"-")</f>
        <v>Seleccione TAR</v>
      </c>
      <c r="M207" s="19" t="str">
        <f>+IFERROR(IF(G207="Regular",VLOOKUP(C207,'DESCUENTO PROVEEDORES'!$B$4:$E$35,2,0),IF(G207="Premium",VLOOKUP(C207,'DESCUENTO PROVEEDORES'!$B$4:$E$35,3,0),IF(G207="Diesel",VLOOKUP(C207,'DESCUENTO PROVEEDORES'!$B$4:$E$35,4,0),"Seleccione Proveedor"))),"-")</f>
        <v>Seleccione Proveedor</v>
      </c>
      <c r="N207" s="20" t="e">
        <f>((((K207-H207)/1.16)-M207))</f>
        <v>#VALUE!</v>
      </c>
      <c r="O207" s="21" t="e">
        <f>((N207*16%)+N207)+H207+L207</f>
        <v>#VALUE!</v>
      </c>
      <c r="P207" s="21" t="e">
        <f>(((J207-O207)-H207)/1.16)+H207</f>
        <v>#VALUE!</v>
      </c>
      <c r="Q207" s="44"/>
      <c r="R207" s="24"/>
      <c r="S207" s="23" t="e">
        <f t="shared" si="9"/>
        <v>#DIV/0!</v>
      </c>
      <c r="T207" s="23" t="e">
        <f t="shared" si="10"/>
        <v>#DIV/0!</v>
      </c>
      <c r="U207" s="22" t="e">
        <f t="shared" si="11"/>
        <v>#DIV/0!</v>
      </c>
      <c r="V207" s="44"/>
      <c r="W207" s="44"/>
      <c r="X207" s="44"/>
      <c r="Y207" s="44"/>
      <c r="Z207" s="44"/>
    </row>
    <row r="208" spans="1:26" ht="15.75" customHeight="1">
      <c r="A208" s="44"/>
      <c r="B208" s="14"/>
      <c r="C208" s="53"/>
      <c r="D208" s="15"/>
      <c r="E208" s="89"/>
      <c r="F208" s="16"/>
      <c r="G208" s="16"/>
      <c r="H208" s="90" t="str">
        <f>IF(G208="Regular",Listas!$K$16,IF(G208="Premium",Listas!$K$17,IF(G208="Diesel",Listas!$K$18,"-")))</f>
        <v>-</v>
      </c>
      <c r="I208" s="17"/>
      <c r="J208" s="18"/>
      <c r="K208" s="19" t="str">
        <f>+IFERROR(IF(G208="Regular",VLOOKUP(C208,'PRECIO TERMINAL PEMEX'!$B$4:$E$35,2,0),IF(G208="Premium",VLOOKUP(C208,'PRECIO TERMINAL PEMEX'!$B$4:$E$35,3,0),IF(G208="Diesel",VLOOKUP(C208,'PRECIO TERMINAL PEMEX'!$B$4:$E$35,4,0),"Seleccione Producto"))),"-")</f>
        <v>Seleccione Producto</v>
      </c>
      <c r="L208" s="93" t="str">
        <f>+IFERROR(IF(F208="VHSA",VLOOKUP(B208,Listas!$C$4:$F$17,2,0),IF(F208="DOS BOCAS",VLOOKUP(B208,Listas!$C$4:$F$17,3,0),IF(F208="GLENCORE",VLOOKUP(B208,Listas!$C$4:$F$17,4,0),"Seleccione TAR"))),"-")</f>
        <v>Seleccione TAR</v>
      </c>
      <c r="M208" s="19" t="str">
        <f>+IFERROR(IF(G208="Regular",VLOOKUP(C208,'DESCUENTO PROVEEDORES'!$B$4:$E$35,2,0),IF(G208="Premium",VLOOKUP(C208,'DESCUENTO PROVEEDORES'!$B$4:$E$35,3,0),IF(G208="Diesel",VLOOKUP(C208,'DESCUENTO PROVEEDORES'!$B$4:$E$35,4,0),"Seleccione Proveedor"))),"-")</f>
        <v>Seleccione Proveedor</v>
      </c>
      <c r="N208" s="20" t="e">
        <f>((((K208-H208)/1.16)-M208))</f>
        <v>#VALUE!</v>
      </c>
      <c r="O208" s="21" t="e">
        <f>((N208*16%)+N208)+H208+L208</f>
        <v>#VALUE!</v>
      </c>
      <c r="P208" s="21" t="e">
        <f>(((J208-O208)-H208)/1.16)+H208</f>
        <v>#VALUE!</v>
      </c>
      <c r="Q208" s="44"/>
      <c r="R208" s="24"/>
      <c r="S208" s="23" t="e">
        <f t="shared" si="9"/>
        <v>#DIV/0!</v>
      </c>
      <c r="T208" s="23" t="e">
        <f t="shared" si="10"/>
        <v>#DIV/0!</v>
      </c>
      <c r="U208" s="22" t="e">
        <f t="shared" si="11"/>
        <v>#DIV/0!</v>
      </c>
      <c r="V208" s="44"/>
      <c r="W208" s="44"/>
      <c r="X208" s="44"/>
      <c r="Y208" s="44"/>
      <c r="Z208" s="44"/>
    </row>
    <row r="209" spans="1:26" ht="15.75" customHeight="1">
      <c r="A209" s="44"/>
      <c r="B209" s="14"/>
      <c r="C209" s="53"/>
      <c r="D209" s="15"/>
      <c r="E209" s="89"/>
      <c r="F209" s="16"/>
      <c r="G209" s="16"/>
      <c r="H209" s="90" t="str">
        <f>IF(G209="Regular",Listas!$K$16,IF(G209="Premium",Listas!$K$17,IF(G209="Diesel",Listas!$K$18,"-")))</f>
        <v>-</v>
      </c>
      <c r="I209" s="17"/>
      <c r="J209" s="18"/>
      <c r="K209" s="19" t="str">
        <f>+IFERROR(IF(G209="Regular",VLOOKUP(C209,'PRECIO TERMINAL PEMEX'!$B$4:$E$35,2,0),IF(G209="Premium",VLOOKUP(C209,'PRECIO TERMINAL PEMEX'!$B$4:$E$35,3,0),IF(G209="Diesel",VLOOKUP(C209,'PRECIO TERMINAL PEMEX'!$B$4:$E$35,4,0),"Seleccione Producto"))),"-")</f>
        <v>Seleccione Producto</v>
      </c>
      <c r="L209" s="93" t="str">
        <f>+IFERROR(IF(F209="VHSA",VLOOKUP(B209,Listas!$C$4:$F$17,2,0),IF(F209="DOS BOCAS",VLOOKUP(B209,Listas!$C$4:$F$17,3,0),IF(F209="GLENCORE",VLOOKUP(B209,Listas!$C$4:$F$17,4,0),"Seleccione TAR"))),"-")</f>
        <v>Seleccione TAR</v>
      </c>
      <c r="M209" s="19" t="str">
        <f>+IFERROR(IF(G209="Regular",VLOOKUP(C209,'DESCUENTO PROVEEDORES'!$B$4:$E$35,2,0),IF(G209="Premium",VLOOKUP(C209,'DESCUENTO PROVEEDORES'!$B$4:$E$35,3,0),IF(G209="Diesel",VLOOKUP(C209,'DESCUENTO PROVEEDORES'!$B$4:$E$35,4,0),"Seleccione Proveedor"))),"-")</f>
        <v>Seleccione Proveedor</v>
      </c>
      <c r="N209" s="20" t="e">
        <f>((((K209-H209)/1.16)-M209))</f>
        <v>#VALUE!</v>
      </c>
      <c r="O209" s="21" t="e">
        <f>((N209*16%)+N209)+H209+L209</f>
        <v>#VALUE!</v>
      </c>
      <c r="P209" s="21" t="e">
        <f>(((J209-O209)-H209)/1.16)+H209</f>
        <v>#VALUE!</v>
      </c>
      <c r="Q209" s="44"/>
      <c r="R209" s="24"/>
      <c r="S209" s="23" t="e">
        <f t="shared" si="9"/>
        <v>#DIV/0!</v>
      </c>
      <c r="T209" s="23" t="e">
        <f t="shared" si="10"/>
        <v>#DIV/0!</v>
      </c>
      <c r="U209" s="22" t="e">
        <f t="shared" si="11"/>
        <v>#DIV/0!</v>
      </c>
      <c r="V209" s="44"/>
      <c r="W209" s="44"/>
      <c r="X209" s="44"/>
      <c r="Y209" s="44"/>
      <c r="Z209" s="44"/>
    </row>
    <row r="210" spans="1:26" ht="15.75" customHeight="1">
      <c r="A210" s="44"/>
      <c r="B210" s="14"/>
      <c r="C210" s="53"/>
      <c r="D210" s="15"/>
      <c r="E210" s="89"/>
      <c r="F210" s="16"/>
      <c r="G210" s="16"/>
      <c r="H210" s="90" t="str">
        <f>IF(G210="Regular",Listas!$K$16,IF(G210="Premium",Listas!$K$17,IF(G210="Diesel",Listas!$K$18,"-")))</f>
        <v>-</v>
      </c>
      <c r="I210" s="17"/>
      <c r="J210" s="18"/>
      <c r="K210" s="19" t="str">
        <f>+IFERROR(IF(G210="Regular",VLOOKUP(C210,'PRECIO TERMINAL PEMEX'!$B$4:$E$35,2,0),IF(G210="Premium",VLOOKUP(C210,'PRECIO TERMINAL PEMEX'!$B$4:$E$35,3,0),IF(G210="Diesel",VLOOKUP(C210,'PRECIO TERMINAL PEMEX'!$B$4:$E$35,4,0),"Seleccione Producto"))),"-")</f>
        <v>Seleccione Producto</v>
      </c>
      <c r="L210" s="93" t="str">
        <f>+IFERROR(IF(F210="VHSA",VLOOKUP(B210,Listas!$C$4:$F$17,2,0),IF(F210="DOS BOCAS",VLOOKUP(B210,Listas!$C$4:$F$17,3,0),IF(F210="GLENCORE",VLOOKUP(B210,Listas!$C$4:$F$17,4,0),"Seleccione TAR"))),"-")</f>
        <v>Seleccione TAR</v>
      </c>
      <c r="M210" s="19" t="str">
        <f>+IFERROR(IF(G210="Regular",VLOOKUP(C210,'DESCUENTO PROVEEDORES'!$B$4:$E$35,2,0),IF(G210="Premium",VLOOKUP(C210,'DESCUENTO PROVEEDORES'!$B$4:$E$35,3,0),IF(G210="Diesel",VLOOKUP(C210,'DESCUENTO PROVEEDORES'!$B$4:$E$35,4,0),"Seleccione Proveedor"))),"-")</f>
        <v>Seleccione Proveedor</v>
      </c>
      <c r="N210" s="20" t="e">
        <f>((((K210-H210)/1.16)-M210))</f>
        <v>#VALUE!</v>
      </c>
      <c r="O210" s="21" t="e">
        <f>((N210*16%)+N210)+H210+L210</f>
        <v>#VALUE!</v>
      </c>
      <c r="P210" s="21" t="e">
        <f>(((J210-O210)-H210)/1.16)+H210</f>
        <v>#VALUE!</v>
      </c>
      <c r="Q210" s="44"/>
      <c r="R210" s="24"/>
      <c r="S210" s="23" t="e">
        <f t="shared" si="9"/>
        <v>#DIV/0!</v>
      </c>
      <c r="T210" s="23" t="e">
        <f t="shared" si="10"/>
        <v>#DIV/0!</v>
      </c>
      <c r="U210" s="22" t="e">
        <f t="shared" si="11"/>
        <v>#DIV/0!</v>
      </c>
      <c r="V210" s="44"/>
      <c r="W210" s="44"/>
      <c r="X210" s="44"/>
      <c r="Y210" s="44"/>
      <c r="Z210" s="44"/>
    </row>
    <row r="211" spans="1:26" ht="15.75" customHeight="1">
      <c r="A211" s="44"/>
      <c r="B211" s="14"/>
      <c r="C211" s="53"/>
      <c r="D211" s="15"/>
      <c r="E211" s="89"/>
      <c r="F211" s="16"/>
      <c r="G211" s="16"/>
      <c r="H211" s="90" t="str">
        <f>IF(G211="Regular",Listas!$K$16,IF(G211="Premium",Listas!$K$17,IF(G211="Diesel",Listas!$K$18,"-")))</f>
        <v>-</v>
      </c>
      <c r="I211" s="17"/>
      <c r="J211" s="18"/>
      <c r="K211" s="19" t="str">
        <f>+IFERROR(IF(G211="Regular",VLOOKUP(C211,'PRECIO TERMINAL PEMEX'!$B$4:$E$35,2,0),IF(G211="Premium",VLOOKUP(C211,'PRECIO TERMINAL PEMEX'!$B$4:$E$35,3,0),IF(G211="Diesel",VLOOKUP(C211,'PRECIO TERMINAL PEMEX'!$B$4:$E$35,4,0),"Seleccione Producto"))),"-")</f>
        <v>Seleccione Producto</v>
      </c>
      <c r="L211" s="93" t="str">
        <f>+IFERROR(IF(F211="VHSA",VLOOKUP(B211,Listas!$C$4:$F$17,2,0),IF(F211="DOS BOCAS",VLOOKUP(B211,Listas!$C$4:$F$17,3,0),IF(F211="GLENCORE",VLOOKUP(B211,Listas!$C$4:$F$17,4,0),"Seleccione TAR"))),"-")</f>
        <v>Seleccione TAR</v>
      </c>
      <c r="M211" s="19" t="str">
        <f>+IFERROR(IF(G211="Regular",VLOOKUP(C211,'DESCUENTO PROVEEDORES'!$B$4:$E$35,2,0),IF(G211="Premium",VLOOKUP(C211,'DESCUENTO PROVEEDORES'!$B$4:$E$35,3,0),IF(G211="Diesel",VLOOKUP(C211,'DESCUENTO PROVEEDORES'!$B$4:$E$35,4,0),"Seleccione Proveedor"))),"-")</f>
        <v>Seleccione Proveedor</v>
      </c>
      <c r="N211" s="20" t="e">
        <f>((((K211-H211)/1.16)-M211))</f>
        <v>#VALUE!</v>
      </c>
      <c r="O211" s="21" t="e">
        <f>((N211*16%)+N211)+H211+L211</f>
        <v>#VALUE!</v>
      </c>
      <c r="P211" s="21" t="e">
        <f>(((J211-O211)-H211)/1.16)+H211</f>
        <v>#VALUE!</v>
      </c>
      <c r="Q211" s="44"/>
      <c r="R211" s="24"/>
      <c r="S211" s="23" t="e">
        <f t="shared" si="9"/>
        <v>#DIV/0!</v>
      </c>
      <c r="T211" s="23" t="e">
        <f t="shared" si="10"/>
        <v>#DIV/0!</v>
      </c>
      <c r="U211" s="22" t="e">
        <f t="shared" si="11"/>
        <v>#DIV/0!</v>
      </c>
      <c r="V211" s="44"/>
      <c r="W211" s="44"/>
      <c r="X211" s="44"/>
      <c r="Y211" s="44"/>
      <c r="Z211" s="44"/>
    </row>
    <row r="212" spans="1:26" ht="15.75" customHeight="1">
      <c r="A212" s="44"/>
      <c r="B212" s="14"/>
      <c r="C212" s="53"/>
      <c r="D212" s="15"/>
      <c r="E212" s="89"/>
      <c r="F212" s="16"/>
      <c r="G212" s="16"/>
      <c r="H212" s="90" t="str">
        <f>IF(G212="Regular",Listas!$K$16,IF(G212="Premium",Listas!$K$17,IF(G212="Diesel",Listas!$K$18,"-")))</f>
        <v>-</v>
      </c>
      <c r="I212" s="17"/>
      <c r="J212" s="18"/>
      <c r="K212" s="19" t="str">
        <f>+IFERROR(IF(G212="Regular",VLOOKUP(C212,'PRECIO TERMINAL PEMEX'!$B$4:$E$35,2,0),IF(G212="Premium",VLOOKUP(C212,'PRECIO TERMINAL PEMEX'!$B$4:$E$35,3,0),IF(G212="Diesel",VLOOKUP(C212,'PRECIO TERMINAL PEMEX'!$B$4:$E$35,4,0),"Seleccione Producto"))),"-")</f>
        <v>Seleccione Producto</v>
      </c>
      <c r="L212" s="93" t="str">
        <f>+IFERROR(IF(F212="VHSA",VLOOKUP(B212,Listas!$C$4:$F$17,2,0),IF(F212="DOS BOCAS",VLOOKUP(B212,Listas!$C$4:$F$17,3,0),IF(F212="GLENCORE",VLOOKUP(B212,Listas!$C$4:$F$17,4,0),"Seleccione TAR"))),"-")</f>
        <v>Seleccione TAR</v>
      </c>
      <c r="M212" s="19" t="str">
        <f>+IFERROR(IF(G212="Regular",VLOOKUP(C212,'DESCUENTO PROVEEDORES'!$B$4:$E$35,2,0),IF(G212="Premium",VLOOKUP(C212,'DESCUENTO PROVEEDORES'!$B$4:$E$35,3,0),IF(G212="Diesel",VLOOKUP(C212,'DESCUENTO PROVEEDORES'!$B$4:$E$35,4,0),"Seleccione Proveedor"))),"-")</f>
        <v>Seleccione Proveedor</v>
      </c>
      <c r="N212" s="20" t="e">
        <f>((((K212-H212)/1.16)-M212))</f>
        <v>#VALUE!</v>
      </c>
      <c r="O212" s="21" t="e">
        <f>((N212*16%)+N212)+H212+L212</f>
        <v>#VALUE!</v>
      </c>
      <c r="P212" s="21" t="e">
        <f>(((J212-O212)-H212)/1.16)+H212</f>
        <v>#VALUE!</v>
      </c>
      <c r="Q212" s="44"/>
      <c r="R212" s="24"/>
      <c r="S212" s="23" t="e">
        <f t="shared" si="9"/>
        <v>#DIV/0!</v>
      </c>
      <c r="T212" s="23" t="e">
        <f t="shared" si="10"/>
        <v>#DIV/0!</v>
      </c>
      <c r="U212" s="22" t="e">
        <f t="shared" si="11"/>
        <v>#DIV/0!</v>
      </c>
      <c r="V212" s="44"/>
      <c r="W212" s="44"/>
      <c r="X212" s="44"/>
      <c r="Y212" s="44"/>
      <c r="Z212" s="44"/>
    </row>
    <row r="213" spans="1:26" ht="15.75" customHeight="1">
      <c r="A213" s="44"/>
      <c r="B213" s="14"/>
      <c r="C213" s="53"/>
      <c r="D213" s="15"/>
      <c r="E213" s="89"/>
      <c r="F213" s="16"/>
      <c r="G213" s="16"/>
      <c r="H213" s="90" t="str">
        <f>IF(G213="Regular",Listas!$K$16,IF(G213="Premium",Listas!$K$17,IF(G213="Diesel",Listas!$K$18,"-")))</f>
        <v>-</v>
      </c>
      <c r="I213" s="17"/>
      <c r="J213" s="18"/>
      <c r="K213" s="19" t="str">
        <f>+IFERROR(IF(G213="Regular",VLOOKUP(C213,'PRECIO TERMINAL PEMEX'!$B$4:$E$35,2,0),IF(G213="Premium",VLOOKUP(C213,'PRECIO TERMINAL PEMEX'!$B$4:$E$35,3,0),IF(G213="Diesel",VLOOKUP(C213,'PRECIO TERMINAL PEMEX'!$B$4:$E$35,4,0),"Seleccione Producto"))),"-")</f>
        <v>Seleccione Producto</v>
      </c>
      <c r="L213" s="93" t="str">
        <f>+IFERROR(IF(F213="VHSA",VLOOKUP(B213,Listas!$C$4:$F$17,2,0),IF(F213="DOS BOCAS",VLOOKUP(B213,Listas!$C$4:$F$17,3,0),IF(F213="GLENCORE",VLOOKUP(B213,Listas!$C$4:$F$17,4,0),"Seleccione TAR"))),"-")</f>
        <v>Seleccione TAR</v>
      </c>
      <c r="M213" s="19" t="str">
        <f>+IFERROR(IF(G213="Regular",VLOOKUP(C213,'DESCUENTO PROVEEDORES'!$B$4:$E$35,2,0),IF(G213="Premium",VLOOKUP(C213,'DESCUENTO PROVEEDORES'!$B$4:$E$35,3,0),IF(G213="Diesel",VLOOKUP(C213,'DESCUENTO PROVEEDORES'!$B$4:$E$35,4,0),"Seleccione Proveedor"))),"-")</f>
        <v>Seleccione Proveedor</v>
      </c>
      <c r="N213" s="20" t="e">
        <f>((((K213-H213)/1.16)-M213))</f>
        <v>#VALUE!</v>
      </c>
      <c r="O213" s="21" t="e">
        <f>((N213*16%)+N213)+H213+L213</f>
        <v>#VALUE!</v>
      </c>
      <c r="P213" s="21" t="e">
        <f>(((J213-O213)-H213)/1.16)+H213</f>
        <v>#VALUE!</v>
      </c>
      <c r="Q213" s="44"/>
      <c r="R213" s="24"/>
      <c r="S213" s="23" t="e">
        <f t="shared" si="9"/>
        <v>#DIV/0!</v>
      </c>
      <c r="T213" s="23" t="e">
        <f t="shared" si="10"/>
        <v>#DIV/0!</v>
      </c>
      <c r="U213" s="22" t="e">
        <f t="shared" si="11"/>
        <v>#DIV/0!</v>
      </c>
      <c r="V213" s="44"/>
      <c r="W213" s="44"/>
      <c r="X213" s="44"/>
      <c r="Y213" s="44"/>
      <c r="Z213" s="44"/>
    </row>
    <row r="214" spans="1:26" ht="15.75" customHeight="1">
      <c r="A214" s="44"/>
      <c r="B214" s="14"/>
      <c r="C214" s="53"/>
      <c r="D214" s="15"/>
      <c r="E214" s="89"/>
      <c r="F214" s="16"/>
      <c r="G214" s="16"/>
      <c r="H214" s="90" t="str">
        <f>IF(G214="Regular",Listas!$K$16,IF(G214="Premium",Listas!$K$17,IF(G214="Diesel",Listas!$K$18,"-")))</f>
        <v>-</v>
      </c>
      <c r="I214" s="17"/>
      <c r="J214" s="18"/>
      <c r="K214" s="19" t="str">
        <f>+IFERROR(IF(G214="Regular",VLOOKUP(C214,'PRECIO TERMINAL PEMEX'!$B$4:$E$35,2,0),IF(G214="Premium",VLOOKUP(C214,'PRECIO TERMINAL PEMEX'!$B$4:$E$35,3,0),IF(G214="Diesel",VLOOKUP(C214,'PRECIO TERMINAL PEMEX'!$B$4:$E$35,4,0),"Seleccione Producto"))),"-")</f>
        <v>Seleccione Producto</v>
      </c>
      <c r="L214" s="93" t="str">
        <f>+IFERROR(IF(F214="VHSA",VLOOKUP(B214,Listas!$C$4:$F$17,2,0),IF(F214="DOS BOCAS",VLOOKUP(B214,Listas!$C$4:$F$17,3,0),IF(F214="GLENCORE",VLOOKUP(B214,Listas!$C$4:$F$17,4,0),"Seleccione TAR"))),"-")</f>
        <v>Seleccione TAR</v>
      </c>
      <c r="M214" s="19" t="str">
        <f>+IFERROR(IF(G214="Regular",VLOOKUP(C214,'DESCUENTO PROVEEDORES'!$B$4:$E$35,2,0),IF(G214="Premium",VLOOKUP(C214,'DESCUENTO PROVEEDORES'!$B$4:$E$35,3,0),IF(G214="Diesel",VLOOKUP(C214,'DESCUENTO PROVEEDORES'!$B$4:$E$35,4,0),"Seleccione Proveedor"))),"-")</f>
        <v>Seleccione Proveedor</v>
      </c>
      <c r="N214" s="20" t="e">
        <f>((((K214-H214)/1.16)-M214))</f>
        <v>#VALUE!</v>
      </c>
      <c r="O214" s="21" t="e">
        <f>((N214*16%)+N214)+H214+L214</f>
        <v>#VALUE!</v>
      </c>
      <c r="P214" s="21" t="e">
        <f>(((J214-O214)-H214)/1.16)+H214</f>
        <v>#VALUE!</v>
      </c>
      <c r="Q214" s="44"/>
      <c r="R214" s="24"/>
      <c r="S214" s="23" t="e">
        <f t="shared" si="9"/>
        <v>#DIV/0!</v>
      </c>
      <c r="T214" s="23" t="e">
        <f t="shared" si="10"/>
        <v>#DIV/0!</v>
      </c>
      <c r="U214" s="22" t="e">
        <f t="shared" si="11"/>
        <v>#DIV/0!</v>
      </c>
      <c r="V214" s="44"/>
      <c r="W214" s="44"/>
      <c r="X214" s="44"/>
      <c r="Y214" s="44"/>
      <c r="Z214" s="44"/>
    </row>
    <row r="215" spans="1:26" ht="15.75" customHeight="1">
      <c r="A215" s="44"/>
      <c r="B215" s="14"/>
      <c r="C215" s="53"/>
      <c r="D215" s="15"/>
      <c r="E215" s="89"/>
      <c r="F215" s="16"/>
      <c r="G215" s="16"/>
      <c r="H215" s="90" t="str">
        <f>IF(G215="Regular",Listas!$K$16,IF(G215="Premium",Listas!$K$17,IF(G215="Diesel",Listas!$K$18,"-")))</f>
        <v>-</v>
      </c>
      <c r="I215" s="17"/>
      <c r="J215" s="18"/>
      <c r="K215" s="19" t="str">
        <f>+IFERROR(IF(G215="Regular",VLOOKUP(C215,'PRECIO TERMINAL PEMEX'!$B$4:$E$35,2,0),IF(G215="Premium",VLOOKUP(C215,'PRECIO TERMINAL PEMEX'!$B$4:$E$35,3,0),IF(G215="Diesel",VLOOKUP(C215,'PRECIO TERMINAL PEMEX'!$B$4:$E$35,4,0),"Seleccione Producto"))),"-")</f>
        <v>Seleccione Producto</v>
      </c>
      <c r="L215" s="93" t="str">
        <f>+IFERROR(IF(F215="VHSA",VLOOKUP(B215,Listas!$C$4:$F$17,2,0),IF(F215="DOS BOCAS",VLOOKUP(B215,Listas!$C$4:$F$17,3,0),IF(F215="GLENCORE",VLOOKUP(B215,Listas!$C$4:$F$17,4,0),"Seleccione TAR"))),"-")</f>
        <v>Seleccione TAR</v>
      </c>
      <c r="M215" s="19" t="str">
        <f>+IFERROR(IF(G215="Regular",VLOOKUP(C215,'DESCUENTO PROVEEDORES'!$B$4:$E$35,2,0),IF(G215="Premium",VLOOKUP(C215,'DESCUENTO PROVEEDORES'!$B$4:$E$35,3,0),IF(G215="Diesel",VLOOKUP(C215,'DESCUENTO PROVEEDORES'!$B$4:$E$35,4,0),"Seleccione Proveedor"))),"-")</f>
        <v>Seleccione Proveedor</v>
      </c>
      <c r="N215" s="20" t="e">
        <f>((((K215-H215)/1.16)-M215))</f>
        <v>#VALUE!</v>
      </c>
      <c r="O215" s="21" t="e">
        <f>((N215*16%)+N215)+H215+L215</f>
        <v>#VALUE!</v>
      </c>
      <c r="P215" s="21" t="e">
        <f>(((J215-O215)-H215)/1.16)+H215</f>
        <v>#VALUE!</v>
      </c>
      <c r="Q215" s="44"/>
      <c r="R215" s="24"/>
      <c r="S215" s="23" t="e">
        <f t="shared" si="9"/>
        <v>#DIV/0!</v>
      </c>
      <c r="T215" s="23" t="e">
        <f t="shared" si="10"/>
        <v>#DIV/0!</v>
      </c>
      <c r="U215" s="22" t="e">
        <f t="shared" si="11"/>
        <v>#DIV/0!</v>
      </c>
      <c r="V215" s="44"/>
      <c r="W215" s="44"/>
      <c r="X215" s="44"/>
      <c r="Y215" s="44"/>
      <c r="Z215" s="44"/>
    </row>
    <row r="216" spans="1:26" ht="15.75" customHeight="1">
      <c r="A216" s="44"/>
      <c r="B216" s="14"/>
      <c r="C216" s="53"/>
      <c r="D216" s="15"/>
      <c r="E216" s="89"/>
      <c r="F216" s="16"/>
      <c r="G216" s="16"/>
      <c r="H216" s="90" t="str">
        <f>IF(G216="Regular",Listas!$K$16,IF(G216="Premium",Listas!$K$17,IF(G216="Diesel",Listas!$K$18,"-")))</f>
        <v>-</v>
      </c>
      <c r="I216" s="17"/>
      <c r="J216" s="18"/>
      <c r="K216" s="19" t="str">
        <f>+IFERROR(IF(G216="Regular",VLOOKUP(C216,'PRECIO TERMINAL PEMEX'!$B$4:$E$35,2,0),IF(G216="Premium",VLOOKUP(C216,'PRECIO TERMINAL PEMEX'!$B$4:$E$35,3,0),IF(G216="Diesel",VLOOKUP(C216,'PRECIO TERMINAL PEMEX'!$B$4:$E$35,4,0),"Seleccione Producto"))),"-")</f>
        <v>Seleccione Producto</v>
      </c>
      <c r="L216" s="93" t="str">
        <f>+IFERROR(IF(F216="VHSA",VLOOKUP(B216,Listas!$C$4:$F$17,2,0),IF(F216="DOS BOCAS",VLOOKUP(B216,Listas!$C$4:$F$17,3,0),IF(F216="GLENCORE",VLOOKUP(B216,Listas!$C$4:$F$17,4,0),"Seleccione TAR"))),"-")</f>
        <v>Seleccione TAR</v>
      </c>
      <c r="M216" s="19" t="str">
        <f>+IFERROR(IF(G216="Regular",VLOOKUP(C216,'DESCUENTO PROVEEDORES'!$B$4:$E$35,2,0),IF(G216="Premium",VLOOKUP(C216,'DESCUENTO PROVEEDORES'!$B$4:$E$35,3,0),IF(G216="Diesel",VLOOKUP(C216,'DESCUENTO PROVEEDORES'!$B$4:$E$35,4,0),"Seleccione Proveedor"))),"-")</f>
        <v>Seleccione Proveedor</v>
      </c>
      <c r="N216" s="20" t="e">
        <f>((((K216-H216)/1.16)-M216))</f>
        <v>#VALUE!</v>
      </c>
      <c r="O216" s="21" t="e">
        <f>((N216*16%)+N216)+H216+L216</f>
        <v>#VALUE!</v>
      </c>
      <c r="P216" s="21" t="e">
        <f>(((J216-O216)-H216)/1.16)+H216</f>
        <v>#VALUE!</v>
      </c>
      <c r="Q216" s="44"/>
      <c r="R216" s="24"/>
      <c r="S216" s="23" t="e">
        <f t="shared" si="9"/>
        <v>#DIV/0!</v>
      </c>
      <c r="T216" s="23" t="e">
        <f t="shared" si="10"/>
        <v>#DIV/0!</v>
      </c>
      <c r="U216" s="22" t="e">
        <f t="shared" si="11"/>
        <v>#DIV/0!</v>
      </c>
      <c r="V216" s="44"/>
      <c r="W216" s="44"/>
      <c r="X216" s="44"/>
      <c r="Y216" s="44"/>
      <c r="Z216" s="44"/>
    </row>
    <row r="217" spans="1:26" ht="15.75" customHeight="1">
      <c r="A217" s="44"/>
      <c r="B217" s="14"/>
      <c r="C217" s="53"/>
      <c r="D217" s="15"/>
      <c r="E217" s="89"/>
      <c r="F217" s="16"/>
      <c r="G217" s="16"/>
      <c r="H217" s="90" t="str">
        <f>IF(G217="Regular",Listas!$K$16,IF(G217="Premium",Listas!$K$17,IF(G217="Diesel",Listas!$K$18,"-")))</f>
        <v>-</v>
      </c>
      <c r="I217" s="17"/>
      <c r="J217" s="18"/>
      <c r="K217" s="19" t="str">
        <f>+IFERROR(IF(G217="Regular",VLOOKUP(C217,'PRECIO TERMINAL PEMEX'!$B$4:$E$35,2,0),IF(G217="Premium",VLOOKUP(C217,'PRECIO TERMINAL PEMEX'!$B$4:$E$35,3,0),IF(G217="Diesel",VLOOKUP(C217,'PRECIO TERMINAL PEMEX'!$B$4:$E$35,4,0),"Seleccione Producto"))),"-")</f>
        <v>Seleccione Producto</v>
      </c>
      <c r="L217" s="93" t="str">
        <f>+IFERROR(IF(F217="VHSA",VLOOKUP(B217,Listas!$C$4:$F$17,2,0),IF(F217="DOS BOCAS",VLOOKUP(B217,Listas!$C$4:$F$17,3,0),IF(F217="GLENCORE",VLOOKUP(B217,Listas!$C$4:$F$17,4,0),"Seleccione TAR"))),"-")</f>
        <v>Seleccione TAR</v>
      </c>
      <c r="M217" s="19" t="str">
        <f>+IFERROR(IF(G217="Regular",VLOOKUP(C217,'DESCUENTO PROVEEDORES'!$B$4:$E$35,2,0),IF(G217="Premium",VLOOKUP(C217,'DESCUENTO PROVEEDORES'!$B$4:$E$35,3,0),IF(G217="Diesel",VLOOKUP(C217,'DESCUENTO PROVEEDORES'!$B$4:$E$35,4,0),"Seleccione Proveedor"))),"-")</f>
        <v>Seleccione Proveedor</v>
      </c>
      <c r="N217" s="20" t="e">
        <f>((((K217-H217)/1.16)-M217))</f>
        <v>#VALUE!</v>
      </c>
      <c r="O217" s="21" t="e">
        <f>((N217*16%)+N217)+H217+L217</f>
        <v>#VALUE!</v>
      </c>
      <c r="P217" s="21" t="e">
        <f>(((J217-O217)-H217)/1.16)+H217</f>
        <v>#VALUE!</v>
      </c>
      <c r="Q217" s="44"/>
      <c r="R217" s="24"/>
      <c r="S217" s="23" t="e">
        <f t="shared" si="9"/>
        <v>#DIV/0!</v>
      </c>
      <c r="T217" s="23" t="e">
        <f t="shared" si="10"/>
        <v>#DIV/0!</v>
      </c>
      <c r="U217" s="22" t="e">
        <f t="shared" si="11"/>
        <v>#DIV/0!</v>
      </c>
      <c r="V217" s="44"/>
      <c r="W217" s="44"/>
      <c r="X217" s="44"/>
      <c r="Y217" s="44"/>
      <c r="Z217" s="44"/>
    </row>
    <row r="218" spans="1:26" ht="15.75" customHeight="1">
      <c r="A218" s="44"/>
      <c r="B218" s="14"/>
      <c r="C218" s="53"/>
      <c r="D218" s="15"/>
      <c r="E218" s="89"/>
      <c r="F218" s="16"/>
      <c r="G218" s="16"/>
      <c r="H218" s="90" t="str">
        <f>IF(G218="Regular",Listas!$K$16,IF(G218="Premium",Listas!$K$17,IF(G218="Diesel",Listas!$K$18,"-")))</f>
        <v>-</v>
      </c>
      <c r="I218" s="17"/>
      <c r="J218" s="18"/>
      <c r="K218" s="19" t="str">
        <f>+IFERROR(IF(G218="Regular",VLOOKUP(C218,'PRECIO TERMINAL PEMEX'!$B$4:$E$35,2,0),IF(G218="Premium",VLOOKUP(C218,'PRECIO TERMINAL PEMEX'!$B$4:$E$35,3,0),IF(G218="Diesel",VLOOKUP(C218,'PRECIO TERMINAL PEMEX'!$B$4:$E$35,4,0),"Seleccione Producto"))),"-")</f>
        <v>Seleccione Producto</v>
      </c>
      <c r="L218" s="93" t="str">
        <f>+IFERROR(IF(F218="VHSA",VLOOKUP(B218,Listas!$C$4:$F$17,2,0),IF(F218="DOS BOCAS",VLOOKUP(B218,Listas!$C$4:$F$17,3,0),IF(F218="GLENCORE",VLOOKUP(B218,Listas!$C$4:$F$17,4,0),"Seleccione TAR"))),"-")</f>
        <v>Seleccione TAR</v>
      </c>
      <c r="M218" s="19" t="str">
        <f>+IFERROR(IF(G218="Regular",VLOOKUP(C218,'DESCUENTO PROVEEDORES'!$B$4:$E$35,2,0),IF(G218="Premium",VLOOKUP(C218,'DESCUENTO PROVEEDORES'!$B$4:$E$35,3,0),IF(G218="Diesel",VLOOKUP(C218,'DESCUENTO PROVEEDORES'!$B$4:$E$35,4,0),"Seleccione Proveedor"))),"-")</f>
        <v>Seleccione Proveedor</v>
      </c>
      <c r="N218" s="20" t="e">
        <f>((((K218-H218)/1.16)-M218))</f>
        <v>#VALUE!</v>
      </c>
      <c r="O218" s="21" t="e">
        <f>((N218*16%)+N218)+H218+L218</f>
        <v>#VALUE!</v>
      </c>
      <c r="P218" s="21" t="e">
        <f>(((J218-O218)-H218)/1.16)+H218</f>
        <v>#VALUE!</v>
      </c>
      <c r="Q218" s="44"/>
      <c r="R218" s="24"/>
      <c r="S218" s="23" t="e">
        <f t="shared" si="9"/>
        <v>#DIV/0!</v>
      </c>
      <c r="T218" s="23" t="e">
        <f t="shared" si="10"/>
        <v>#DIV/0!</v>
      </c>
      <c r="U218" s="22" t="e">
        <f t="shared" si="11"/>
        <v>#DIV/0!</v>
      </c>
      <c r="V218" s="44"/>
      <c r="W218" s="44"/>
      <c r="X218" s="44"/>
      <c r="Y218" s="44"/>
      <c r="Z218" s="44"/>
    </row>
    <row r="219" spans="1:26" ht="15.75" customHeight="1">
      <c r="A219" s="44"/>
      <c r="B219" s="14"/>
      <c r="C219" s="53"/>
      <c r="D219" s="15"/>
      <c r="E219" s="89"/>
      <c r="F219" s="16"/>
      <c r="G219" s="16"/>
      <c r="H219" s="90" t="str">
        <f>IF(G219="Regular",Listas!$K$16,IF(G219="Premium",Listas!$K$17,IF(G219="Diesel",Listas!$K$18,"-")))</f>
        <v>-</v>
      </c>
      <c r="I219" s="17"/>
      <c r="J219" s="18"/>
      <c r="K219" s="19" t="str">
        <f>+IFERROR(IF(G219="Regular",VLOOKUP(C219,'PRECIO TERMINAL PEMEX'!$B$4:$E$35,2,0),IF(G219="Premium",VLOOKUP(C219,'PRECIO TERMINAL PEMEX'!$B$4:$E$35,3,0),IF(G219="Diesel",VLOOKUP(C219,'PRECIO TERMINAL PEMEX'!$B$4:$E$35,4,0),"Seleccione Producto"))),"-")</f>
        <v>Seleccione Producto</v>
      </c>
      <c r="L219" s="93" t="str">
        <f>+IFERROR(IF(F219="VHSA",VLOOKUP(B219,Listas!$C$4:$F$17,2,0),IF(F219="DOS BOCAS",VLOOKUP(B219,Listas!$C$4:$F$17,3,0),IF(F219="GLENCORE",VLOOKUP(B219,Listas!$C$4:$F$17,4,0),"Seleccione TAR"))),"-")</f>
        <v>Seleccione TAR</v>
      </c>
      <c r="M219" s="19" t="str">
        <f>+IFERROR(IF(G219="Regular",VLOOKUP(C219,'DESCUENTO PROVEEDORES'!$B$4:$E$35,2,0),IF(G219="Premium",VLOOKUP(C219,'DESCUENTO PROVEEDORES'!$B$4:$E$35,3,0),IF(G219="Diesel",VLOOKUP(C219,'DESCUENTO PROVEEDORES'!$B$4:$E$35,4,0),"Seleccione Proveedor"))),"-")</f>
        <v>Seleccione Proveedor</v>
      </c>
      <c r="N219" s="20" t="e">
        <f>((((K219-H219)/1.16)-M219))</f>
        <v>#VALUE!</v>
      </c>
      <c r="O219" s="21" t="e">
        <f>((N219*16%)+N219)+H219+L219</f>
        <v>#VALUE!</v>
      </c>
      <c r="P219" s="21" t="e">
        <f>(((J219-O219)-H219)/1.16)+H219</f>
        <v>#VALUE!</v>
      </c>
      <c r="Q219" s="44"/>
      <c r="R219" s="24"/>
      <c r="S219" s="23" t="e">
        <f t="shared" si="9"/>
        <v>#DIV/0!</v>
      </c>
      <c r="T219" s="23" t="e">
        <f t="shared" si="10"/>
        <v>#DIV/0!</v>
      </c>
      <c r="U219" s="22" t="e">
        <f t="shared" si="11"/>
        <v>#DIV/0!</v>
      </c>
      <c r="V219" s="44"/>
      <c r="W219" s="44"/>
      <c r="X219" s="44"/>
      <c r="Y219" s="44"/>
      <c r="Z219" s="44"/>
    </row>
    <row r="220" spans="1:26" ht="15.75" customHeight="1">
      <c r="A220" s="44"/>
      <c r="B220" s="14"/>
      <c r="C220" s="53"/>
      <c r="D220" s="15"/>
      <c r="E220" s="89"/>
      <c r="F220" s="16"/>
      <c r="G220" s="16"/>
      <c r="H220" s="90" t="str">
        <f>IF(G220="Regular",Listas!$K$16,IF(G220="Premium",Listas!$K$17,IF(G220="Diesel",Listas!$K$18,"-")))</f>
        <v>-</v>
      </c>
      <c r="I220" s="17"/>
      <c r="J220" s="18"/>
      <c r="K220" s="19" t="str">
        <f>+IFERROR(IF(G220="Regular",VLOOKUP(C220,'PRECIO TERMINAL PEMEX'!$B$4:$E$35,2,0),IF(G220="Premium",VLOOKUP(C220,'PRECIO TERMINAL PEMEX'!$B$4:$E$35,3,0),IF(G220="Diesel",VLOOKUP(C220,'PRECIO TERMINAL PEMEX'!$B$4:$E$35,4,0),"Seleccione Producto"))),"-")</f>
        <v>Seleccione Producto</v>
      </c>
      <c r="L220" s="93" t="str">
        <f>+IFERROR(IF(F220="VHSA",VLOOKUP(B220,Listas!$C$4:$F$17,2,0),IF(F220="DOS BOCAS",VLOOKUP(B220,Listas!$C$4:$F$17,3,0),IF(F220="GLENCORE",VLOOKUP(B220,Listas!$C$4:$F$17,4,0),"Seleccione TAR"))),"-")</f>
        <v>Seleccione TAR</v>
      </c>
      <c r="M220" s="19" t="str">
        <f>+IFERROR(IF(G220="Regular",VLOOKUP(C220,'DESCUENTO PROVEEDORES'!$B$4:$E$35,2,0),IF(G220="Premium",VLOOKUP(C220,'DESCUENTO PROVEEDORES'!$B$4:$E$35,3,0),IF(G220="Diesel",VLOOKUP(C220,'DESCUENTO PROVEEDORES'!$B$4:$E$35,4,0),"Seleccione Proveedor"))),"-")</f>
        <v>Seleccione Proveedor</v>
      </c>
      <c r="N220" s="20" t="e">
        <f>((((K220-H220)/1.16)-M220))</f>
        <v>#VALUE!</v>
      </c>
      <c r="O220" s="21" t="e">
        <f>((N220*16%)+N220)+H220+L220</f>
        <v>#VALUE!</v>
      </c>
      <c r="P220" s="21" t="e">
        <f>(((J220-O220)-H220)/1.16)+H220</f>
        <v>#VALUE!</v>
      </c>
      <c r="Q220" s="44"/>
      <c r="R220" s="24"/>
      <c r="S220" s="23" t="e">
        <f t="shared" si="9"/>
        <v>#DIV/0!</v>
      </c>
      <c r="T220" s="23" t="e">
        <f t="shared" si="10"/>
        <v>#DIV/0!</v>
      </c>
      <c r="U220" s="22" t="e">
        <f t="shared" si="11"/>
        <v>#DIV/0!</v>
      </c>
      <c r="V220" s="44"/>
      <c r="W220" s="44"/>
      <c r="X220" s="44"/>
      <c r="Y220" s="44"/>
      <c r="Z220" s="44"/>
    </row>
    <row r="221" spans="1:26" ht="15.75" customHeight="1">
      <c r="A221" s="44"/>
      <c r="B221" s="14"/>
      <c r="C221" s="53"/>
      <c r="D221" s="15"/>
      <c r="E221" s="89"/>
      <c r="F221" s="16"/>
      <c r="G221" s="16"/>
      <c r="H221" s="90" t="str">
        <f>IF(G221="Regular",Listas!$K$16,IF(G221="Premium",Listas!$K$17,IF(G221="Diesel",Listas!$K$18,"-")))</f>
        <v>-</v>
      </c>
      <c r="I221" s="17"/>
      <c r="J221" s="18"/>
      <c r="K221" s="19" t="str">
        <f>+IFERROR(IF(G221="Regular",VLOOKUP(C221,'PRECIO TERMINAL PEMEX'!$B$4:$E$35,2,0),IF(G221="Premium",VLOOKUP(C221,'PRECIO TERMINAL PEMEX'!$B$4:$E$35,3,0),IF(G221="Diesel",VLOOKUP(C221,'PRECIO TERMINAL PEMEX'!$B$4:$E$35,4,0),"Seleccione Producto"))),"-")</f>
        <v>Seleccione Producto</v>
      </c>
      <c r="L221" s="93" t="str">
        <f>+IFERROR(IF(F221="VHSA",VLOOKUP(B221,Listas!$C$4:$F$17,2,0),IF(F221="DOS BOCAS",VLOOKUP(B221,Listas!$C$4:$F$17,3,0),IF(F221="GLENCORE",VLOOKUP(B221,Listas!$C$4:$F$17,4,0),"Seleccione TAR"))),"-")</f>
        <v>Seleccione TAR</v>
      </c>
      <c r="M221" s="19" t="str">
        <f>+IFERROR(IF(G221="Regular",VLOOKUP(C221,'DESCUENTO PROVEEDORES'!$B$4:$E$35,2,0),IF(G221="Premium",VLOOKUP(C221,'DESCUENTO PROVEEDORES'!$B$4:$E$35,3,0),IF(G221="Diesel",VLOOKUP(C221,'DESCUENTO PROVEEDORES'!$B$4:$E$35,4,0),"Seleccione Proveedor"))),"-")</f>
        <v>Seleccione Proveedor</v>
      </c>
      <c r="N221" s="20" t="e">
        <f>((((K221-H221)/1.16)-M221))</f>
        <v>#VALUE!</v>
      </c>
      <c r="O221" s="21" t="e">
        <f>((N221*16%)+N221)+H221+L221</f>
        <v>#VALUE!</v>
      </c>
      <c r="P221" s="21" t="e">
        <f>(((J221-O221)-H221)/1.16)+H221</f>
        <v>#VALUE!</v>
      </c>
      <c r="Q221" s="44"/>
      <c r="R221" s="24"/>
      <c r="S221" s="23" t="e">
        <f t="shared" si="9"/>
        <v>#DIV/0!</v>
      </c>
      <c r="T221" s="23" t="e">
        <f t="shared" si="10"/>
        <v>#DIV/0!</v>
      </c>
      <c r="U221" s="22" t="e">
        <f t="shared" si="11"/>
        <v>#DIV/0!</v>
      </c>
      <c r="V221" s="44"/>
      <c r="W221" s="44"/>
      <c r="X221" s="44"/>
      <c r="Y221" s="44"/>
      <c r="Z221" s="44"/>
    </row>
    <row r="222" spans="1:26" ht="15.75" customHeight="1">
      <c r="A222" s="44"/>
      <c r="B222" s="14"/>
      <c r="C222" s="53"/>
      <c r="D222" s="15"/>
      <c r="E222" s="89"/>
      <c r="F222" s="16"/>
      <c r="G222" s="16"/>
      <c r="H222" s="90" t="str">
        <f>IF(G222="Regular",Listas!$K$16,IF(G222="Premium",Listas!$K$17,IF(G222="Diesel",Listas!$K$18,"-")))</f>
        <v>-</v>
      </c>
      <c r="I222" s="17"/>
      <c r="J222" s="18"/>
      <c r="K222" s="19" t="str">
        <f>+IFERROR(IF(G222="Regular",VLOOKUP(C222,'PRECIO TERMINAL PEMEX'!$B$4:$E$35,2,0),IF(G222="Premium",VLOOKUP(C222,'PRECIO TERMINAL PEMEX'!$B$4:$E$35,3,0),IF(G222="Diesel",VLOOKUP(C222,'PRECIO TERMINAL PEMEX'!$B$4:$E$35,4,0),"Seleccione Producto"))),"-")</f>
        <v>Seleccione Producto</v>
      </c>
      <c r="L222" s="93" t="str">
        <f>+IFERROR(IF(F222="VHSA",VLOOKUP(B222,Listas!$C$4:$F$17,2,0),IF(F222="DOS BOCAS",VLOOKUP(B222,Listas!$C$4:$F$17,3,0),IF(F222="GLENCORE",VLOOKUP(B222,Listas!$C$4:$F$17,4,0),"Seleccione TAR"))),"-")</f>
        <v>Seleccione TAR</v>
      </c>
      <c r="M222" s="19" t="str">
        <f>+IFERROR(IF(G222="Regular",VLOOKUP(C222,'DESCUENTO PROVEEDORES'!$B$4:$E$35,2,0),IF(G222="Premium",VLOOKUP(C222,'DESCUENTO PROVEEDORES'!$B$4:$E$35,3,0),IF(G222="Diesel",VLOOKUP(C222,'DESCUENTO PROVEEDORES'!$B$4:$E$35,4,0),"Seleccione Proveedor"))),"-")</f>
        <v>Seleccione Proveedor</v>
      </c>
      <c r="N222" s="20" t="e">
        <f>((((K222-H222)/1.16)-M222))</f>
        <v>#VALUE!</v>
      </c>
      <c r="O222" s="21" t="e">
        <f>((N222*16%)+N222)+H222+L222</f>
        <v>#VALUE!</v>
      </c>
      <c r="P222" s="21" t="e">
        <f>(((J222-O222)-H222)/1.16)+H222</f>
        <v>#VALUE!</v>
      </c>
      <c r="Q222" s="44"/>
      <c r="R222" s="24"/>
      <c r="S222" s="23" t="e">
        <f t="shared" si="9"/>
        <v>#DIV/0!</v>
      </c>
      <c r="T222" s="23" t="e">
        <f t="shared" si="10"/>
        <v>#DIV/0!</v>
      </c>
      <c r="U222" s="22" t="e">
        <f t="shared" si="11"/>
        <v>#DIV/0!</v>
      </c>
      <c r="V222" s="44"/>
      <c r="W222" s="44"/>
      <c r="X222" s="44"/>
      <c r="Y222" s="44"/>
      <c r="Z222" s="44"/>
    </row>
    <row r="223" spans="1:26" ht="15.75" customHeight="1">
      <c r="A223" s="44"/>
      <c r="B223" s="14"/>
      <c r="C223" s="53"/>
      <c r="D223" s="15"/>
      <c r="E223" s="89"/>
      <c r="F223" s="16"/>
      <c r="G223" s="16"/>
      <c r="H223" s="90" t="str">
        <f>IF(G223="Regular",Listas!$K$16,IF(G223="Premium",Listas!$K$17,IF(G223="Diesel",Listas!$K$18,"-")))</f>
        <v>-</v>
      </c>
      <c r="I223" s="17"/>
      <c r="J223" s="18"/>
      <c r="K223" s="19" t="str">
        <f>+IFERROR(IF(G223="Regular",VLOOKUP(C223,'PRECIO TERMINAL PEMEX'!$B$4:$E$35,2,0),IF(G223="Premium",VLOOKUP(C223,'PRECIO TERMINAL PEMEX'!$B$4:$E$35,3,0),IF(G223="Diesel",VLOOKUP(C223,'PRECIO TERMINAL PEMEX'!$B$4:$E$35,4,0),"Seleccione Producto"))),"-")</f>
        <v>Seleccione Producto</v>
      </c>
      <c r="L223" s="93" t="str">
        <f>+IFERROR(IF(F223="VHSA",VLOOKUP(B223,Listas!$C$4:$F$17,2,0),IF(F223="DOS BOCAS",VLOOKUP(B223,Listas!$C$4:$F$17,3,0),IF(F223="GLENCORE",VLOOKUP(B223,Listas!$C$4:$F$17,4,0),"Seleccione TAR"))),"-")</f>
        <v>Seleccione TAR</v>
      </c>
      <c r="M223" s="19" t="str">
        <f>+IFERROR(IF(G223="Regular",VLOOKUP(C223,'DESCUENTO PROVEEDORES'!$B$4:$E$35,2,0),IF(G223="Premium",VLOOKUP(C223,'DESCUENTO PROVEEDORES'!$B$4:$E$35,3,0),IF(G223="Diesel",VLOOKUP(C223,'DESCUENTO PROVEEDORES'!$B$4:$E$35,4,0),"Seleccione Proveedor"))),"-")</f>
        <v>Seleccione Proveedor</v>
      </c>
      <c r="N223" s="20" t="e">
        <f>((((K223-H223)/1.16)-M223))</f>
        <v>#VALUE!</v>
      </c>
      <c r="O223" s="21" t="e">
        <f>((N223*16%)+N223)+H223+L223</f>
        <v>#VALUE!</v>
      </c>
      <c r="P223" s="21" t="e">
        <f>(((J223-O223)-H223)/1.16)+H223</f>
        <v>#VALUE!</v>
      </c>
      <c r="Q223" s="44"/>
      <c r="R223" s="24"/>
      <c r="S223" s="23" t="e">
        <f t="shared" si="9"/>
        <v>#DIV/0!</v>
      </c>
      <c r="T223" s="23" t="e">
        <f t="shared" si="10"/>
        <v>#DIV/0!</v>
      </c>
      <c r="U223" s="22" t="e">
        <f t="shared" si="11"/>
        <v>#DIV/0!</v>
      </c>
      <c r="V223" s="44"/>
      <c r="W223" s="44"/>
      <c r="X223" s="44"/>
      <c r="Y223" s="44"/>
      <c r="Z223" s="44"/>
    </row>
    <row r="224" spans="1:26" ht="15.75" customHeight="1">
      <c r="A224" s="44"/>
      <c r="B224" s="14"/>
      <c r="C224" s="53"/>
      <c r="D224" s="15"/>
      <c r="E224" s="89"/>
      <c r="F224" s="16"/>
      <c r="G224" s="16"/>
      <c r="H224" s="90" t="str">
        <f>IF(G224="Regular",Listas!$K$16,IF(G224="Premium",Listas!$K$17,IF(G224="Diesel",Listas!$K$18,"-")))</f>
        <v>-</v>
      </c>
      <c r="I224" s="17"/>
      <c r="J224" s="18"/>
      <c r="K224" s="19" t="str">
        <f>+IFERROR(IF(G224="Regular",VLOOKUP(C224,'PRECIO TERMINAL PEMEX'!$B$4:$E$35,2,0),IF(G224="Premium",VLOOKUP(C224,'PRECIO TERMINAL PEMEX'!$B$4:$E$35,3,0),IF(G224="Diesel",VLOOKUP(C224,'PRECIO TERMINAL PEMEX'!$B$4:$E$35,4,0),"Seleccione Producto"))),"-")</f>
        <v>Seleccione Producto</v>
      </c>
      <c r="L224" s="93" t="str">
        <f>+IFERROR(IF(F224="VHSA",VLOOKUP(B224,Listas!$C$4:$F$17,2,0),IF(F224="DOS BOCAS",VLOOKUP(B224,Listas!$C$4:$F$17,3,0),IF(F224="GLENCORE",VLOOKUP(B224,Listas!$C$4:$F$17,4,0),"Seleccione TAR"))),"-")</f>
        <v>Seleccione TAR</v>
      </c>
      <c r="M224" s="19" t="str">
        <f>+IFERROR(IF(G224="Regular",VLOOKUP(C224,'DESCUENTO PROVEEDORES'!$B$4:$E$35,2,0),IF(G224="Premium",VLOOKUP(C224,'DESCUENTO PROVEEDORES'!$B$4:$E$35,3,0),IF(G224="Diesel",VLOOKUP(C224,'DESCUENTO PROVEEDORES'!$B$4:$E$35,4,0),"Seleccione Proveedor"))),"-")</f>
        <v>Seleccione Proveedor</v>
      </c>
      <c r="N224" s="20" t="e">
        <f>((((K224-H224)/1.16)-M224))</f>
        <v>#VALUE!</v>
      </c>
      <c r="O224" s="21" t="e">
        <f>((N224*16%)+N224)+H224+L224</f>
        <v>#VALUE!</v>
      </c>
      <c r="P224" s="21" t="e">
        <f>(((J224-O224)-H224)/1.16)+H224</f>
        <v>#VALUE!</v>
      </c>
      <c r="Q224" s="44"/>
      <c r="R224" s="24"/>
      <c r="S224" s="23" t="e">
        <f t="shared" si="9"/>
        <v>#DIV/0!</v>
      </c>
      <c r="T224" s="23" t="e">
        <f t="shared" si="10"/>
        <v>#DIV/0!</v>
      </c>
      <c r="U224" s="22" t="e">
        <f t="shared" si="11"/>
        <v>#DIV/0!</v>
      </c>
      <c r="V224" s="44"/>
      <c r="W224" s="44"/>
      <c r="X224" s="44"/>
      <c r="Y224" s="44"/>
      <c r="Z224" s="44"/>
    </row>
    <row r="225" spans="1:26" ht="15.75" customHeight="1">
      <c r="A225" s="44"/>
      <c r="B225" s="14"/>
      <c r="C225" s="53"/>
      <c r="D225" s="15"/>
      <c r="E225" s="89"/>
      <c r="F225" s="16"/>
      <c r="G225" s="16"/>
      <c r="H225" s="90" t="str">
        <f>IF(G225="Regular",Listas!$K$16,IF(G225="Premium",Listas!$K$17,IF(G225="Diesel",Listas!$K$18,"-")))</f>
        <v>-</v>
      </c>
      <c r="I225" s="17"/>
      <c r="J225" s="18"/>
      <c r="K225" s="19" t="str">
        <f>+IFERROR(IF(G225="Regular",VLOOKUP(C225,'PRECIO TERMINAL PEMEX'!$B$4:$E$35,2,0),IF(G225="Premium",VLOOKUP(C225,'PRECIO TERMINAL PEMEX'!$B$4:$E$35,3,0),IF(G225="Diesel",VLOOKUP(C225,'PRECIO TERMINAL PEMEX'!$B$4:$E$35,4,0),"Seleccione Producto"))),"-")</f>
        <v>Seleccione Producto</v>
      </c>
      <c r="L225" s="93" t="str">
        <f>+IFERROR(IF(F225="VHSA",VLOOKUP(B225,Listas!$C$4:$F$17,2,0),IF(F225="DOS BOCAS",VLOOKUP(B225,Listas!$C$4:$F$17,3,0),IF(F225="GLENCORE",VLOOKUP(B225,Listas!$C$4:$F$17,4,0),"Seleccione TAR"))),"-")</f>
        <v>Seleccione TAR</v>
      </c>
      <c r="M225" s="19" t="str">
        <f>+IFERROR(IF(G225="Regular",VLOOKUP(C225,'DESCUENTO PROVEEDORES'!$B$4:$E$35,2,0),IF(G225="Premium",VLOOKUP(C225,'DESCUENTO PROVEEDORES'!$B$4:$E$35,3,0),IF(G225="Diesel",VLOOKUP(C225,'DESCUENTO PROVEEDORES'!$B$4:$E$35,4,0),"Seleccione Proveedor"))),"-")</f>
        <v>Seleccione Proveedor</v>
      </c>
      <c r="N225" s="20" t="e">
        <f>((((K225-H225)/1.16)-M225))</f>
        <v>#VALUE!</v>
      </c>
      <c r="O225" s="21" t="e">
        <f>((N225*16%)+N225)+H225+L225</f>
        <v>#VALUE!</v>
      </c>
      <c r="P225" s="21" t="e">
        <f>(((J225-O225)-H225)/1.16)+H225</f>
        <v>#VALUE!</v>
      </c>
      <c r="Q225" s="44"/>
      <c r="R225" s="24"/>
      <c r="S225" s="23" t="e">
        <f t="shared" si="9"/>
        <v>#DIV/0!</v>
      </c>
      <c r="T225" s="23" t="e">
        <f t="shared" si="10"/>
        <v>#DIV/0!</v>
      </c>
      <c r="U225" s="22" t="e">
        <f t="shared" si="11"/>
        <v>#DIV/0!</v>
      </c>
      <c r="V225" s="44"/>
      <c r="W225" s="44"/>
      <c r="X225" s="44"/>
      <c r="Y225" s="44"/>
      <c r="Z225" s="44"/>
    </row>
    <row r="226" spans="1:26" ht="15.75" customHeight="1">
      <c r="A226" s="44"/>
      <c r="B226" s="14"/>
      <c r="C226" s="53"/>
      <c r="D226" s="15"/>
      <c r="E226" s="89"/>
      <c r="F226" s="16"/>
      <c r="G226" s="16"/>
      <c r="H226" s="90" t="str">
        <f>IF(G226="Regular",Listas!$K$16,IF(G226="Premium",Listas!$K$17,IF(G226="Diesel",Listas!$K$18,"-")))</f>
        <v>-</v>
      </c>
      <c r="I226" s="17"/>
      <c r="J226" s="18"/>
      <c r="K226" s="19" t="str">
        <f>+IFERROR(IF(G226="Regular",VLOOKUP(C226,'PRECIO TERMINAL PEMEX'!$B$4:$E$35,2,0),IF(G226="Premium",VLOOKUP(C226,'PRECIO TERMINAL PEMEX'!$B$4:$E$35,3,0),IF(G226="Diesel",VLOOKUP(C226,'PRECIO TERMINAL PEMEX'!$B$4:$E$35,4,0),"Seleccione Producto"))),"-")</f>
        <v>Seleccione Producto</v>
      </c>
      <c r="L226" s="93" t="str">
        <f>+IFERROR(IF(F226="VHSA",VLOOKUP(B226,Listas!$C$4:$F$17,2,0),IF(F226="DOS BOCAS",VLOOKUP(B226,Listas!$C$4:$F$17,3,0),IF(F226="GLENCORE",VLOOKUP(B226,Listas!$C$4:$F$17,4,0),"Seleccione TAR"))),"-")</f>
        <v>Seleccione TAR</v>
      </c>
      <c r="M226" s="19" t="str">
        <f>+IFERROR(IF(G226="Regular",VLOOKUP(C226,'DESCUENTO PROVEEDORES'!$B$4:$E$35,2,0),IF(G226="Premium",VLOOKUP(C226,'DESCUENTO PROVEEDORES'!$B$4:$E$35,3,0),IF(G226="Diesel",VLOOKUP(C226,'DESCUENTO PROVEEDORES'!$B$4:$E$35,4,0),"Seleccione Proveedor"))),"-")</f>
        <v>Seleccione Proveedor</v>
      </c>
      <c r="N226" s="20" t="e">
        <f>((((K226-H226)/1.16)-M226))</f>
        <v>#VALUE!</v>
      </c>
      <c r="O226" s="21" t="e">
        <f>((N226*16%)+N226)+H226+L226</f>
        <v>#VALUE!</v>
      </c>
      <c r="P226" s="21" t="e">
        <f>(((J226-O226)-H226)/1.16)+H226</f>
        <v>#VALUE!</v>
      </c>
      <c r="Q226" s="44"/>
      <c r="R226" s="24"/>
      <c r="S226" s="23" t="e">
        <f t="shared" si="9"/>
        <v>#DIV/0!</v>
      </c>
      <c r="T226" s="23" t="e">
        <f t="shared" si="10"/>
        <v>#DIV/0!</v>
      </c>
      <c r="U226" s="22" t="e">
        <f t="shared" si="11"/>
        <v>#DIV/0!</v>
      </c>
      <c r="V226" s="44"/>
      <c r="W226" s="44"/>
      <c r="X226" s="44"/>
      <c r="Y226" s="44"/>
      <c r="Z226" s="44"/>
    </row>
    <row r="227" spans="1:26" ht="15.75" customHeight="1">
      <c r="A227" s="44"/>
      <c r="B227" s="14"/>
      <c r="C227" s="53"/>
      <c r="D227" s="15"/>
      <c r="E227" s="89"/>
      <c r="F227" s="16"/>
      <c r="G227" s="16"/>
      <c r="H227" s="90" t="str">
        <f>IF(G227="Regular",Listas!$K$16,IF(G227="Premium",Listas!$K$17,IF(G227="Diesel",Listas!$K$18,"-")))</f>
        <v>-</v>
      </c>
      <c r="I227" s="17"/>
      <c r="J227" s="18"/>
      <c r="K227" s="19" t="str">
        <f>+IFERROR(IF(G227="Regular",VLOOKUP(C227,'PRECIO TERMINAL PEMEX'!$B$4:$E$35,2,0),IF(G227="Premium",VLOOKUP(C227,'PRECIO TERMINAL PEMEX'!$B$4:$E$35,3,0),IF(G227="Diesel",VLOOKUP(C227,'PRECIO TERMINAL PEMEX'!$B$4:$E$35,4,0),"Seleccione Producto"))),"-")</f>
        <v>Seleccione Producto</v>
      </c>
      <c r="L227" s="93" t="str">
        <f>+IFERROR(IF(F227="VHSA",VLOOKUP(B227,Listas!$C$4:$F$17,2,0),IF(F227="DOS BOCAS",VLOOKUP(B227,Listas!$C$4:$F$17,3,0),IF(F227="GLENCORE",VLOOKUP(B227,Listas!$C$4:$F$17,4,0),"Seleccione TAR"))),"-")</f>
        <v>Seleccione TAR</v>
      </c>
      <c r="M227" s="19" t="str">
        <f>+IFERROR(IF(G227="Regular",VLOOKUP(C227,'DESCUENTO PROVEEDORES'!$B$4:$E$35,2,0),IF(G227="Premium",VLOOKUP(C227,'DESCUENTO PROVEEDORES'!$B$4:$E$35,3,0),IF(G227="Diesel",VLOOKUP(C227,'DESCUENTO PROVEEDORES'!$B$4:$E$35,4,0),"Seleccione Proveedor"))),"-")</f>
        <v>Seleccione Proveedor</v>
      </c>
      <c r="N227" s="20" t="e">
        <f>((((K227-H227)/1.16)-M227))</f>
        <v>#VALUE!</v>
      </c>
      <c r="O227" s="21" t="e">
        <f>((N227*16%)+N227)+H227+L227</f>
        <v>#VALUE!</v>
      </c>
      <c r="P227" s="21" t="e">
        <f>(((J227-O227)-H227)/1.16)+H227</f>
        <v>#VALUE!</v>
      </c>
      <c r="Q227" s="44"/>
      <c r="R227" s="24"/>
      <c r="S227" s="23" t="e">
        <f t="shared" si="9"/>
        <v>#DIV/0!</v>
      </c>
      <c r="T227" s="23" t="e">
        <f t="shared" si="10"/>
        <v>#DIV/0!</v>
      </c>
      <c r="U227" s="22" t="e">
        <f t="shared" si="11"/>
        <v>#DIV/0!</v>
      </c>
      <c r="V227" s="44"/>
      <c r="W227" s="44"/>
      <c r="X227" s="44"/>
      <c r="Y227" s="44"/>
      <c r="Z227" s="44"/>
    </row>
    <row r="228" spans="1:26" ht="15.75" customHeight="1">
      <c r="A228" s="44"/>
      <c r="B228" s="14"/>
      <c r="C228" s="53"/>
      <c r="D228" s="15"/>
      <c r="E228" s="89"/>
      <c r="F228" s="16"/>
      <c r="G228" s="16"/>
      <c r="H228" s="90" t="str">
        <f>IF(G228="Regular",Listas!$K$16,IF(G228="Premium",Listas!$K$17,IF(G228="Diesel",Listas!$K$18,"-")))</f>
        <v>-</v>
      </c>
      <c r="I228" s="17"/>
      <c r="J228" s="18"/>
      <c r="K228" s="19" t="str">
        <f>+IFERROR(IF(G228="Regular",VLOOKUP(C228,'PRECIO TERMINAL PEMEX'!$B$4:$E$35,2,0),IF(G228="Premium",VLOOKUP(C228,'PRECIO TERMINAL PEMEX'!$B$4:$E$35,3,0),IF(G228="Diesel",VLOOKUP(C228,'PRECIO TERMINAL PEMEX'!$B$4:$E$35,4,0),"Seleccione Producto"))),"-")</f>
        <v>Seleccione Producto</v>
      </c>
      <c r="L228" s="93" t="str">
        <f>+IFERROR(IF(F228="VHSA",VLOOKUP(B228,Listas!$C$4:$F$17,2,0),IF(F228="DOS BOCAS",VLOOKUP(B228,Listas!$C$4:$F$17,3,0),IF(F228="GLENCORE",VLOOKUP(B228,Listas!$C$4:$F$17,4,0),"Seleccione TAR"))),"-")</f>
        <v>Seleccione TAR</v>
      </c>
      <c r="M228" s="19" t="str">
        <f>+IFERROR(IF(G228="Regular",VLOOKUP(C228,'DESCUENTO PROVEEDORES'!$B$4:$E$35,2,0),IF(G228="Premium",VLOOKUP(C228,'DESCUENTO PROVEEDORES'!$B$4:$E$35,3,0),IF(G228="Diesel",VLOOKUP(C228,'DESCUENTO PROVEEDORES'!$B$4:$E$35,4,0),"Seleccione Proveedor"))),"-")</f>
        <v>Seleccione Proveedor</v>
      </c>
      <c r="N228" s="20" t="e">
        <f>((((K228-H228)/1.16)-M228))</f>
        <v>#VALUE!</v>
      </c>
      <c r="O228" s="21" t="e">
        <f>((N228*16%)+N228)+H228+L228</f>
        <v>#VALUE!</v>
      </c>
      <c r="P228" s="21" t="e">
        <f>(((J228-O228)-H228)/1.16)+H228</f>
        <v>#VALUE!</v>
      </c>
      <c r="Q228" s="44"/>
      <c r="R228" s="24"/>
      <c r="S228" s="23" t="e">
        <f t="shared" si="9"/>
        <v>#DIV/0!</v>
      </c>
      <c r="T228" s="23" t="e">
        <f t="shared" si="10"/>
        <v>#DIV/0!</v>
      </c>
      <c r="U228" s="22" t="e">
        <f t="shared" si="11"/>
        <v>#DIV/0!</v>
      </c>
      <c r="V228" s="44"/>
      <c r="W228" s="44"/>
      <c r="X228" s="44"/>
      <c r="Y228" s="44"/>
      <c r="Z228" s="44"/>
    </row>
    <row r="229" spans="1:26" ht="15.75" customHeight="1">
      <c r="A229" s="44"/>
      <c r="B229" s="14"/>
      <c r="C229" s="53"/>
      <c r="D229" s="15"/>
      <c r="E229" s="89"/>
      <c r="F229" s="16"/>
      <c r="G229" s="16"/>
      <c r="H229" s="90" t="str">
        <f>IF(G229="Regular",Listas!$K$16,IF(G229="Premium",Listas!$K$17,IF(G229="Diesel",Listas!$K$18,"-")))</f>
        <v>-</v>
      </c>
      <c r="I229" s="17"/>
      <c r="J229" s="18"/>
      <c r="K229" s="19" t="str">
        <f>+IFERROR(IF(G229="Regular",VLOOKUP(C229,'PRECIO TERMINAL PEMEX'!$B$4:$E$35,2,0),IF(G229="Premium",VLOOKUP(C229,'PRECIO TERMINAL PEMEX'!$B$4:$E$35,3,0),IF(G229="Diesel",VLOOKUP(C229,'PRECIO TERMINAL PEMEX'!$B$4:$E$35,4,0),"Seleccione Producto"))),"-")</f>
        <v>Seleccione Producto</v>
      </c>
      <c r="L229" s="93" t="str">
        <f>+IFERROR(IF(F229="VHSA",VLOOKUP(B229,Listas!$C$4:$F$17,2,0),IF(F229="DOS BOCAS",VLOOKUP(B229,Listas!$C$4:$F$17,3,0),IF(F229="GLENCORE",VLOOKUP(B229,Listas!$C$4:$F$17,4,0),"Seleccione TAR"))),"-")</f>
        <v>Seleccione TAR</v>
      </c>
      <c r="M229" s="19" t="str">
        <f>+IFERROR(IF(G229="Regular",VLOOKUP(C229,'DESCUENTO PROVEEDORES'!$B$4:$E$35,2,0),IF(G229="Premium",VLOOKUP(C229,'DESCUENTO PROVEEDORES'!$B$4:$E$35,3,0),IF(G229="Diesel",VLOOKUP(C229,'DESCUENTO PROVEEDORES'!$B$4:$E$35,4,0),"Seleccione Proveedor"))),"-")</f>
        <v>Seleccione Proveedor</v>
      </c>
      <c r="N229" s="20" t="e">
        <f>((((K229-H229)/1.16)-M229))</f>
        <v>#VALUE!</v>
      </c>
      <c r="O229" s="21" t="e">
        <f>((N229*16%)+N229)+H229+L229</f>
        <v>#VALUE!</v>
      </c>
      <c r="P229" s="21" t="e">
        <f>(((J229-O229)-H229)/1.16)+H229</f>
        <v>#VALUE!</v>
      </c>
      <c r="Q229" s="44"/>
      <c r="R229" s="24"/>
      <c r="S229" s="23" t="e">
        <f t="shared" si="9"/>
        <v>#DIV/0!</v>
      </c>
      <c r="T229" s="23" t="e">
        <f t="shared" si="10"/>
        <v>#DIV/0!</v>
      </c>
      <c r="U229" s="22" t="e">
        <f t="shared" si="11"/>
        <v>#DIV/0!</v>
      </c>
      <c r="V229" s="44"/>
      <c r="W229" s="44"/>
      <c r="X229" s="44"/>
      <c r="Y229" s="44"/>
      <c r="Z229" s="44"/>
    </row>
    <row r="230" spans="1:26" ht="15.75" customHeight="1">
      <c r="A230" s="44"/>
      <c r="B230" s="14"/>
      <c r="C230" s="53"/>
      <c r="D230" s="15"/>
      <c r="E230" s="89"/>
      <c r="F230" s="16"/>
      <c r="G230" s="16"/>
      <c r="H230" s="90" t="str">
        <f>IF(G230="Regular",Listas!$K$16,IF(G230="Premium",Listas!$K$17,IF(G230="Diesel",Listas!$K$18,"-")))</f>
        <v>-</v>
      </c>
      <c r="I230" s="17"/>
      <c r="J230" s="18"/>
      <c r="K230" s="19" t="str">
        <f>+IFERROR(IF(G230="Regular",VLOOKUP(C230,'PRECIO TERMINAL PEMEX'!$B$4:$E$35,2,0),IF(G230="Premium",VLOOKUP(C230,'PRECIO TERMINAL PEMEX'!$B$4:$E$35,3,0),IF(G230="Diesel",VLOOKUP(C230,'PRECIO TERMINAL PEMEX'!$B$4:$E$35,4,0),"Seleccione Producto"))),"-")</f>
        <v>Seleccione Producto</v>
      </c>
      <c r="L230" s="93" t="str">
        <f>+IFERROR(IF(F230="VHSA",VLOOKUP(B230,Listas!$C$4:$F$17,2,0),IF(F230="DOS BOCAS",VLOOKUP(B230,Listas!$C$4:$F$17,3,0),IF(F230="GLENCORE",VLOOKUP(B230,Listas!$C$4:$F$17,4,0),"Seleccione TAR"))),"-")</f>
        <v>Seleccione TAR</v>
      </c>
      <c r="M230" s="19" t="str">
        <f>+IFERROR(IF(G230="Regular",VLOOKUP(C230,'DESCUENTO PROVEEDORES'!$B$4:$E$35,2,0),IF(G230="Premium",VLOOKUP(C230,'DESCUENTO PROVEEDORES'!$B$4:$E$35,3,0),IF(G230="Diesel",VLOOKUP(C230,'DESCUENTO PROVEEDORES'!$B$4:$E$35,4,0),"Seleccione Proveedor"))),"-")</f>
        <v>Seleccione Proveedor</v>
      </c>
      <c r="N230" s="20" t="e">
        <f>((((K230-H230)/1.16)-M230))</f>
        <v>#VALUE!</v>
      </c>
      <c r="O230" s="21" t="e">
        <f>((N230*16%)+N230)+H230+L230</f>
        <v>#VALUE!</v>
      </c>
      <c r="P230" s="21" t="e">
        <f>(((J230-O230)-H230)/1.16)+H230</f>
        <v>#VALUE!</v>
      </c>
      <c r="Q230" s="44"/>
      <c r="R230" s="24"/>
      <c r="S230" s="23" t="e">
        <f t="shared" si="9"/>
        <v>#DIV/0!</v>
      </c>
      <c r="T230" s="23" t="e">
        <f t="shared" si="10"/>
        <v>#DIV/0!</v>
      </c>
      <c r="U230" s="22" t="e">
        <f t="shared" si="11"/>
        <v>#DIV/0!</v>
      </c>
      <c r="V230" s="44"/>
      <c r="W230" s="44"/>
      <c r="X230" s="44"/>
      <c r="Y230" s="44"/>
      <c r="Z230" s="44"/>
    </row>
    <row r="231" spans="1:26" ht="15.75" customHeight="1">
      <c r="A231" s="44"/>
      <c r="B231" s="14"/>
      <c r="C231" s="53"/>
      <c r="D231" s="15"/>
      <c r="E231" s="89"/>
      <c r="F231" s="16"/>
      <c r="G231" s="16"/>
      <c r="H231" s="90" t="str">
        <f>IF(G231="Regular",Listas!$K$16,IF(G231="Premium",Listas!$K$17,IF(G231="Diesel",Listas!$K$18,"-")))</f>
        <v>-</v>
      </c>
      <c r="I231" s="17"/>
      <c r="J231" s="18"/>
      <c r="K231" s="19" t="str">
        <f>+IFERROR(IF(G231="Regular",VLOOKUP(C231,'PRECIO TERMINAL PEMEX'!$B$4:$E$35,2,0),IF(G231="Premium",VLOOKUP(C231,'PRECIO TERMINAL PEMEX'!$B$4:$E$35,3,0),IF(G231="Diesel",VLOOKUP(C231,'PRECIO TERMINAL PEMEX'!$B$4:$E$35,4,0),"Seleccione Producto"))),"-")</f>
        <v>Seleccione Producto</v>
      </c>
      <c r="L231" s="93" t="str">
        <f>+IFERROR(IF(F231="VHSA",VLOOKUP(B231,Listas!$C$4:$F$17,2,0),IF(F231="DOS BOCAS",VLOOKUP(B231,Listas!$C$4:$F$17,3,0),IF(F231="GLENCORE",VLOOKUP(B231,Listas!$C$4:$F$17,4,0),"Seleccione TAR"))),"-")</f>
        <v>Seleccione TAR</v>
      </c>
      <c r="M231" s="19" t="str">
        <f>+IFERROR(IF(G231="Regular",VLOOKUP(C231,'DESCUENTO PROVEEDORES'!$B$4:$E$35,2,0),IF(G231="Premium",VLOOKUP(C231,'DESCUENTO PROVEEDORES'!$B$4:$E$35,3,0),IF(G231="Diesel",VLOOKUP(C231,'DESCUENTO PROVEEDORES'!$B$4:$E$35,4,0),"Seleccione Proveedor"))),"-")</f>
        <v>Seleccione Proveedor</v>
      </c>
      <c r="N231" s="20" t="e">
        <f>((((K231-H231)/1.16)-M231))</f>
        <v>#VALUE!</v>
      </c>
      <c r="O231" s="21" t="e">
        <f>((N231*16%)+N231)+H231+L231</f>
        <v>#VALUE!</v>
      </c>
      <c r="P231" s="21" t="e">
        <f>(((J231-O231)-H231)/1.16)+H231</f>
        <v>#VALUE!</v>
      </c>
      <c r="Q231" s="44"/>
      <c r="R231" s="24"/>
      <c r="S231" s="23" t="e">
        <f t="shared" si="9"/>
        <v>#DIV/0!</v>
      </c>
      <c r="T231" s="23" t="e">
        <f t="shared" si="10"/>
        <v>#DIV/0!</v>
      </c>
      <c r="U231" s="22" t="e">
        <f t="shared" si="11"/>
        <v>#DIV/0!</v>
      </c>
      <c r="V231" s="44"/>
      <c r="W231" s="44"/>
      <c r="X231" s="44"/>
      <c r="Y231" s="44"/>
      <c r="Z231" s="44"/>
    </row>
    <row r="232" spans="1:26" ht="15.75" customHeight="1">
      <c r="A232" s="44"/>
      <c r="B232" s="14"/>
      <c r="C232" s="53"/>
      <c r="D232" s="15"/>
      <c r="E232" s="89"/>
      <c r="F232" s="16"/>
      <c r="G232" s="16"/>
      <c r="H232" s="90" t="str">
        <f>IF(G232="Regular",Listas!$K$16,IF(G232="Premium",Listas!$K$17,IF(G232="Diesel",Listas!$K$18,"-")))</f>
        <v>-</v>
      </c>
      <c r="I232" s="17"/>
      <c r="J232" s="18"/>
      <c r="K232" s="19" t="str">
        <f>+IFERROR(IF(G232="Regular",VLOOKUP(C232,'PRECIO TERMINAL PEMEX'!$B$4:$E$35,2,0),IF(G232="Premium",VLOOKUP(C232,'PRECIO TERMINAL PEMEX'!$B$4:$E$35,3,0),IF(G232="Diesel",VLOOKUP(C232,'PRECIO TERMINAL PEMEX'!$B$4:$E$35,4,0),"Seleccione Producto"))),"-")</f>
        <v>Seleccione Producto</v>
      </c>
      <c r="L232" s="93" t="str">
        <f>+IFERROR(IF(F232="VHSA",VLOOKUP(B232,Listas!$C$4:$F$17,2,0),IF(F232="DOS BOCAS",VLOOKUP(B232,Listas!$C$4:$F$17,3,0),IF(F232="GLENCORE",VLOOKUP(B232,Listas!$C$4:$F$17,4,0),"Seleccione TAR"))),"-")</f>
        <v>Seleccione TAR</v>
      </c>
      <c r="M232" s="19" t="str">
        <f>+IFERROR(IF(G232="Regular",VLOOKUP(C232,'DESCUENTO PROVEEDORES'!$B$4:$E$35,2,0),IF(G232="Premium",VLOOKUP(C232,'DESCUENTO PROVEEDORES'!$B$4:$E$35,3,0),IF(G232="Diesel",VLOOKUP(C232,'DESCUENTO PROVEEDORES'!$B$4:$E$35,4,0),"Seleccione Proveedor"))),"-")</f>
        <v>Seleccione Proveedor</v>
      </c>
      <c r="N232" s="20" t="e">
        <f>((((K232-H232)/1.16)-M232))</f>
        <v>#VALUE!</v>
      </c>
      <c r="O232" s="21" t="e">
        <f>((N232*16%)+N232)+H232+L232</f>
        <v>#VALUE!</v>
      </c>
      <c r="P232" s="21" t="e">
        <f>(((J232-O232)-H232)/1.16)+H232</f>
        <v>#VALUE!</v>
      </c>
      <c r="Q232" s="44"/>
      <c r="R232" s="24"/>
      <c r="S232" s="23" t="e">
        <f t="shared" si="9"/>
        <v>#DIV/0!</v>
      </c>
      <c r="T232" s="23" t="e">
        <f t="shared" si="10"/>
        <v>#DIV/0!</v>
      </c>
      <c r="U232" s="22" t="e">
        <f t="shared" si="11"/>
        <v>#DIV/0!</v>
      </c>
      <c r="V232" s="44"/>
      <c r="W232" s="44"/>
      <c r="X232" s="44"/>
      <c r="Y232" s="44"/>
      <c r="Z232" s="44"/>
    </row>
    <row r="233" spans="1:26" ht="15.75" customHeight="1">
      <c r="A233" s="44"/>
      <c r="B233" s="14"/>
      <c r="C233" s="53"/>
      <c r="D233" s="15"/>
      <c r="E233" s="89"/>
      <c r="F233" s="16"/>
      <c r="G233" s="16"/>
      <c r="H233" s="90" t="str">
        <f>IF(G233="Regular",Listas!$K$16,IF(G233="Premium",Listas!$K$17,IF(G233="Diesel",Listas!$K$18,"-")))</f>
        <v>-</v>
      </c>
      <c r="I233" s="17"/>
      <c r="J233" s="18"/>
      <c r="K233" s="19" t="str">
        <f>+IFERROR(IF(G233="Regular",VLOOKUP(C233,'PRECIO TERMINAL PEMEX'!$B$4:$E$35,2,0),IF(G233="Premium",VLOOKUP(C233,'PRECIO TERMINAL PEMEX'!$B$4:$E$35,3,0),IF(G233="Diesel",VLOOKUP(C233,'PRECIO TERMINAL PEMEX'!$B$4:$E$35,4,0),"Seleccione Producto"))),"-")</f>
        <v>Seleccione Producto</v>
      </c>
      <c r="L233" s="93" t="str">
        <f>+IFERROR(IF(F233="VHSA",VLOOKUP(B233,Listas!$C$4:$F$17,2,0),IF(F233="DOS BOCAS",VLOOKUP(B233,Listas!$C$4:$F$17,3,0),IF(F233="GLENCORE",VLOOKUP(B233,Listas!$C$4:$F$17,4,0),"Seleccione TAR"))),"-")</f>
        <v>Seleccione TAR</v>
      </c>
      <c r="M233" s="19" t="str">
        <f>+IFERROR(IF(G233="Regular",VLOOKUP(C233,'DESCUENTO PROVEEDORES'!$B$4:$E$35,2,0),IF(G233="Premium",VLOOKUP(C233,'DESCUENTO PROVEEDORES'!$B$4:$E$35,3,0),IF(G233="Diesel",VLOOKUP(C233,'DESCUENTO PROVEEDORES'!$B$4:$E$35,4,0),"Seleccione Proveedor"))),"-")</f>
        <v>Seleccione Proveedor</v>
      </c>
      <c r="N233" s="20" t="e">
        <f>((((K233-H233)/1.16)-M233))</f>
        <v>#VALUE!</v>
      </c>
      <c r="O233" s="21" t="e">
        <f>((N233*16%)+N233)+H233+L233</f>
        <v>#VALUE!</v>
      </c>
      <c r="P233" s="21" t="e">
        <f>(((J233-O233)-H233)/1.16)+H233</f>
        <v>#VALUE!</v>
      </c>
      <c r="Q233" s="44"/>
      <c r="R233" s="24"/>
      <c r="S233" s="23" t="e">
        <f t="shared" si="9"/>
        <v>#DIV/0!</v>
      </c>
      <c r="T233" s="23" t="e">
        <f t="shared" si="10"/>
        <v>#DIV/0!</v>
      </c>
      <c r="U233" s="22" t="e">
        <f t="shared" si="11"/>
        <v>#DIV/0!</v>
      </c>
      <c r="V233" s="44"/>
      <c r="W233" s="44"/>
      <c r="X233" s="44"/>
      <c r="Y233" s="44"/>
      <c r="Z233" s="44"/>
    </row>
    <row r="234" spans="1:26" ht="15.75" customHeight="1">
      <c r="A234" s="44"/>
      <c r="B234" s="14"/>
      <c r="C234" s="53"/>
      <c r="D234" s="15"/>
      <c r="E234" s="89"/>
      <c r="F234" s="16"/>
      <c r="G234" s="16"/>
      <c r="H234" s="90" t="str">
        <f>IF(G234="Regular",Listas!$K$16,IF(G234="Premium",Listas!$K$17,IF(G234="Diesel",Listas!$K$18,"-")))</f>
        <v>-</v>
      </c>
      <c r="I234" s="17"/>
      <c r="J234" s="18"/>
      <c r="K234" s="19" t="str">
        <f>+IFERROR(IF(G234="Regular",VLOOKUP(C234,'PRECIO TERMINAL PEMEX'!$B$4:$E$35,2,0),IF(G234="Premium",VLOOKUP(C234,'PRECIO TERMINAL PEMEX'!$B$4:$E$35,3,0),IF(G234="Diesel",VLOOKUP(C234,'PRECIO TERMINAL PEMEX'!$B$4:$E$35,4,0),"Seleccione Producto"))),"-")</f>
        <v>Seleccione Producto</v>
      </c>
      <c r="L234" s="93" t="str">
        <f>+IFERROR(IF(F234="VHSA",VLOOKUP(B234,Listas!$C$4:$F$17,2,0),IF(F234="DOS BOCAS",VLOOKUP(B234,Listas!$C$4:$F$17,3,0),IF(F234="GLENCORE",VLOOKUP(B234,Listas!$C$4:$F$17,4,0),"Seleccione TAR"))),"-")</f>
        <v>Seleccione TAR</v>
      </c>
      <c r="M234" s="19" t="str">
        <f>+IFERROR(IF(G234="Regular",VLOOKUP(C234,'DESCUENTO PROVEEDORES'!$B$4:$E$35,2,0),IF(G234="Premium",VLOOKUP(C234,'DESCUENTO PROVEEDORES'!$B$4:$E$35,3,0),IF(G234="Diesel",VLOOKUP(C234,'DESCUENTO PROVEEDORES'!$B$4:$E$35,4,0),"Seleccione Proveedor"))),"-")</f>
        <v>Seleccione Proveedor</v>
      </c>
      <c r="N234" s="20" t="e">
        <f>((((K234-H234)/1.16)-M234))</f>
        <v>#VALUE!</v>
      </c>
      <c r="O234" s="21" t="e">
        <f>((N234*16%)+N234)+H234+L234</f>
        <v>#VALUE!</v>
      </c>
      <c r="P234" s="21" t="e">
        <f>(((J234-O234)-H234)/1.16)+H234</f>
        <v>#VALUE!</v>
      </c>
      <c r="Q234" s="44"/>
      <c r="R234" s="24"/>
      <c r="S234" s="23" t="e">
        <f t="shared" si="9"/>
        <v>#DIV/0!</v>
      </c>
      <c r="T234" s="23" t="e">
        <f t="shared" si="10"/>
        <v>#DIV/0!</v>
      </c>
      <c r="U234" s="22" t="e">
        <f t="shared" si="11"/>
        <v>#DIV/0!</v>
      </c>
      <c r="V234" s="44"/>
      <c r="W234" s="44"/>
      <c r="X234" s="44"/>
      <c r="Y234" s="44"/>
      <c r="Z234" s="44"/>
    </row>
    <row r="235" spans="1:26" ht="15.75" customHeight="1">
      <c r="A235" s="44"/>
      <c r="B235" s="14"/>
      <c r="C235" s="53"/>
      <c r="D235" s="15"/>
      <c r="E235" s="89"/>
      <c r="F235" s="16"/>
      <c r="G235" s="16"/>
      <c r="H235" s="90" t="str">
        <f>IF(G235="Regular",Listas!$K$16,IF(G235="Premium",Listas!$K$17,IF(G235="Diesel",Listas!$K$18,"-")))</f>
        <v>-</v>
      </c>
      <c r="I235" s="17"/>
      <c r="J235" s="18"/>
      <c r="K235" s="19" t="str">
        <f>+IFERROR(IF(G235="Regular",VLOOKUP(C235,'PRECIO TERMINAL PEMEX'!$B$4:$E$35,2,0),IF(G235="Premium",VLOOKUP(C235,'PRECIO TERMINAL PEMEX'!$B$4:$E$35,3,0),IF(G235="Diesel",VLOOKUP(C235,'PRECIO TERMINAL PEMEX'!$B$4:$E$35,4,0),"Seleccione Producto"))),"-")</f>
        <v>Seleccione Producto</v>
      </c>
      <c r="L235" s="93" t="str">
        <f>+IFERROR(IF(F235="VHSA",VLOOKUP(B235,Listas!$C$4:$F$17,2,0),IF(F235="DOS BOCAS",VLOOKUP(B235,Listas!$C$4:$F$17,3,0),IF(F235="GLENCORE",VLOOKUP(B235,Listas!$C$4:$F$17,4,0),"Seleccione TAR"))),"-")</f>
        <v>Seleccione TAR</v>
      </c>
      <c r="M235" s="19" t="str">
        <f>+IFERROR(IF(G235="Regular",VLOOKUP(C235,'DESCUENTO PROVEEDORES'!$B$4:$E$35,2,0),IF(G235="Premium",VLOOKUP(C235,'DESCUENTO PROVEEDORES'!$B$4:$E$35,3,0),IF(G235="Diesel",VLOOKUP(C235,'DESCUENTO PROVEEDORES'!$B$4:$E$35,4,0),"Seleccione Proveedor"))),"-")</f>
        <v>Seleccione Proveedor</v>
      </c>
      <c r="N235" s="20" t="e">
        <f>((((K235-H235)/1.16)-M235))</f>
        <v>#VALUE!</v>
      </c>
      <c r="O235" s="21" t="e">
        <f>((N235*16%)+N235)+H235+L235</f>
        <v>#VALUE!</v>
      </c>
      <c r="P235" s="21" t="e">
        <f>(((J235-O235)-H235)/1.16)+H235</f>
        <v>#VALUE!</v>
      </c>
      <c r="Q235" s="44"/>
      <c r="R235" s="24"/>
      <c r="S235" s="23" t="e">
        <f t="shared" si="9"/>
        <v>#DIV/0!</v>
      </c>
      <c r="T235" s="23" t="e">
        <f t="shared" si="10"/>
        <v>#DIV/0!</v>
      </c>
      <c r="U235" s="22" t="e">
        <f t="shared" si="11"/>
        <v>#DIV/0!</v>
      </c>
      <c r="V235" s="44"/>
      <c r="W235" s="44"/>
      <c r="X235" s="44"/>
      <c r="Y235" s="44"/>
      <c r="Z235" s="44"/>
    </row>
    <row r="236" spans="1:26" ht="15.75" customHeight="1">
      <c r="A236" s="44"/>
      <c r="B236" s="14"/>
      <c r="C236" s="53"/>
      <c r="D236" s="15"/>
      <c r="E236" s="89"/>
      <c r="F236" s="16"/>
      <c r="G236" s="16"/>
      <c r="H236" s="90" t="str">
        <f>IF(G236="Regular",Listas!$K$16,IF(G236="Premium",Listas!$K$17,IF(G236="Diesel",Listas!$K$18,"-")))</f>
        <v>-</v>
      </c>
      <c r="I236" s="17"/>
      <c r="J236" s="18"/>
      <c r="K236" s="19" t="str">
        <f>+IFERROR(IF(G236="Regular",VLOOKUP(C236,'PRECIO TERMINAL PEMEX'!$B$4:$E$35,2,0),IF(G236="Premium",VLOOKUP(C236,'PRECIO TERMINAL PEMEX'!$B$4:$E$35,3,0),IF(G236="Diesel",VLOOKUP(C236,'PRECIO TERMINAL PEMEX'!$B$4:$E$35,4,0),"Seleccione Producto"))),"-")</f>
        <v>Seleccione Producto</v>
      </c>
      <c r="L236" s="93" t="str">
        <f>+IFERROR(IF(F236="VHSA",VLOOKUP(B236,Listas!$C$4:$F$17,2,0),IF(F236="DOS BOCAS",VLOOKUP(B236,Listas!$C$4:$F$17,3,0),IF(F236="GLENCORE",VLOOKUP(B236,Listas!$C$4:$F$17,4,0),"Seleccione TAR"))),"-")</f>
        <v>Seleccione TAR</v>
      </c>
      <c r="M236" s="19" t="str">
        <f>+IFERROR(IF(G236="Regular",VLOOKUP(C236,'DESCUENTO PROVEEDORES'!$B$4:$E$35,2,0),IF(G236="Premium",VLOOKUP(C236,'DESCUENTO PROVEEDORES'!$B$4:$E$35,3,0),IF(G236="Diesel",VLOOKUP(C236,'DESCUENTO PROVEEDORES'!$B$4:$E$35,4,0),"Seleccione Proveedor"))),"-")</f>
        <v>Seleccione Proveedor</v>
      </c>
      <c r="N236" s="20" t="e">
        <f>((((K236-H236)/1.16)-M236))</f>
        <v>#VALUE!</v>
      </c>
      <c r="O236" s="21" t="e">
        <f>((N236*16%)+N236)+H236+L236</f>
        <v>#VALUE!</v>
      </c>
      <c r="P236" s="21" t="e">
        <f>(((J236-O236)-H236)/1.16)+H236</f>
        <v>#VALUE!</v>
      </c>
      <c r="Q236" s="44"/>
      <c r="R236" s="24"/>
      <c r="S236" s="23" t="e">
        <f t="shared" si="9"/>
        <v>#DIV/0!</v>
      </c>
      <c r="T236" s="23" t="e">
        <f t="shared" si="10"/>
        <v>#DIV/0!</v>
      </c>
      <c r="U236" s="22" t="e">
        <f t="shared" si="11"/>
        <v>#DIV/0!</v>
      </c>
      <c r="V236" s="44"/>
      <c r="W236" s="44"/>
      <c r="X236" s="44"/>
      <c r="Y236" s="44"/>
      <c r="Z236" s="44"/>
    </row>
    <row r="237" spans="1:26" ht="15.75" customHeight="1">
      <c r="A237" s="44"/>
      <c r="B237" s="14"/>
      <c r="C237" s="53"/>
      <c r="D237" s="15"/>
      <c r="E237" s="89"/>
      <c r="F237" s="16"/>
      <c r="G237" s="16"/>
      <c r="H237" s="90" t="str">
        <f>IF(G237="Regular",Listas!$K$16,IF(G237="Premium",Listas!$K$17,IF(G237="Diesel",Listas!$K$18,"-")))</f>
        <v>-</v>
      </c>
      <c r="I237" s="17"/>
      <c r="J237" s="18"/>
      <c r="K237" s="19" t="str">
        <f>+IFERROR(IF(G237="Regular",VLOOKUP(C237,'PRECIO TERMINAL PEMEX'!$B$4:$E$35,2,0),IF(G237="Premium",VLOOKUP(C237,'PRECIO TERMINAL PEMEX'!$B$4:$E$35,3,0),IF(G237="Diesel",VLOOKUP(C237,'PRECIO TERMINAL PEMEX'!$B$4:$E$35,4,0),"Seleccione Producto"))),"-")</f>
        <v>Seleccione Producto</v>
      </c>
      <c r="L237" s="93" t="str">
        <f>+IFERROR(IF(F237="VHSA",VLOOKUP(B237,Listas!$C$4:$F$17,2,0),IF(F237="DOS BOCAS",VLOOKUP(B237,Listas!$C$4:$F$17,3,0),IF(F237="GLENCORE",VLOOKUP(B237,Listas!$C$4:$F$17,4,0),"Seleccione TAR"))),"-")</f>
        <v>Seleccione TAR</v>
      </c>
      <c r="M237" s="19" t="str">
        <f>+IFERROR(IF(G237="Regular",VLOOKUP(C237,'DESCUENTO PROVEEDORES'!$B$4:$E$35,2,0),IF(G237="Premium",VLOOKUP(C237,'DESCUENTO PROVEEDORES'!$B$4:$E$35,3,0),IF(G237="Diesel",VLOOKUP(C237,'DESCUENTO PROVEEDORES'!$B$4:$E$35,4,0),"Seleccione Proveedor"))),"-")</f>
        <v>Seleccione Proveedor</v>
      </c>
      <c r="N237" s="20" t="e">
        <f>((((K237-H237)/1.16)-M237))</f>
        <v>#VALUE!</v>
      </c>
      <c r="O237" s="21" t="e">
        <f>((N237*16%)+N237)+H237+L237</f>
        <v>#VALUE!</v>
      </c>
      <c r="P237" s="21" t="e">
        <f>(((J237-O237)-H237)/1.16)+H237</f>
        <v>#VALUE!</v>
      </c>
      <c r="Q237" s="44"/>
      <c r="R237" s="24"/>
      <c r="S237" s="23" t="e">
        <f t="shared" si="9"/>
        <v>#DIV/0!</v>
      </c>
      <c r="T237" s="23" t="e">
        <f t="shared" si="10"/>
        <v>#DIV/0!</v>
      </c>
      <c r="U237" s="22" t="e">
        <f t="shared" si="11"/>
        <v>#DIV/0!</v>
      </c>
      <c r="V237" s="44"/>
      <c r="W237" s="44"/>
      <c r="X237" s="44"/>
      <c r="Y237" s="44"/>
      <c r="Z237" s="44"/>
    </row>
    <row r="238" spans="1:26" ht="15.75" customHeight="1">
      <c r="A238" s="44"/>
      <c r="B238" s="14"/>
      <c r="C238" s="53"/>
      <c r="D238" s="15"/>
      <c r="E238" s="89"/>
      <c r="F238" s="16"/>
      <c r="G238" s="16"/>
      <c r="H238" s="90" t="str">
        <f>IF(G238="Regular",Listas!$K$16,IF(G238="Premium",Listas!$K$17,IF(G238="Diesel",Listas!$K$18,"-")))</f>
        <v>-</v>
      </c>
      <c r="I238" s="17"/>
      <c r="J238" s="18"/>
      <c r="K238" s="19" t="str">
        <f>+IFERROR(IF(G238="Regular",VLOOKUP(C238,'PRECIO TERMINAL PEMEX'!$B$4:$E$35,2,0),IF(G238="Premium",VLOOKUP(C238,'PRECIO TERMINAL PEMEX'!$B$4:$E$35,3,0),IF(G238="Diesel",VLOOKUP(C238,'PRECIO TERMINAL PEMEX'!$B$4:$E$35,4,0),"Seleccione Producto"))),"-")</f>
        <v>Seleccione Producto</v>
      </c>
      <c r="L238" s="93" t="str">
        <f>+IFERROR(IF(F238="VHSA",VLOOKUP(B238,Listas!$C$4:$F$17,2,0),IF(F238="DOS BOCAS",VLOOKUP(B238,Listas!$C$4:$F$17,3,0),IF(F238="GLENCORE",VLOOKUP(B238,Listas!$C$4:$F$17,4,0),"Seleccione TAR"))),"-")</f>
        <v>Seleccione TAR</v>
      </c>
      <c r="M238" s="19" t="str">
        <f>+IFERROR(IF(G238="Regular",VLOOKUP(C238,'DESCUENTO PROVEEDORES'!$B$4:$E$35,2,0),IF(G238="Premium",VLOOKUP(C238,'DESCUENTO PROVEEDORES'!$B$4:$E$35,3,0),IF(G238="Diesel",VLOOKUP(C238,'DESCUENTO PROVEEDORES'!$B$4:$E$35,4,0),"Seleccione Proveedor"))),"-")</f>
        <v>Seleccione Proveedor</v>
      </c>
      <c r="N238" s="20" t="e">
        <f>((((K238-H238)/1.16)-M238))</f>
        <v>#VALUE!</v>
      </c>
      <c r="O238" s="21" t="e">
        <f>((N238*16%)+N238)+H238+L238</f>
        <v>#VALUE!</v>
      </c>
      <c r="P238" s="21" t="e">
        <f>(((J238-O238)-H238)/1.16)+H238</f>
        <v>#VALUE!</v>
      </c>
      <c r="Q238" s="44"/>
      <c r="R238" s="24"/>
      <c r="S238" s="23" t="e">
        <f t="shared" si="9"/>
        <v>#DIV/0!</v>
      </c>
      <c r="T238" s="23" t="e">
        <f t="shared" si="10"/>
        <v>#DIV/0!</v>
      </c>
      <c r="U238" s="22" t="e">
        <f t="shared" si="11"/>
        <v>#DIV/0!</v>
      </c>
      <c r="V238" s="44"/>
      <c r="W238" s="44"/>
      <c r="X238" s="44"/>
      <c r="Y238" s="44"/>
      <c r="Z238" s="44"/>
    </row>
    <row r="239" spans="1:26" ht="15.75" customHeight="1">
      <c r="A239" s="44"/>
      <c r="B239" s="14"/>
      <c r="C239" s="53"/>
      <c r="D239" s="15"/>
      <c r="E239" s="89"/>
      <c r="F239" s="16"/>
      <c r="G239" s="16"/>
      <c r="H239" s="90" t="str">
        <f>IF(G239="Regular",Listas!$K$16,IF(G239="Premium",Listas!$K$17,IF(G239="Diesel",Listas!$K$18,"-")))</f>
        <v>-</v>
      </c>
      <c r="I239" s="17"/>
      <c r="J239" s="18"/>
      <c r="K239" s="19" t="str">
        <f>+IFERROR(IF(G239="Regular",VLOOKUP(C239,'PRECIO TERMINAL PEMEX'!$B$4:$E$35,2,0),IF(G239="Premium",VLOOKUP(C239,'PRECIO TERMINAL PEMEX'!$B$4:$E$35,3,0),IF(G239="Diesel",VLOOKUP(C239,'PRECIO TERMINAL PEMEX'!$B$4:$E$35,4,0),"Seleccione Producto"))),"-")</f>
        <v>Seleccione Producto</v>
      </c>
      <c r="L239" s="93" t="str">
        <f>+IFERROR(IF(F239="VHSA",VLOOKUP(B239,Listas!$C$4:$F$17,2,0),IF(F239="DOS BOCAS",VLOOKUP(B239,Listas!$C$4:$F$17,3,0),IF(F239="GLENCORE",VLOOKUP(B239,Listas!$C$4:$F$17,4,0),"Seleccione TAR"))),"-")</f>
        <v>Seleccione TAR</v>
      </c>
      <c r="M239" s="19" t="str">
        <f>+IFERROR(IF(G239="Regular",VLOOKUP(C239,'DESCUENTO PROVEEDORES'!$B$4:$E$35,2,0),IF(G239="Premium",VLOOKUP(C239,'DESCUENTO PROVEEDORES'!$B$4:$E$35,3,0),IF(G239="Diesel",VLOOKUP(C239,'DESCUENTO PROVEEDORES'!$B$4:$E$35,4,0),"Seleccione Proveedor"))),"-")</f>
        <v>Seleccione Proveedor</v>
      </c>
      <c r="N239" s="20" t="e">
        <f>((((K239-H239)/1.16)-M239))</f>
        <v>#VALUE!</v>
      </c>
      <c r="O239" s="21" t="e">
        <f>((N239*16%)+N239)+H239+L239</f>
        <v>#VALUE!</v>
      </c>
      <c r="P239" s="21" t="e">
        <f>(((J239-O239)-H239)/1.16)+H239</f>
        <v>#VALUE!</v>
      </c>
      <c r="Q239" s="44"/>
      <c r="R239" s="24"/>
      <c r="S239" s="23" t="e">
        <f t="shared" si="9"/>
        <v>#DIV/0!</v>
      </c>
      <c r="T239" s="23" t="e">
        <f t="shared" si="10"/>
        <v>#DIV/0!</v>
      </c>
      <c r="U239" s="22" t="e">
        <f t="shared" si="11"/>
        <v>#DIV/0!</v>
      </c>
      <c r="V239" s="44"/>
      <c r="W239" s="44"/>
      <c r="X239" s="44"/>
      <c r="Y239" s="44"/>
      <c r="Z239" s="44"/>
    </row>
    <row r="240" spans="1:26" ht="15.75" customHeight="1">
      <c r="A240" s="44"/>
      <c r="B240" s="14"/>
      <c r="C240" s="53"/>
      <c r="D240" s="15"/>
      <c r="E240" s="89"/>
      <c r="F240" s="16"/>
      <c r="G240" s="16"/>
      <c r="H240" s="90" t="str">
        <f>IF(G240="Regular",Listas!$K$16,IF(G240="Premium",Listas!$K$17,IF(G240="Diesel",Listas!$K$18,"-")))</f>
        <v>-</v>
      </c>
      <c r="I240" s="17"/>
      <c r="J240" s="18"/>
      <c r="K240" s="19" t="str">
        <f>+IFERROR(IF(G240="Regular",VLOOKUP(C240,'PRECIO TERMINAL PEMEX'!$B$4:$E$35,2,0),IF(G240="Premium",VLOOKUP(C240,'PRECIO TERMINAL PEMEX'!$B$4:$E$35,3,0),IF(G240="Diesel",VLOOKUP(C240,'PRECIO TERMINAL PEMEX'!$B$4:$E$35,4,0),"Seleccione Producto"))),"-")</f>
        <v>Seleccione Producto</v>
      </c>
      <c r="L240" s="93" t="str">
        <f>+IFERROR(IF(F240="VHSA",VLOOKUP(B240,Listas!$C$4:$F$17,2,0),IF(F240="DOS BOCAS",VLOOKUP(B240,Listas!$C$4:$F$17,3,0),IF(F240="GLENCORE",VLOOKUP(B240,Listas!$C$4:$F$17,4,0),"Seleccione TAR"))),"-")</f>
        <v>Seleccione TAR</v>
      </c>
      <c r="M240" s="19" t="str">
        <f>+IFERROR(IF(G240="Regular",VLOOKUP(C240,'DESCUENTO PROVEEDORES'!$B$4:$E$35,2,0),IF(G240="Premium",VLOOKUP(C240,'DESCUENTO PROVEEDORES'!$B$4:$E$35,3,0),IF(G240="Diesel",VLOOKUP(C240,'DESCUENTO PROVEEDORES'!$B$4:$E$35,4,0),"Seleccione Proveedor"))),"-")</f>
        <v>Seleccione Proveedor</v>
      </c>
      <c r="N240" s="20" t="e">
        <f>((((K240-H240)/1.16)-M240))</f>
        <v>#VALUE!</v>
      </c>
      <c r="O240" s="21" t="e">
        <f>((N240*16%)+N240)+H240+L240</f>
        <v>#VALUE!</v>
      </c>
      <c r="P240" s="21" t="e">
        <f>(((J240-O240)-H240)/1.16)+H240</f>
        <v>#VALUE!</v>
      </c>
      <c r="Q240" s="44"/>
      <c r="R240" s="24"/>
      <c r="S240" s="23" t="e">
        <f t="shared" si="9"/>
        <v>#DIV/0!</v>
      </c>
      <c r="T240" s="23" t="e">
        <f t="shared" si="10"/>
        <v>#DIV/0!</v>
      </c>
      <c r="U240" s="22" t="e">
        <f t="shared" si="11"/>
        <v>#DIV/0!</v>
      </c>
      <c r="V240" s="44"/>
      <c r="W240" s="44"/>
      <c r="X240" s="44"/>
      <c r="Y240" s="44"/>
      <c r="Z240" s="44"/>
    </row>
    <row r="241" spans="1:26" ht="15.75" customHeight="1">
      <c r="A241" s="44"/>
      <c r="B241" s="14"/>
      <c r="C241" s="53"/>
      <c r="D241" s="15"/>
      <c r="E241" s="89"/>
      <c r="F241" s="16"/>
      <c r="G241" s="16"/>
      <c r="H241" s="90" t="str">
        <f>IF(G241="Regular",Listas!$K$16,IF(G241="Premium",Listas!$K$17,IF(G241="Diesel",Listas!$K$18,"-")))</f>
        <v>-</v>
      </c>
      <c r="I241" s="17"/>
      <c r="J241" s="18"/>
      <c r="K241" s="19" t="str">
        <f>+IFERROR(IF(G241="Regular",VLOOKUP(C241,'PRECIO TERMINAL PEMEX'!$B$4:$E$35,2,0),IF(G241="Premium",VLOOKUP(C241,'PRECIO TERMINAL PEMEX'!$B$4:$E$35,3,0),IF(G241="Diesel",VLOOKUP(C241,'PRECIO TERMINAL PEMEX'!$B$4:$E$35,4,0),"Seleccione Producto"))),"-")</f>
        <v>Seleccione Producto</v>
      </c>
      <c r="L241" s="93" t="str">
        <f>+IFERROR(IF(F241="VHSA",VLOOKUP(B241,Listas!$C$4:$F$17,2,0),IF(F241="DOS BOCAS",VLOOKUP(B241,Listas!$C$4:$F$17,3,0),IF(F241="GLENCORE",VLOOKUP(B241,Listas!$C$4:$F$17,4,0),"Seleccione TAR"))),"-")</f>
        <v>Seleccione TAR</v>
      </c>
      <c r="M241" s="19" t="str">
        <f>+IFERROR(IF(G241="Regular",VLOOKUP(C241,'DESCUENTO PROVEEDORES'!$B$4:$E$35,2,0),IF(G241="Premium",VLOOKUP(C241,'DESCUENTO PROVEEDORES'!$B$4:$E$35,3,0),IF(G241="Diesel",VLOOKUP(C241,'DESCUENTO PROVEEDORES'!$B$4:$E$35,4,0),"Seleccione Proveedor"))),"-")</f>
        <v>Seleccione Proveedor</v>
      </c>
      <c r="N241" s="20" t="e">
        <f>((((K241-H241)/1.16)-M241))</f>
        <v>#VALUE!</v>
      </c>
      <c r="O241" s="21" t="e">
        <f>((N241*16%)+N241)+H241+L241</f>
        <v>#VALUE!</v>
      </c>
      <c r="P241" s="21" t="e">
        <f>(((J241-O241)-H241)/1.16)+H241</f>
        <v>#VALUE!</v>
      </c>
      <c r="Q241" s="44"/>
      <c r="R241" s="24"/>
      <c r="S241" s="23" t="e">
        <f t="shared" si="9"/>
        <v>#DIV/0!</v>
      </c>
      <c r="T241" s="23" t="e">
        <f t="shared" si="10"/>
        <v>#DIV/0!</v>
      </c>
      <c r="U241" s="22" t="e">
        <f t="shared" si="11"/>
        <v>#DIV/0!</v>
      </c>
      <c r="V241" s="44"/>
      <c r="W241" s="44"/>
      <c r="X241" s="44"/>
      <c r="Y241" s="44"/>
      <c r="Z241" s="44"/>
    </row>
    <row r="242" spans="1:26" ht="15.75" customHeight="1">
      <c r="A242" s="44"/>
      <c r="B242" s="14"/>
      <c r="C242" s="53"/>
      <c r="D242" s="15"/>
      <c r="E242" s="89"/>
      <c r="F242" s="16"/>
      <c r="G242" s="16"/>
      <c r="H242" s="90" t="str">
        <f>IF(G242="Regular",Listas!$K$16,IF(G242="Premium",Listas!$K$17,IF(G242="Diesel",Listas!$K$18,"-")))</f>
        <v>-</v>
      </c>
      <c r="I242" s="17"/>
      <c r="J242" s="18"/>
      <c r="K242" s="19" t="str">
        <f>+IFERROR(IF(G242="Regular",VLOOKUP(C242,'PRECIO TERMINAL PEMEX'!$B$4:$E$35,2,0),IF(G242="Premium",VLOOKUP(C242,'PRECIO TERMINAL PEMEX'!$B$4:$E$35,3,0),IF(G242="Diesel",VLOOKUP(C242,'PRECIO TERMINAL PEMEX'!$B$4:$E$35,4,0),"Seleccione Producto"))),"-")</f>
        <v>Seleccione Producto</v>
      </c>
      <c r="L242" s="93" t="str">
        <f>+IFERROR(IF(F242="VHSA",VLOOKUP(B242,Listas!$C$4:$F$17,2,0),IF(F242="DOS BOCAS",VLOOKUP(B242,Listas!$C$4:$F$17,3,0),IF(F242="GLENCORE",VLOOKUP(B242,Listas!$C$4:$F$17,4,0),"Seleccione TAR"))),"-")</f>
        <v>Seleccione TAR</v>
      </c>
      <c r="M242" s="19" t="str">
        <f>+IFERROR(IF(G242="Regular",VLOOKUP(C242,'DESCUENTO PROVEEDORES'!$B$4:$E$35,2,0),IF(G242="Premium",VLOOKUP(C242,'DESCUENTO PROVEEDORES'!$B$4:$E$35,3,0),IF(G242="Diesel",VLOOKUP(C242,'DESCUENTO PROVEEDORES'!$B$4:$E$35,4,0),"Seleccione Proveedor"))),"-")</f>
        <v>Seleccione Proveedor</v>
      </c>
      <c r="N242" s="20" t="e">
        <f>((((K242-H242)/1.16)-M242))</f>
        <v>#VALUE!</v>
      </c>
      <c r="O242" s="21" t="e">
        <f>((N242*16%)+N242)+H242+L242</f>
        <v>#VALUE!</v>
      </c>
      <c r="P242" s="21" t="e">
        <f>(((J242-O242)-H242)/1.16)+H242</f>
        <v>#VALUE!</v>
      </c>
      <c r="Q242" s="44"/>
      <c r="R242" s="24"/>
      <c r="S242" s="23" t="e">
        <f t="shared" si="9"/>
        <v>#DIV/0!</v>
      </c>
      <c r="T242" s="23" t="e">
        <f t="shared" si="10"/>
        <v>#DIV/0!</v>
      </c>
      <c r="U242" s="22" t="e">
        <f t="shared" si="11"/>
        <v>#DIV/0!</v>
      </c>
      <c r="V242" s="44"/>
      <c r="W242" s="44"/>
      <c r="X242" s="44"/>
      <c r="Y242" s="44"/>
      <c r="Z242" s="44"/>
    </row>
    <row r="243" spans="1:26" ht="15.75" customHeight="1">
      <c r="A243" s="44"/>
      <c r="B243" s="14"/>
      <c r="C243" s="53"/>
      <c r="D243" s="15"/>
      <c r="E243" s="89"/>
      <c r="F243" s="16"/>
      <c r="G243" s="16"/>
      <c r="H243" s="90" t="str">
        <f>IF(G243="Regular",Listas!$K$16,IF(G243="Premium",Listas!$K$17,IF(G243="Diesel",Listas!$K$18,"-")))</f>
        <v>-</v>
      </c>
      <c r="I243" s="17"/>
      <c r="J243" s="18"/>
      <c r="K243" s="19" t="str">
        <f>+IFERROR(IF(G243="Regular",VLOOKUP(C243,'PRECIO TERMINAL PEMEX'!$B$4:$E$35,2,0),IF(G243="Premium",VLOOKUP(C243,'PRECIO TERMINAL PEMEX'!$B$4:$E$35,3,0),IF(G243="Diesel",VLOOKUP(C243,'PRECIO TERMINAL PEMEX'!$B$4:$E$35,4,0),"Seleccione Producto"))),"-")</f>
        <v>Seleccione Producto</v>
      </c>
      <c r="L243" s="93" t="str">
        <f>+IFERROR(IF(F243="VHSA",VLOOKUP(B243,Listas!$C$4:$F$17,2,0),IF(F243="DOS BOCAS",VLOOKUP(B243,Listas!$C$4:$F$17,3,0),IF(F243="GLENCORE",VLOOKUP(B243,Listas!$C$4:$F$17,4,0),"Seleccione TAR"))),"-")</f>
        <v>Seleccione TAR</v>
      </c>
      <c r="M243" s="19" t="str">
        <f>+IFERROR(IF(G243="Regular",VLOOKUP(C243,'DESCUENTO PROVEEDORES'!$B$4:$E$35,2,0),IF(G243="Premium",VLOOKUP(C243,'DESCUENTO PROVEEDORES'!$B$4:$E$35,3,0),IF(G243="Diesel",VLOOKUP(C243,'DESCUENTO PROVEEDORES'!$B$4:$E$35,4,0),"Seleccione Proveedor"))),"-")</f>
        <v>Seleccione Proveedor</v>
      </c>
      <c r="N243" s="20" t="e">
        <f>((((K243-H243)/1.16)-M243))</f>
        <v>#VALUE!</v>
      </c>
      <c r="O243" s="21" t="e">
        <f>((N243*16%)+N243)+H243+L243</f>
        <v>#VALUE!</v>
      </c>
      <c r="P243" s="21" t="e">
        <f>(((J243-O243)-H243)/1.16)+H243</f>
        <v>#VALUE!</v>
      </c>
      <c r="Q243" s="44"/>
      <c r="R243" s="24"/>
      <c r="S243" s="23" t="e">
        <f t="shared" si="9"/>
        <v>#DIV/0!</v>
      </c>
      <c r="T243" s="23" t="e">
        <f t="shared" si="10"/>
        <v>#DIV/0!</v>
      </c>
      <c r="U243" s="22" t="e">
        <f t="shared" si="11"/>
        <v>#DIV/0!</v>
      </c>
      <c r="V243" s="44"/>
      <c r="W243" s="44"/>
      <c r="X243" s="44"/>
      <c r="Y243" s="44"/>
      <c r="Z243" s="44"/>
    </row>
    <row r="244" spans="1:26" ht="15.75" customHeight="1">
      <c r="A244" s="44"/>
      <c r="B244" s="14"/>
      <c r="C244" s="53"/>
      <c r="D244" s="15"/>
      <c r="E244" s="89"/>
      <c r="F244" s="16"/>
      <c r="G244" s="16"/>
      <c r="H244" s="90" t="str">
        <f>IF(G244="Regular",Listas!$K$16,IF(G244="Premium",Listas!$K$17,IF(G244="Diesel",Listas!$K$18,"-")))</f>
        <v>-</v>
      </c>
      <c r="I244" s="17"/>
      <c r="J244" s="18"/>
      <c r="K244" s="19" t="str">
        <f>+IFERROR(IF(G244="Regular",VLOOKUP(C244,'PRECIO TERMINAL PEMEX'!$B$4:$E$35,2,0),IF(G244="Premium",VLOOKUP(C244,'PRECIO TERMINAL PEMEX'!$B$4:$E$35,3,0),IF(G244="Diesel",VLOOKUP(C244,'PRECIO TERMINAL PEMEX'!$B$4:$E$35,4,0),"Seleccione Producto"))),"-")</f>
        <v>Seleccione Producto</v>
      </c>
      <c r="L244" s="93" t="str">
        <f>+IFERROR(IF(F244="VHSA",VLOOKUP(B244,Listas!$C$4:$F$17,2,0),IF(F244="DOS BOCAS",VLOOKUP(B244,Listas!$C$4:$F$17,3,0),IF(F244="GLENCORE",VLOOKUP(B244,Listas!$C$4:$F$17,4,0),"Seleccione TAR"))),"-")</f>
        <v>Seleccione TAR</v>
      </c>
      <c r="M244" s="19" t="str">
        <f>+IFERROR(IF(G244="Regular",VLOOKUP(C244,'DESCUENTO PROVEEDORES'!$B$4:$E$35,2,0),IF(G244="Premium",VLOOKUP(C244,'DESCUENTO PROVEEDORES'!$B$4:$E$35,3,0),IF(G244="Diesel",VLOOKUP(C244,'DESCUENTO PROVEEDORES'!$B$4:$E$35,4,0),"Seleccione Proveedor"))),"-")</f>
        <v>Seleccione Proveedor</v>
      </c>
      <c r="N244" s="20" t="e">
        <f>((((K244-H244)/1.16)-M244))</f>
        <v>#VALUE!</v>
      </c>
      <c r="O244" s="21" t="e">
        <f>((N244*16%)+N244)+H244+L244</f>
        <v>#VALUE!</v>
      </c>
      <c r="P244" s="21" t="e">
        <f>(((J244-O244)-H244)/1.16)+H244</f>
        <v>#VALUE!</v>
      </c>
      <c r="Q244" s="44"/>
      <c r="R244" s="24"/>
      <c r="S244" s="23" t="e">
        <f t="shared" si="9"/>
        <v>#DIV/0!</v>
      </c>
      <c r="T244" s="23" t="e">
        <f t="shared" si="10"/>
        <v>#DIV/0!</v>
      </c>
      <c r="U244" s="22" t="e">
        <f t="shared" si="11"/>
        <v>#DIV/0!</v>
      </c>
      <c r="V244" s="44"/>
      <c r="W244" s="44"/>
      <c r="X244" s="44"/>
      <c r="Y244" s="44"/>
      <c r="Z244" s="44"/>
    </row>
    <row r="245" spans="1:26" ht="15.75" customHeight="1">
      <c r="A245" s="44"/>
      <c r="B245" s="14"/>
      <c r="C245" s="53"/>
      <c r="D245" s="15"/>
      <c r="E245" s="89"/>
      <c r="F245" s="16"/>
      <c r="G245" s="16"/>
      <c r="H245" s="90" t="str">
        <f>IF(G245="Regular",Listas!$K$16,IF(G245="Premium",Listas!$K$17,IF(G245="Diesel",Listas!$K$18,"-")))</f>
        <v>-</v>
      </c>
      <c r="I245" s="17"/>
      <c r="J245" s="18"/>
      <c r="K245" s="19" t="str">
        <f>+IFERROR(IF(G245="Regular",VLOOKUP(C245,'PRECIO TERMINAL PEMEX'!$B$4:$E$35,2,0),IF(G245="Premium",VLOOKUP(C245,'PRECIO TERMINAL PEMEX'!$B$4:$E$35,3,0),IF(G245="Diesel",VLOOKUP(C245,'PRECIO TERMINAL PEMEX'!$B$4:$E$35,4,0),"Seleccione Producto"))),"-")</f>
        <v>Seleccione Producto</v>
      </c>
      <c r="L245" s="93" t="str">
        <f>+IFERROR(IF(F245="VHSA",VLOOKUP(B245,Listas!$C$4:$F$17,2,0),IF(F245="DOS BOCAS",VLOOKUP(B245,Listas!$C$4:$F$17,3,0),IF(F245="GLENCORE",VLOOKUP(B245,Listas!$C$4:$F$17,4,0),"Seleccione TAR"))),"-")</f>
        <v>Seleccione TAR</v>
      </c>
      <c r="M245" s="19" t="str">
        <f>+IFERROR(IF(G245="Regular",VLOOKUP(C245,'DESCUENTO PROVEEDORES'!$B$4:$E$35,2,0),IF(G245="Premium",VLOOKUP(C245,'DESCUENTO PROVEEDORES'!$B$4:$E$35,3,0),IF(G245="Diesel",VLOOKUP(C245,'DESCUENTO PROVEEDORES'!$B$4:$E$35,4,0),"Seleccione Proveedor"))),"-")</f>
        <v>Seleccione Proveedor</v>
      </c>
      <c r="N245" s="20" t="e">
        <f>((((K245-H245)/1.16)-M245))</f>
        <v>#VALUE!</v>
      </c>
      <c r="O245" s="21" t="e">
        <f>((N245*16%)+N245)+H245+L245</f>
        <v>#VALUE!</v>
      </c>
      <c r="P245" s="21" t="e">
        <f>(((J245-O245)-H245)/1.16)+H245</f>
        <v>#VALUE!</v>
      </c>
      <c r="Q245" s="44"/>
      <c r="R245" s="24"/>
      <c r="S245" s="23" t="e">
        <f t="shared" si="9"/>
        <v>#DIV/0!</v>
      </c>
      <c r="T245" s="23" t="e">
        <f t="shared" si="10"/>
        <v>#DIV/0!</v>
      </c>
      <c r="U245" s="22" t="e">
        <f t="shared" si="11"/>
        <v>#DIV/0!</v>
      </c>
      <c r="V245" s="44"/>
      <c r="W245" s="44"/>
      <c r="X245" s="44"/>
      <c r="Y245" s="44"/>
      <c r="Z245" s="44"/>
    </row>
    <row r="246" spans="1:26" ht="15.75" customHeight="1">
      <c r="A246" s="44"/>
      <c r="B246" s="14"/>
      <c r="C246" s="53"/>
      <c r="D246" s="15"/>
      <c r="E246" s="89"/>
      <c r="F246" s="16"/>
      <c r="G246" s="16"/>
      <c r="H246" s="90" t="str">
        <f>IF(G246="Regular",Listas!$K$16,IF(G246="Premium",Listas!$K$17,IF(G246="Diesel",Listas!$K$18,"-")))</f>
        <v>-</v>
      </c>
      <c r="I246" s="17"/>
      <c r="J246" s="18"/>
      <c r="K246" s="19" t="str">
        <f>+IFERROR(IF(G246="Regular",VLOOKUP(C246,'PRECIO TERMINAL PEMEX'!$B$4:$E$35,2,0),IF(G246="Premium",VLOOKUP(C246,'PRECIO TERMINAL PEMEX'!$B$4:$E$35,3,0),IF(G246="Diesel",VLOOKUP(C246,'PRECIO TERMINAL PEMEX'!$B$4:$E$35,4,0),"Seleccione Producto"))),"-")</f>
        <v>Seleccione Producto</v>
      </c>
      <c r="L246" s="93" t="str">
        <f>+IFERROR(IF(F246="VHSA",VLOOKUP(B246,Listas!$C$4:$F$17,2,0),IF(F246="DOS BOCAS",VLOOKUP(B246,Listas!$C$4:$F$17,3,0),IF(F246="GLENCORE",VLOOKUP(B246,Listas!$C$4:$F$17,4,0),"Seleccione TAR"))),"-")</f>
        <v>Seleccione TAR</v>
      </c>
      <c r="M246" s="19" t="str">
        <f>+IFERROR(IF(G246="Regular",VLOOKUP(C246,'DESCUENTO PROVEEDORES'!$B$4:$E$35,2,0),IF(G246="Premium",VLOOKUP(C246,'DESCUENTO PROVEEDORES'!$B$4:$E$35,3,0),IF(G246="Diesel",VLOOKUP(C246,'DESCUENTO PROVEEDORES'!$B$4:$E$35,4,0),"Seleccione Proveedor"))),"-")</f>
        <v>Seleccione Proveedor</v>
      </c>
      <c r="N246" s="20" t="e">
        <f>((((K246-H246)/1.16)-M246))</f>
        <v>#VALUE!</v>
      </c>
      <c r="O246" s="21" t="e">
        <f>((N246*16%)+N246)+H246+L246</f>
        <v>#VALUE!</v>
      </c>
      <c r="P246" s="21" t="e">
        <f>(((J246-O246)-H246)/1.16)+H246</f>
        <v>#VALUE!</v>
      </c>
      <c r="Q246" s="44"/>
      <c r="R246" s="24"/>
      <c r="S246" s="23" t="e">
        <f t="shared" si="9"/>
        <v>#DIV/0!</v>
      </c>
      <c r="T246" s="23" t="e">
        <f t="shared" si="10"/>
        <v>#DIV/0!</v>
      </c>
      <c r="U246" s="22" t="e">
        <f t="shared" si="11"/>
        <v>#DIV/0!</v>
      </c>
      <c r="V246" s="44"/>
      <c r="W246" s="44"/>
      <c r="X246" s="44"/>
      <c r="Y246" s="44"/>
      <c r="Z246" s="44"/>
    </row>
    <row r="247" spans="1:26" ht="15.75" customHeight="1">
      <c r="A247" s="44"/>
      <c r="B247" s="14"/>
      <c r="C247" s="53"/>
      <c r="D247" s="15"/>
      <c r="E247" s="89"/>
      <c r="F247" s="16"/>
      <c r="G247" s="16"/>
      <c r="H247" s="90" t="str">
        <f>IF(G247="Regular",Listas!$K$16,IF(G247="Premium",Listas!$K$17,IF(G247="Diesel",Listas!$K$18,"-")))</f>
        <v>-</v>
      </c>
      <c r="I247" s="17"/>
      <c r="J247" s="18"/>
      <c r="K247" s="19" t="str">
        <f>+IFERROR(IF(G247="Regular",VLOOKUP(C247,'PRECIO TERMINAL PEMEX'!$B$4:$E$35,2,0),IF(G247="Premium",VLOOKUP(C247,'PRECIO TERMINAL PEMEX'!$B$4:$E$35,3,0),IF(G247="Diesel",VLOOKUP(C247,'PRECIO TERMINAL PEMEX'!$B$4:$E$35,4,0),"Seleccione Producto"))),"-")</f>
        <v>Seleccione Producto</v>
      </c>
      <c r="L247" s="93" t="str">
        <f>+IFERROR(IF(F247="VHSA",VLOOKUP(B247,Listas!$C$4:$F$17,2,0),IF(F247="DOS BOCAS",VLOOKUP(B247,Listas!$C$4:$F$17,3,0),IF(F247="GLENCORE",VLOOKUP(B247,Listas!$C$4:$F$17,4,0),"Seleccione TAR"))),"-")</f>
        <v>Seleccione TAR</v>
      </c>
      <c r="M247" s="19" t="str">
        <f>+IFERROR(IF(G247="Regular",VLOOKUP(C247,'DESCUENTO PROVEEDORES'!$B$4:$E$35,2,0),IF(G247="Premium",VLOOKUP(C247,'DESCUENTO PROVEEDORES'!$B$4:$E$35,3,0),IF(G247="Diesel",VLOOKUP(C247,'DESCUENTO PROVEEDORES'!$B$4:$E$35,4,0),"Seleccione Proveedor"))),"-")</f>
        <v>Seleccione Proveedor</v>
      </c>
      <c r="N247" s="20" t="e">
        <f>((((K247-H247)/1.16)-M247))</f>
        <v>#VALUE!</v>
      </c>
      <c r="O247" s="21" t="e">
        <f>((N247*16%)+N247)+H247+L247</f>
        <v>#VALUE!</v>
      </c>
      <c r="P247" s="21" t="e">
        <f>(((J247-O247)-H247)/1.16)+H247</f>
        <v>#VALUE!</v>
      </c>
      <c r="Q247" s="44"/>
      <c r="R247" s="24"/>
      <c r="S247" s="23" t="e">
        <f t="shared" si="9"/>
        <v>#DIV/0!</v>
      </c>
      <c r="T247" s="23" t="e">
        <f t="shared" si="10"/>
        <v>#DIV/0!</v>
      </c>
      <c r="U247" s="22" t="e">
        <f t="shared" si="11"/>
        <v>#DIV/0!</v>
      </c>
      <c r="V247" s="44"/>
      <c r="W247" s="44"/>
      <c r="X247" s="44"/>
      <c r="Y247" s="44"/>
      <c r="Z247" s="44"/>
    </row>
    <row r="248" spans="1:26" ht="15.75" customHeight="1">
      <c r="A248" s="44"/>
      <c r="B248" s="14"/>
      <c r="C248" s="53"/>
      <c r="D248" s="15"/>
      <c r="E248" s="89"/>
      <c r="F248" s="16"/>
      <c r="G248" s="16"/>
      <c r="H248" s="90" t="str">
        <f>IF(G248="Regular",Listas!$K$16,IF(G248="Premium",Listas!$K$17,IF(G248="Diesel",Listas!$K$18,"-")))</f>
        <v>-</v>
      </c>
      <c r="I248" s="17"/>
      <c r="J248" s="18"/>
      <c r="K248" s="19" t="str">
        <f>+IFERROR(IF(G248="Regular",VLOOKUP(C248,'PRECIO TERMINAL PEMEX'!$B$4:$E$35,2,0),IF(G248="Premium",VLOOKUP(C248,'PRECIO TERMINAL PEMEX'!$B$4:$E$35,3,0),IF(G248="Diesel",VLOOKUP(C248,'PRECIO TERMINAL PEMEX'!$B$4:$E$35,4,0),"Seleccione Producto"))),"-")</f>
        <v>Seleccione Producto</v>
      </c>
      <c r="L248" s="93" t="str">
        <f>+IFERROR(IF(F248="VHSA",VLOOKUP(B248,Listas!$C$4:$F$17,2,0),IF(F248="DOS BOCAS",VLOOKUP(B248,Listas!$C$4:$F$17,3,0),IF(F248="GLENCORE",VLOOKUP(B248,Listas!$C$4:$F$17,4,0),"Seleccione TAR"))),"-")</f>
        <v>Seleccione TAR</v>
      </c>
      <c r="M248" s="19" t="str">
        <f>+IFERROR(IF(G248="Regular",VLOOKUP(C248,'DESCUENTO PROVEEDORES'!$B$4:$E$35,2,0),IF(G248="Premium",VLOOKUP(C248,'DESCUENTO PROVEEDORES'!$B$4:$E$35,3,0),IF(G248="Diesel",VLOOKUP(C248,'DESCUENTO PROVEEDORES'!$B$4:$E$35,4,0),"Seleccione Proveedor"))),"-")</f>
        <v>Seleccione Proveedor</v>
      </c>
      <c r="N248" s="20" t="e">
        <f>((((K248-H248)/1.16)-M248))</f>
        <v>#VALUE!</v>
      </c>
      <c r="O248" s="21" t="e">
        <f>((N248*16%)+N248)+H248+L248</f>
        <v>#VALUE!</v>
      </c>
      <c r="P248" s="21" t="e">
        <f>(((J248-O248)-H248)/1.16)+H248</f>
        <v>#VALUE!</v>
      </c>
      <c r="Q248" s="44"/>
      <c r="R248" s="24"/>
      <c r="S248" s="23" t="e">
        <f t="shared" si="9"/>
        <v>#DIV/0!</v>
      </c>
      <c r="T248" s="23" t="e">
        <f t="shared" si="10"/>
        <v>#DIV/0!</v>
      </c>
      <c r="U248" s="22" t="e">
        <f t="shared" si="11"/>
        <v>#DIV/0!</v>
      </c>
      <c r="V248" s="44"/>
      <c r="W248" s="44"/>
      <c r="X248" s="44"/>
      <c r="Y248" s="44"/>
      <c r="Z248" s="44"/>
    </row>
    <row r="249" spans="1:26" ht="15.75" customHeight="1">
      <c r="A249" s="44"/>
      <c r="B249" s="14"/>
      <c r="C249" s="53"/>
      <c r="D249" s="15"/>
      <c r="E249" s="89"/>
      <c r="F249" s="16"/>
      <c r="G249" s="16"/>
      <c r="H249" s="90" t="str">
        <f>IF(G249="Regular",Listas!$K$16,IF(G249="Premium",Listas!$K$17,IF(G249="Diesel",Listas!$K$18,"-")))</f>
        <v>-</v>
      </c>
      <c r="I249" s="17"/>
      <c r="J249" s="18"/>
      <c r="K249" s="19" t="str">
        <f>+IFERROR(IF(G249="Regular",VLOOKUP(C249,'PRECIO TERMINAL PEMEX'!$B$4:$E$35,2,0),IF(G249="Premium",VLOOKUP(C249,'PRECIO TERMINAL PEMEX'!$B$4:$E$35,3,0),IF(G249="Diesel",VLOOKUP(C249,'PRECIO TERMINAL PEMEX'!$B$4:$E$35,4,0),"Seleccione Producto"))),"-")</f>
        <v>Seleccione Producto</v>
      </c>
      <c r="L249" s="93" t="str">
        <f>+IFERROR(IF(F249="VHSA",VLOOKUP(B249,Listas!$C$4:$F$17,2,0),IF(F249="DOS BOCAS",VLOOKUP(B249,Listas!$C$4:$F$17,3,0),IF(F249="GLENCORE",VLOOKUP(B249,Listas!$C$4:$F$17,4,0),"Seleccione TAR"))),"-")</f>
        <v>Seleccione TAR</v>
      </c>
      <c r="M249" s="19" t="str">
        <f>+IFERROR(IF(G249="Regular",VLOOKUP(C249,'DESCUENTO PROVEEDORES'!$B$4:$E$35,2,0),IF(G249="Premium",VLOOKUP(C249,'DESCUENTO PROVEEDORES'!$B$4:$E$35,3,0),IF(G249="Diesel",VLOOKUP(C249,'DESCUENTO PROVEEDORES'!$B$4:$E$35,4,0),"Seleccione Proveedor"))),"-")</f>
        <v>Seleccione Proveedor</v>
      </c>
      <c r="N249" s="20" t="e">
        <f>((((K249-H249)/1.16)-M249))</f>
        <v>#VALUE!</v>
      </c>
      <c r="O249" s="21" t="e">
        <f>((N249*16%)+N249)+H249+L249</f>
        <v>#VALUE!</v>
      </c>
      <c r="P249" s="21" t="e">
        <f>(((J249-O249)-H249)/1.16)+H249</f>
        <v>#VALUE!</v>
      </c>
      <c r="Q249" s="44"/>
      <c r="R249" s="24"/>
      <c r="S249" s="23" t="e">
        <f t="shared" si="9"/>
        <v>#DIV/0!</v>
      </c>
      <c r="T249" s="23" t="e">
        <f t="shared" si="10"/>
        <v>#DIV/0!</v>
      </c>
      <c r="U249" s="22" t="e">
        <f t="shared" si="11"/>
        <v>#DIV/0!</v>
      </c>
      <c r="V249" s="44"/>
      <c r="W249" s="44"/>
      <c r="X249" s="44"/>
      <c r="Y249" s="44"/>
      <c r="Z249" s="44"/>
    </row>
    <row r="250" spans="1:26" ht="15.75" customHeight="1">
      <c r="A250" s="44"/>
      <c r="B250" s="14"/>
      <c r="C250" s="53"/>
      <c r="D250" s="15"/>
      <c r="E250" s="89"/>
      <c r="F250" s="16"/>
      <c r="G250" s="16"/>
      <c r="H250" s="90" t="str">
        <f>IF(G250="Regular",Listas!$K$16,IF(G250="Premium",Listas!$K$17,IF(G250="Diesel",Listas!$K$18,"-")))</f>
        <v>-</v>
      </c>
      <c r="I250" s="17"/>
      <c r="J250" s="18"/>
      <c r="K250" s="19" t="str">
        <f>+IFERROR(IF(G250="Regular",VLOOKUP(C250,'PRECIO TERMINAL PEMEX'!$B$4:$E$35,2,0),IF(G250="Premium",VLOOKUP(C250,'PRECIO TERMINAL PEMEX'!$B$4:$E$35,3,0),IF(G250="Diesel",VLOOKUP(C250,'PRECIO TERMINAL PEMEX'!$B$4:$E$35,4,0),"Seleccione Producto"))),"-")</f>
        <v>Seleccione Producto</v>
      </c>
      <c r="L250" s="93" t="str">
        <f>+IFERROR(IF(F250="VHSA",VLOOKUP(B250,Listas!$C$4:$F$17,2,0),IF(F250="DOS BOCAS",VLOOKUP(B250,Listas!$C$4:$F$17,3,0),IF(F250="GLENCORE",VLOOKUP(B250,Listas!$C$4:$F$17,4,0),"Seleccione TAR"))),"-")</f>
        <v>Seleccione TAR</v>
      </c>
      <c r="M250" s="19" t="str">
        <f>+IFERROR(IF(G250="Regular",VLOOKUP(C250,'DESCUENTO PROVEEDORES'!$B$4:$E$35,2,0),IF(G250="Premium",VLOOKUP(C250,'DESCUENTO PROVEEDORES'!$B$4:$E$35,3,0),IF(G250="Diesel",VLOOKUP(C250,'DESCUENTO PROVEEDORES'!$B$4:$E$35,4,0),"Seleccione Proveedor"))),"-")</f>
        <v>Seleccione Proveedor</v>
      </c>
      <c r="N250" s="20" t="e">
        <f>((((K250-H250)/1.16)-M250))</f>
        <v>#VALUE!</v>
      </c>
      <c r="O250" s="21" t="e">
        <f>((N250*16%)+N250)+H250+L250</f>
        <v>#VALUE!</v>
      </c>
      <c r="P250" s="21" t="e">
        <f>(((J250-O250)-H250)/1.16)+H250</f>
        <v>#VALUE!</v>
      </c>
      <c r="Q250" s="44"/>
      <c r="R250" s="24"/>
      <c r="S250" s="23" t="e">
        <f t="shared" si="9"/>
        <v>#DIV/0!</v>
      </c>
      <c r="T250" s="23" t="e">
        <f t="shared" si="10"/>
        <v>#DIV/0!</v>
      </c>
      <c r="U250" s="22" t="e">
        <f t="shared" si="11"/>
        <v>#DIV/0!</v>
      </c>
      <c r="V250" s="44"/>
      <c r="W250" s="44"/>
      <c r="X250" s="44"/>
      <c r="Y250" s="44"/>
      <c r="Z250" s="44"/>
    </row>
    <row r="251" spans="1:26" ht="15.75" customHeight="1">
      <c r="A251" s="44"/>
      <c r="B251" s="14"/>
      <c r="C251" s="53"/>
      <c r="D251" s="15"/>
      <c r="E251" s="89"/>
      <c r="F251" s="16"/>
      <c r="G251" s="16"/>
      <c r="H251" s="90" t="str">
        <f>IF(G251="Regular",Listas!$K$16,IF(G251="Premium",Listas!$K$17,IF(G251="Diesel",Listas!$K$18,"-")))</f>
        <v>-</v>
      </c>
      <c r="I251" s="17"/>
      <c r="J251" s="18"/>
      <c r="K251" s="19" t="str">
        <f>+IFERROR(IF(G251="Regular",VLOOKUP(C251,'PRECIO TERMINAL PEMEX'!$B$4:$E$35,2,0),IF(G251="Premium",VLOOKUP(C251,'PRECIO TERMINAL PEMEX'!$B$4:$E$35,3,0),IF(G251="Diesel",VLOOKUP(C251,'PRECIO TERMINAL PEMEX'!$B$4:$E$35,4,0),"Seleccione Producto"))),"-")</f>
        <v>Seleccione Producto</v>
      </c>
      <c r="L251" s="93" t="str">
        <f>+IFERROR(IF(F251="VHSA",VLOOKUP(B251,Listas!$C$4:$F$17,2,0),IF(F251="DOS BOCAS",VLOOKUP(B251,Listas!$C$4:$F$17,3,0),IF(F251="GLENCORE",VLOOKUP(B251,Listas!$C$4:$F$17,4,0),"Seleccione TAR"))),"-")</f>
        <v>Seleccione TAR</v>
      </c>
      <c r="M251" s="19" t="str">
        <f>+IFERROR(IF(G251="Regular",VLOOKUP(C251,'DESCUENTO PROVEEDORES'!$B$4:$E$35,2,0),IF(G251="Premium",VLOOKUP(C251,'DESCUENTO PROVEEDORES'!$B$4:$E$35,3,0),IF(G251="Diesel",VLOOKUP(C251,'DESCUENTO PROVEEDORES'!$B$4:$E$35,4,0),"Seleccione Proveedor"))),"-")</f>
        <v>Seleccione Proveedor</v>
      </c>
      <c r="N251" s="20" t="e">
        <f>((((K251-H251)/1.16)-M251))</f>
        <v>#VALUE!</v>
      </c>
      <c r="O251" s="21" t="e">
        <f>((N251*16%)+N251)+H251+L251</f>
        <v>#VALUE!</v>
      </c>
      <c r="P251" s="21" t="e">
        <f>(((J251-O251)-H251)/1.16)+H251</f>
        <v>#VALUE!</v>
      </c>
      <c r="Q251" s="44"/>
      <c r="R251" s="24"/>
      <c r="S251" s="23" t="e">
        <f t="shared" si="9"/>
        <v>#DIV/0!</v>
      </c>
      <c r="T251" s="23" t="e">
        <f t="shared" si="10"/>
        <v>#DIV/0!</v>
      </c>
      <c r="U251" s="22" t="e">
        <f t="shared" si="11"/>
        <v>#DIV/0!</v>
      </c>
      <c r="V251" s="44"/>
      <c r="W251" s="44"/>
      <c r="X251" s="44"/>
      <c r="Y251" s="44"/>
      <c r="Z251" s="44"/>
    </row>
    <row r="252" spans="1:26" ht="15.75" customHeight="1">
      <c r="A252" s="44"/>
      <c r="B252" s="14"/>
      <c r="C252" s="53"/>
      <c r="D252" s="15"/>
      <c r="E252" s="89"/>
      <c r="F252" s="16"/>
      <c r="G252" s="16"/>
      <c r="H252" s="90" t="str">
        <f>IF(G252="Regular",Listas!$K$16,IF(G252="Premium",Listas!$K$17,IF(G252="Diesel",Listas!$K$18,"-")))</f>
        <v>-</v>
      </c>
      <c r="I252" s="17"/>
      <c r="J252" s="18"/>
      <c r="K252" s="19" t="str">
        <f>+IFERROR(IF(G252="Regular",VLOOKUP(C252,'PRECIO TERMINAL PEMEX'!$B$4:$E$35,2,0),IF(G252="Premium",VLOOKUP(C252,'PRECIO TERMINAL PEMEX'!$B$4:$E$35,3,0),IF(G252="Diesel",VLOOKUP(C252,'PRECIO TERMINAL PEMEX'!$B$4:$E$35,4,0),"Seleccione Producto"))),"-")</f>
        <v>Seleccione Producto</v>
      </c>
      <c r="L252" s="93" t="str">
        <f>+IFERROR(IF(F252="VHSA",VLOOKUP(B252,Listas!$C$4:$F$17,2,0),IF(F252="DOS BOCAS",VLOOKUP(B252,Listas!$C$4:$F$17,3,0),IF(F252="GLENCORE",VLOOKUP(B252,Listas!$C$4:$F$17,4,0),"Seleccione TAR"))),"-")</f>
        <v>Seleccione TAR</v>
      </c>
      <c r="M252" s="19" t="str">
        <f>+IFERROR(IF(G252="Regular",VLOOKUP(C252,'DESCUENTO PROVEEDORES'!$B$4:$E$35,2,0),IF(G252="Premium",VLOOKUP(C252,'DESCUENTO PROVEEDORES'!$B$4:$E$35,3,0),IF(G252="Diesel",VLOOKUP(C252,'DESCUENTO PROVEEDORES'!$B$4:$E$35,4,0),"Seleccione Proveedor"))),"-")</f>
        <v>Seleccione Proveedor</v>
      </c>
      <c r="N252" s="20" t="e">
        <f>((((K252-H252)/1.16)-M252))</f>
        <v>#VALUE!</v>
      </c>
      <c r="O252" s="21" t="e">
        <f>((N252*16%)+N252)+H252+L252</f>
        <v>#VALUE!</v>
      </c>
      <c r="P252" s="21" t="e">
        <f>(((J252-O252)-H252)/1.16)+H252</f>
        <v>#VALUE!</v>
      </c>
      <c r="Q252" s="44"/>
      <c r="R252" s="24"/>
      <c r="S252" s="23" t="e">
        <f t="shared" si="9"/>
        <v>#DIV/0!</v>
      </c>
      <c r="T252" s="23" t="e">
        <f t="shared" si="10"/>
        <v>#DIV/0!</v>
      </c>
      <c r="U252" s="22" t="e">
        <f t="shared" si="11"/>
        <v>#DIV/0!</v>
      </c>
      <c r="V252" s="44"/>
      <c r="W252" s="44"/>
      <c r="X252" s="44"/>
      <c r="Y252" s="44"/>
      <c r="Z252" s="44"/>
    </row>
    <row r="253" spans="1:26" ht="15.75" customHeight="1">
      <c r="A253" s="44"/>
      <c r="B253" s="14"/>
      <c r="C253" s="53"/>
      <c r="D253" s="15"/>
      <c r="E253" s="89"/>
      <c r="F253" s="16"/>
      <c r="G253" s="16"/>
      <c r="H253" s="90" t="str">
        <f>IF(G253="Regular",Listas!$K$16,IF(G253="Premium",Listas!$K$17,IF(G253="Diesel",Listas!$K$18,"-")))</f>
        <v>-</v>
      </c>
      <c r="I253" s="17"/>
      <c r="J253" s="18"/>
      <c r="K253" s="19" t="str">
        <f>+IFERROR(IF(G253="Regular",VLOOKUP(C253,'PRECIO TERMINAL PEMEX'!$B$4:$E$35,2,0),IF(G253="Premium",VLOOKUP(C253,'PRECIO TERMINAL PEMEX'!$B$4:$E$35,3,0),IF(G253="Diesel",VLOOKUP(C253,'PRECIO TERMINAL PEMEX'!$B$4:$E$35,4,0),"Seleccione Producto"))),"-")</f>
        <v>Seleccione Producto</v>
      </c>
      <c r="L253" s="93" t="str">
        <f>+IFERROR(IF(F253="VHSA",VLOOKUP(B253,Listas!$C$4:$F$17,2,0),IF(F253="DOS BOCAS",VLOOKUP(B253,Listas!$C$4:$F$17,3,0),IF(F253="GLENCORE",VLOOKUP(B253,Listas!$C$4:$F$17,4,0),"Seleccione TAR"))),"-")</f>
        <v>Seleccione TAR</v>
      </c>
      <c r="M253" s="19" t="str">
        <f>+IFERROR(IF(G253="Regular",VLOOKUP(C253,'DESCUENTO PROVEEDORES'!$B$4:$E$35,2,0),IF(G253="Premium",VLOOKUP(C253,'DESCUENTO PROVEEDORES'!$B$4:$E$35,3,0),IF(G253="Diesel",VLOOKUP(C253,'DESCUENTO PROVEEDORES'!$B$4:$E$35,4,0),"Seleccione Proveedor"))),"-")</f>
        <v>Seleccione Proveedor</v>
      </c>
      <c r="N253" s="20" t="e">
        <f>((((K253-H253)/1.16)-M253))</f>
        <v>#VALUE!</v>
      </c>
      <c r="O253" s="21" t="e">
        <f>((N253*16%)+N253)+H253+L253</f>
        <v>#VALUE!</v>
      </c>
      <c r="P253" s="21" t="e">
        <f>(((J253-O253)-H253)/1.16)+H253</f>
        <v>#VALUE!</v>
      </c>
      <c r="Q253" s="44"/>
      <c r="R253" s="24"/>
      <c r="S253" s="23" t="e">
        <f t="shared" si="9"/>
        <v>#DIV/0!</v>
      </c>
      <c r="T253" s="23" t="e">
        <f t="shared" si="10"/>
        <v>#DIV/0!</v>
      </c>
      <c r="U253" s="22" t="e">
        <f t="shared" si="11"/>
        <v>#DIV/0!</v>
      </c>
      <c r="V253" s="44"/>
      <c r="W253" s="44"/>
      <c r="X253" s="44"/>
      <c r="Y253" s="44"/>
      <c r="Z253" s="44"/>
    </row>
    <row r="254" spans="1:26" ht="15.75" customHeight="1">
      <c r="A254" s="44"/>
      <c r="B254" s="14"/>
      <c r="C254" s="53"/>
      <c r="D254" s="15"/>
      <c r="E254" s="89"/>
      <c r="F254" s="16"/>
      <c r="G254" s="16"/>
      <c r="H254" s="90" t="str">
        <f>IF(G254="Regular",Listas!$K$16,IF(G254="Premium",Listas!$K$17,IF(G254="Diesel",Listas!$K$18,"-")))</f>
        <v>-</v>
      </c>
      <c r="I254" s="17"/>
      <c r="J254" s="18"/>
      <c r="K254" s="19" t="str">
        <f>+IFERROR(IF(G254="Regular",VLOOKUP(C254,'PRECIO TERMINAL PEMEX'!$B$4:$E$35,2,0),IF(G254="Premium",VLOOKUP(C254,'PRECIO TERMINAL PEMEX'!$B$4:$E$35,3,0),IF(G254="Diesel",VLOOKUP(C254,'PRECIO TERMINAL PEMEX'!$B$4:$E$35,4,0),"Seleccione Producto"))),"-")</f>
        <v>Seleccione Producto</v>
      </c>
      <c r="L254" s="93" t="str">
        <f>+IFERROR(IF(F254="VHSA",VLOOKUP(B254,Listas!$C$4:$F$17,2,0),IF(F254="DOS BOCAS",VLOOKUP(B254,Listas!$C$4:$F$17,3,0),IF(F254="GLENCORE",VLOOKUP(B254,Listas!$C$4:$F$17,4,0),"Seleccione TAR"))),"-")</f>
        <v>Seleccione TAR</v>
      </c>
      <c r="M254" s="19" t="str">
        <f>+IFERROR(IF(G254="Regular",VLOOKUP(C254,'DESCUENTO PROVEEDORES'!$B$4:$E$35,2,0),IF(G254="Premium",VLOOKUP(C254,'DESCUENTO PROVEEDORES'!$B$4:$E$35,3,0),IF(G254="Diesel",VLOOKUP(C254,'DESCUENTO PROVEEDORES'!$B$4:$E$35,4,0),"Seleccione Proveedor"))),"-")</f>
        <v>Seleccione Proveedor</v>
      </c>
      <c r="N254" s="20" t="e">
        <f>((((K254-H254)/1.16)-M254))</f>
        <v>#VALUE!</v>
      </c>
      <c r="O254" s="21" t="e">
        <f>((N254*16%)+N254)+H254+L254</f>
        <v>#VALUE!</v>
      </c>
      <c r="P254" s="21" t="e">
        <f>(((J254-O254)-H254)/1.16)+H254</f>
        <v>#VALUE!</v>
      </c>
      <c r="Q254" s="44"/>
      <c r="R254" s="24"/>
      <c r="S254" s="23" t="e">
        <f t="shared" si="9"/>
        <v>#DIV/0!</v>
      </c>
      <c r="T254" s="23" t="e">
        <f t="shared" si="10"/>
        <v>#DIV/0!</v>
      </c>
      <c r="U254" s="22" t="e">
        <f t="shared" si="11"/>
        <v>#DIV/0!</v>
      </c>
      <c r="V254" s="44"/>
      <c r="W254" s="44"/>
      <c r="X254" s="44"/>
      <c r="Y254" s="44"/>
      <c r="Z254" s="44"/>
    </row>
    <row r="255" spans="1:26" ht="15.75" customHeight="1">
      <c r="A255" s="44"/>
      <c r="B255" s="14"/>
      <c r="C255" s="53"/>
      <c r="D255" s="15"/>
      <c r="E255" s="89"/>
      <c r="F255" s="16"/>
      <c r="G255" s="16"/>
      <c r="H255" s="90" t="str">
        <f>IF(G255="Regular",Listas!$K$16,IF(G255="Premium",Listas!$K$17,IF(G255="Diesel",Listas!$K$18,"-")))</f>
        <v>-</v>
      </c>
      <c r="I255" s="17"/>
      <c r="J255" s="18"/>
      <c r="K255" s="19" t="str">
        <f>+IFERROR(IF(G255="Regular",VLOOKUP(C255,'PRECIO TERMINAL PEMEX'!$B$4:$E$35,2,0),IF(G255="Premium",VLOOKUP(C255,'PRECIO TERMINAL PEMEX'!$B$4:$E$35,3,0),IF(G255="Diesel",VLOOKUP(C255,'PRECIO TERMINAL PEMEX'!$B$4:$E$35,4,0),"Seleccione Producto"))),"-")</f>
        <v>Seleccione Producto</v>
      </c>
      <c r="L255" s="93" t="str">
        <f>+IFERROR(IF(F255="VHSA",VLOOKUP(B255,Listas!$C$4:$F$17,2,0),IF(F255="DOS BOCAS",VLOOKUP(B255,Listas!$C$4:$F$17,3,0),IF(F255="GLENCORE",VLOOKUP(B255,Listas!$C$4:$F$17,4,0),"Seleccione TAR"))),"-")</f>
        <v>Seleccione TAR</v>
      </c>
      <c r="M255" s="19" t="str">
        <f>+IFERROR(IF(G255="Regular",VLOOKUP(C255,'DESCUENTO PROVEEDORES'!$B$4:$E$35,2,0),IF(G255="Premium",VLOOKUP(C255,'DESCUENTO PROVEEDORES'!$B$4:$E$35,3,0),IF(G255="Diesel",VLOOKUP(C255,'DESCUENTO PROVEEDORES'!$B$4:$E$35,4,0),"Seleccione Proveedor"))),"-")</f>
        <v>Seleccione Proveedor</v>
      </c>
      <c r="N255" s="20" t="e">
        <f>((((K255-H255)/1.16)-M255))</f>
        <v>#VALUE!</v>
      </c>
      <c r="O255" s="21" t="e">
        <f>((N255*16%)+N255)+H255+L255</f>
        <v>#VALUE!</v>
      </c>
      <c r="P255" s="21" t="e">
        <f>(((J255-O255)-H255)/1.16)+H255</f>
        <v>#VALUE!</v>
      </c>
      <c r="Q255" s="44"/>
      <c r="R255" s="24"/>
      <c r="S255" s="23" t="e">
        <f t="shared" si="9"/>
        <v>#DIV/0!</v>
      </c>
      <c r="T255" s="23" t="e">
        <f t="shared" si="10"/>
        <v>#DIV/0!</v>
      </c>
      <c r="U255" s="22" t="e">
        <f t="shared" si="11"/>
        <v>#DIV/0!</v>
      </c>
      <c r="V255" s="44"/>
      <c r="W255" s="44"/>
      <c r="X255" s="44"/>
      <c r="Y255" s="44"/>
      <c r="Z255" s="44"/>
    </row>
    <row r="256" spans="1:26" ht="15.75" customHeight="1">
      <c r="A256" s="44"/>
      <c r="B256" s="14"/>
      <c r="C256" s="53"/>
      <c r="D256" s="15"/>
      <c r="E256" s="89"/>
      <c r="F256" s="16"/>
      <c r="G256" s="16"/>
      <c r="H256" s="90" t="str">
        <f>IF(G256="Regular",Listas!$K$16,IF(G256="Premium",Listas!$K$17,IF(G256="Diesel",Listas!$K$18,"-")))</f>
        <v>-</v>
      </c>
      <c r="I256" s="17"/>
      <c r="J256" s="18"/>
      <c r="K256" s="19" t="str">
        <f>+IFERROR(IF(G256="Regular",VLOOKUP(C256,'PRECIO TERMINAL PEMEX'!$B$4:$E$35,2,0),IF(G256="Premium",VLOOKUP(C256,'PRECIO TERMINAL PEMEX'!$B$4:$E$35,3,0),IF(G256="Diesel",VLOOKUP(C256,'PRECIO TERMINAL PEMEX'!$B$4:$E$35,4,0),"Seleccione Producto"))),"-")</f>
        <v>Seleccione Producto</v>
      </c>
      <c r="L256" s="93" t="str">
        <f>+IFERROR(IF(F256="VHSA",VLOOKUP(B256,Listas!$C$4:$F$17,2,0),IF(F256="DOS BOCAS",VLOOKUP(B256,Listas!$C$4:$F$17,3,0),IF(F256="GLENCORE",VLOOKUP(B256,Listas!$C$4:$F$17,4,0),"Seleccione TAR"))),"-")</f>
        <v>Seleccione TAR</v>
      </c>
      <c r="M256" s="19" t="str">
        <f>+IFERROR(IF(G256="Regular",VLOOKUP(C256,'DESCUENTO PROVEEDORES'!$B$4:$E$35,2,0),IF(G256="Premium",VLOOKUP(C256,'DESCUENTO PROVEEDORES'!$B$4:$E$35,3,0),IF(G256="Diesel",VLOOKUP(C256,'DESCUENTO PROVEEDORES'!$B$4:$E$35,4,0),"Seleccione Proveedor"))),"-")</f>
        <v>Seleccione Proveedor</v>
      </c>
      <c r="N256" s="20" t="e">
        <f>((((K256-H256)/1.16)-M256))</f>
        <v>#VALUE!</v>
      </c>
      <c r="O256" s="21" t="e">
        <f>((N256*16%)+N256)+H256+L256</f>
        <v>#VALUE!</v>
      </c>
      <c r="P256" s="21" t="e">
        <f>(((J256-O256)-H256)/1.16)+H256</f>
        <v>#VALUE!</v>
      </c>
      <c r="Q256" s="44"/>
      <c r="R256" s="24"/>
      <c r="S256" s="23" t="e">
        <f t="shared" si="9"/>
        <v>#DIV/0!</v>
      </c>
      <c r="T256" s="23" t="e">
        <f t="shared" si="10"/>
        <v>#DIV/0!</v>
      </c>
      <c r="U256" s="22" t="e">
        <f t="shared" si="11"/>
        <v>#DIV/0!</v>
      </c>
      <c r="V256" s="44"/>
      <c r="W256" s="44"/>
      <c r="X256" s="44"/>
      <c r="Y256" s="44"/>
      <c r="Z256" s="44"/>
    </row>
    <row r="257" spans="1:26" ht="15.75" customHeight="1">
      <c r="A257" s="44"/>
      <c r="B257" s="14"/>
      <c r="C257" s="53"/>
      <c r="D257" s="15"/>
      <c r="E257" s="89"/>
      <c r="F257" s="16"/>
      <c r="G257" s="16"/>
      <c r="H257" s="90" t="str">
        <f>IF(G257="Regular",Listas!$K$16,IF(G257="Premium",Listas!$K$17,IF(G257="Diesel",Listas!$K$18,"-")))</f>
        <v>-</v>
      </c>
      <c r="I257" s="17"/>
      <c r="J257" s="18"/>
      <c r="K257" s="19" t="str">
        <f>+IFERROR(IF(G257="Regular",VLOOKUP(C257,'PRECIO TERMINAL PEMEX'!$B$4:$E$35,2,0),IF(G257="Premium",VLOOKUP(C257,'PRECIO TERMINAL PEMEX'!$B$4:$E$35,3,0),IF(G257="Diesel",VLOOKUP(C257,'PRECIO TERMINAL PEMEX'!$B$4:$E$35,4,0),"Seleccione Producto"))),"-")</f>
        <v>Seleccione Producto</v>
      </c>
      <c r="L257" s="93" t="str">
        <f>+IFERROR(IF(F257="VHSA",VLOOKUP(B257,Listas!$C$4:$F$17,2,0),IF(F257="DOS BOCAS",VLOOKUP(B257,Listas!$C$4:$F$17,3,0),IF(F257="GLENCORE",VLOOKUP(B257,Listas!$C$4:$F$17,4,0),"Seleccione TAR"))),"-")</f>
        <v>Seleccione TAR</v>
      </c>
      <c r="M257" s="19" t="str">
        <f>+IFERROR(IF(G257="Regular",VLOOKUP(C257,'DESCUENTO PROVEEDORES'!$B$4:$E$35,2,0),IF(G257="Premium",VLOOKUP(C257,'DESCUENTO PROVEEDORES'!$B$4:$E$35,3,0),IF(G257="Diesel",VLOOKUP(C257,'DESCUENTO PROVEEDORES'!$B$4:$E$35,4,0),"Seleccione Proveedor"))),"-")</f>
        <v>Seleccione Proveedor</v>
      </c>
      <c r="N257" s="20" t="e">
        <f>((((K257-H257)/1.16)-M257))</f>
        <v>#VALUE!</v>
      </c>
      <c r="O257" s="21" t="e">
        <f>((N257*16%)+N257)+H257+L257</f>
        <v>#VALUE!</v>
      </c>
      <c r="P257" s="21" t="e">
        <f>(((J257-O257)-H257)/1.16)+H257</f>
        <v>#VALUE!</v>
      </c>
      <c r="Q257" s="44"/>
      <c r="R257" s="24"/>
      <c r="S257" s="23" t="e">
        <f t="shared" si="9"/>
        <v>#DIV/0!</v>
      </c>
      <c r="T257" s="23" t="e">
        <f t="shared" si="10"/>
        <v>#DIV/0!</v>
      </c>
      <c r="U257" s="22" t="e">
        <f t="shared" si="11"/>
        <v>#DIV/0!</v>
      </c>
      <c r="V257" s="44"/>
      <c r="W257" s="44"/>
      <c r="X257" s="44"/>
      <c r="Y257" s="44"/>
      <c r="Z257" s="44"/>
    </row>
    <row r="258" spans="1:26" ht="15.75" customHeight="1">
      <c r="A258" s="44"/>
      <c r="B258" s="14"/>
      <c r="C258" s="53"/>
      <c r="D258" s="15"/>
      <c r="E258" s="89"/>
      <c r="F258" s="16"/>
      <c r="G258" s="16"/>
      <c r="H258" s="90" t="str">
        <f>IF(G258="Regular",Listas!$K$16,IF(G258="Premium",Listas!$K$17,IF(G258="Diesel",Listas!$K$18,"-")))</f>
        <v>-</v>
      </c>
      <c r="I258" s="17"/>
      <c r="J258" s="18"/>
      <c r="K258" s="19" t="str">
        <f>+IFERROR(IF(G258="Regular",VLOOKUP(C258,'PRECIO TERMINAL PEMEX'!$B$4:$E$35,2,0),IF(G258="Premium",VLOOKUP(C258,'PRECIO TERMINAL PEMEX'!$B$4:$E$35,3,0),IF(G258="Diesel",VLOOKUP(C258,'PRECIO TERMINAL PEMEX'!$B$4:$E$35,4,0),"Seleccione Producto"))),"-")</f>
        <v>Seleccione Producto</v>
      </c>
      <c r="L258" s="93" t="str">
        <f>+IFERROR(IF(F258="VHSA",VLOOKUP(B258,Listas!$C$4:$F$17,2,0),IF(F258="DOS BOCAS",VLOOKUP(B258,Listas!$C$4:$F$17,3,0),IF(F258="GLENCORE",VLOOKUP(B258,Listas!$C$4:$F$17,4,0),"Seleccione TAR"))),"-")</f>
        <v>Seleccione TAR</v>
      </c>
      <c r="M258" s="19" t="str">
        <f>+IFERROR(IF(G258="Regular",VLOOKUP(C258,'DESCUENTO PROVEEDORES'!$B$4:$E$35,2,0),IF(G258="Premium",VLOOKUP(C258,'DESCUENTO PROVEEDORES'!$B$4:$E$35,3,0),IF(G258="Diesel",VLOOKUP(C258,'DESCUENTO PROVEEDORES'!$B$4:$E$35,4,0),"Seleccione Proveedor"))),"-")</f>
        <v>Seleccione Proveedor</v>
      </c>
      <c r="N258" s="20" t="e">
        <f>((((K258-H258)/1.16)-M258))</f>
        <v>#VALUE!</v>
      </c>
      <c r="O258" s="21" t="e">
        <f>((N258*16%)+N258)+H258+L258</f>
        <v>#VALUE!</v>
      </c>
      <c r="P258" s="21" t="e">
        <f>(((J258-O258)-H258)/1.16)+H258</f>
        <v>#VALUE!</v>
      </c>
      <c r="Q258" s="44"/>
      <c r="R258" s="24"/>
      <c r="S258" s="23" t="e">
        <f t="shared" si="9"/>
        <v>#DIV/0!</v>
      </c>
      <c r="T258" s="23" t="e">
        <f t="shared" si="10"/>
        <v>#DIV/0!</v>
      </c>
      <c r="U258" s="22" t="e">
        <f t="shared" si="11"/>
        <v>#DIV/0!</v>
      </c>
      <c r="V258" s="44"/>
      <c r="W258" s="44"/>
      <c r="X258" s="44"/>
      <c r="Y258" s="44"/>
      <c r="Z258" s="44"/>
    </row>
    <row r="259" spans="1:26" ht="15.75" customHeight="1">
      <c r="A259" s="44"/>
      <c r="B259" s="14"/>
      <c r="C259" s="53"/>
      <c r="D259" s="15"/>
      <c r="E259" s="89"/>
      <c r="F259" s="16"/>
      <c r="G259" s="16"/>
      <c r="H259" s="90" t="str">
        <f>IF(G259="Regular",Listas!$K$16,IF(G259="Premium",Listas!$K$17,IF(G259="Diesel",Listas!$K$18,"-")))</f>
        <v>-</v>
      </c>
      <c r="I259" s="17"/>
      <c r="J259" s="18"/>
      <c r="K259" s="19" t="str">
        <f>+IFERROR(IF(G259="Regular",VLOOKUP(C259,'PRECIO TERMINAL PEMEX'!$B$4:$E$35,2,0),IF(G259="Premium",VLOOKUP(C259,'PRECIO TERMINAL PEMEX'!$B$4:$E$35,3,0),IF(G259="Diesel",VLOOKUP(C259,'PRECIO TERMINAL PEMEX'!$B$4:$E$35,4,0),"Seleccione Producto"))),"-")</f>
        <v>Seleccione Producto</v>
      </c>
      <c r="L259" s="93" t="str">
        <f>+IFERROR(IF(F259="VHSA",VLOOKUP(B259,Listas!$C$4:$F$17,2,0),IF(F259="DOS BOCAS",VLOOKUP(B259,Listas!$C$4:$F$17,3,0),IF(F259="GLENCORE",VLOOKUP(B259,Listas!$C$4:$F$17,4,0),"Seleccione TAR"))),"-")</f>
        <v>Seleccione TAR</v>
      </c>
      <c r="M259" s="19" t="str">
        <f>+IFERROR(IF(G259="Regular",VLOOKUP(C259,'DESCUENTO PROVEEDORES'!$B$4:$E$35,2,0),IF(G259="Premium",VLOOKUP(C259,'DESCUENTO PROVEEDORES'!$B$4:$E$35,3,0),IF(G259="Diesel",VLOOKUP(C259,'DESCUENTO PROVEEDORES'!$B$4:$E$35,4,0),"Seleccione Proveedor"))),"-")</f>
        <v>Seleccione Proveedor</v>
      </c>
      <c r="N259" s="20" t="e">
        <f>((((K259-H259)/1.16)-M259))</f>
        <v>#VALUE!</v>
      </c>
      <c r="O259" s="21" t="e">
        <f>((N259*16%)+N259)+H259+L259</f>
        <v>#VALUE!</v>
      </c>
      <c r="P259" s="21" t="e">
        <f>(((J259-O259)-H259)/1.16)+H259</f>
        <v>#VALUE!</v>
      </c>
      <c r="Q259" s="44"/>
      <c r="R259" s="24"/>
      <c r="S259" s="23" t="e">
        <f t="shared" si="9"/>
        <v>#DIV/0!</v>
      </c>
      <c r="T259" s="23" t="e">
        <f t="shared" si="10"/>
        <v>#DIV/0!</v>
      </c>
      <c r="U259" s="22" t="e">
        <f t="shared" si="11"/>
        <v>#DIV/0!</v>
      </c>
      <c r="V259" s="44"/>
      <c r="W259" s="44"/>
      <c r="X259" s="44"/>
      <c r="Y259" s="44"/>
      <c r="Z259" s="44"/>
    </row>
    <row r="260" spans="1:26" ht="15.75" customHeight="1">
      <c r="A260" s="44"/>
      <c r="B260" s="14"/>
      <c r="C260" s="53"/>
      <c r="D260" s="15"/>
      <c r="E260" s="89"/>
      <c r="F260" s="16"/>
      <c r="G260" s="16"/>
      <c r="H260" s="90" t="str">
        <f>IF(G260="Regular",Listas!$K$16,IF(G260="Premium",Listas!$K$17,IF(G260="Diesel",Listas!$K$18,"-")))</f>
        <v>-</v>
      </c>
      <c r="I260" s="17"/>
      <c r="J260" s="18"/>
      <c r="K260" s="19" t="str">
        <f>+IFERROR(IF(G260="Regular",VLOOKUP(C260,'PRECIO TERMINAL PEMEX'!$B$4:$E$35,2,0),IF(G260="Premium",VLOOKUP(C260,'PRECIO TERMINAL PEMEX'!$B$4:$E$35,3,0),IF(G260="Diesel",VLOOKUP(C260,'PRECIO TERMINAL PEMEX'!$B$4:$E$35,4,0),"Seleccione Producto"))),"-")</f>
        <v>Seleccione Producto</v>
      </c>
      <c r="L260" s="93" t="str">
        <f>+IFERROR(IF(F260="VHSA",VLOOKUP(B260,Listas!$C$4:$F$17,2,0),IF(F260="DOS BOCAS",VLOOKUP(B260,Listas!$C$4:$F$17,3,0),IF(F260="GLENCORE",VLOOKUP(B260,Listas!$C$4:$F$17,4,0),"Seleccione TAR"))),"-")</f>
        <v>Seleccione TAR</v>
      </c>
      <c r="M260" s="19" t="str">
        <f>+IFERROR(IF(G260="Regular",VLOOKUP(C260,'DESCUENTO PROVEEDORES'!$B$4:$E$35,2,0),IF(G260="Premium",VLOOKUP(C260,'DESCUENTO PROVEEDORES'!$B$4:$E$35,3,0),IF(G260="Diesel",VLOOKUP(C260,'DESCUENTO PROVEEDORES'!$B$4:$E$35,4,0),"Seleccione Proveedor"))),"-")</f>
        <v>Seleccione Proveedor</v>
      </c>
      <c r="N260" s="20" t="e">
        <f>((((K260-H260)/1.16)-M260))</f>
        <v>#VALUE!</v>
      </c>
      <c r="O260" s="21" t="e">
        <f>((N260*16%)+N260)+H260+L260</f>
        <v>#VALUE!</v>
      </c>
      <c r="P260" s="21" t="e">
        <f>(((J260-O260)-H260)/1.16)+H260</f>
        <v>#VALUE!</v>
      </c>
      <c r="Q260" s="44"/>
      <c r="R260" s="24"/>
      <c r="S260" s="23" t="e">
        <f t="shared" si="9"/>
        <v>#DIV/0!</v>
      </c>
      <c r="T260" s="23" t="e">
        <f t="shared" si="10"/>
        <v>#DIV/0!</v>
      </c>
      <c r="U260" s="22" t="e">
        <f t="shared" si="11"/>
        <v>#DIV/0!</v>
      </c>
      <c r="V260" s="44"/>
      <c r="W260" s="44"/>
      <c r="X260" s="44"/>
      <c r="Y260" s="44"/>
      <c r="Z260" s="44"/>
    </row>
    <row r="261" spans="1:26" ht="15.75" customHeight="1">
      <c r="A261" s="44"/>
      <c r="B261" s="14"/>
      <c r="C261" s="53"/>
      <c r="D261" s="15"/>
      <c r="E261" s="89"/>
      <c r="F261" s="16"/>
      <c r="G261" s="16"/>
      <c r="H261" s="90" t="str">
        <f>IF(G261="Regular",Listas!$K$16,IF(G261="Premium",Listas!$K$17,IF(G261="Diesel",Listas!$K$18,"-")))</f>
        <v>-</v>
      </c>
      <c r="I261" s="17"/>
      <c r="J261" s="18"/>
      <c r="K261" s="19" t="str">
        <f>+IFERROR(IF(G261="Regular",VLOOKUP(C261,'PRECIO TERMINAL PEMEX'!$B$4:$E$35,2,0),IF(G261="Premium",VLOOKUP(C261,'PRECIO TERMINAL PEMEX'!$B$4:$E$35,3,0),IF(G261="Diesel",VLOOKUP(C261,'PRECIO TERMINAL PEMEX'!$B$4:$E$35,4,0),"Seleccione Producto"))),"-")</f>
        <v>Seleccione Producto</v>
      </c>
      <c r="L261" s="93" t="str">
        <f>+IFERROR(IF(F261="VHSA",VLOOKUP(B261,Listas!$C$4:$F$17,2,0),IF(F261="DOS BOCAS",VLOOKUP(B261,Listas!$C$4:$F$17,3,0),IF(F261="GLENCORE",VLOOKUP(B261,Listas!$C$4:$F$17,4,0),"Seleccione TAR"))),"-")</f>
        <v>Seleccione TAR</v>
      </c>
      <c r="M261" s="19" t="str">
        <f>+IFERROR(IF(G261="Regular",VLOOKUP(C261,'DESCUENTO PROVEEDORES'!$B$4:$E$35,2,0),IF(G261="Premium",VLOOKUP(C261,'DESCUENTO PROVEEDORES'!$B$4:$E$35,3,0),IF(G261="Diesel",VLOOKUP(C261,'DESCUENTO PROVEEDORES'!$B$4:$E$35,4,0),"Seleccione Proveedor"))),"-")</f>
        <v>Seleccione Proveedor</v>
      </c>
      <c r="N261" s="20" t="e">
        <f>((((K261-H261)/1.16)-M261))</f>
        <v>#VALUE!</v>
      </c>
      <c r="O261" s="21" t="e">
        <f>((N261*16%)+N261)+H261+L261</f>
        <v>#VALUE!</v>
      </c>
      <c r="P261" s="21" t="e">
        <f>(((J261-O261)-H261)/1.16)+H261</f>
        <v>#VALUE!</v>
      </c>
      <c r="Q261" s="44"/>
      <c r="R261" s="24"/>
      <c r="S261" s="23" t="e">
        <f t="shared" ref="S261:S324" si="12">R261/I261</f>
        <v>#DIV/0!</v>
      </c>
      <c r="T261" s="23" t="e">
        <f t="shared" ref="T261:T324" si="13">(J261-S261)/1.16</f>
        <v>#DIV/0!</v>
      </c>
      <c r="U261" s="22" t="e">
        <f t="shared" ref="U261:U324" si="14">+T261-P261</f>
        <v>#DIV/0!</v>
      </c>
      <c r="V261" s="44"/>
      <c r="W261" s="44"/>
      <c r="X261" s="44"/>
      <c r="Y261" s="44"/>
      <c r="Z261" s="44"/>
    </row>
    <row r="262" spans="1:26" ht="15.75" customHeight="1">
      <c r="A262" s="44"/>
      <c r="B262" s="14"/>
      <c r="C262" s="53"/>
      <c r="D262" s="15"/>
      <c r="E262" s="89"/>
      <c r="F262" s="16"/>
      <c r="G262" s="16"/>
      <c r="H262" s="90" t="str">
        <f>IF(G262="Regular",Listas!$K$16,IF(G262="Premium",Listas!$K$17,IF(G262="Diesel",Listas!$K$18,"-")))</f>
        <v>-</v>
      </c>
      <c r="I262" s="17"/>
      <c r="J262" s="18"/>
      <c r="K262" s="19" t="str">
        <f>+IFERROR(IF(G262="Regular",VLOOKUP(C262,'PRECIO TERMINAL PEMEX'!$B$4:$E$35,2,0),IF(G262="Premium",VLOOKUP(C262,'PRECIO TERMINAL PEMEX'!$B$4:$E$35,3,0),IF(G262="Diesel",VLOOKUP(C262,'PRECIO TERMINAL PEMEX'!$B$4:$E$35,4,0),"Seleccione Producto"))),"-")</f>
        <v>Seleccione Producto</v>
      </c>
      <c r="L262" s="93" t="str">
        <f>+IFERROR(IF(F262="VHSA",VLOOKUP(B262,Listas!$C$4:$F$17,2,0),IF(F262="DOS BOCAS",VLOOKUP(B262,Listas!$C$4:$F$17,3,0),IF(F262="GLENCORE",VLOOKUP(B262,Listas!$C$4:$F$17,4,0),"Seleccione TAR"))),"-")</f>
        <v>Seleccione TAR</v>
      </c>
      <c r="M262" s="19" t="str">
        <f>+IFERROR(IF(G262="Regular",VLOOKUP(C262,'DESCUENTO PROVEEDORES'!$B$4:$E$35,2,0),IF(G262="Premium",VLOOKUP(C262,'DESCUENTO PROVEEDORES'!$B$4:$E$35,3,0),IF(G262="Diesel",VLOOKUP(C262,'DESCUENTO PROVEEDORES'!$B$4:$E$35,4,0),"Seleccione Proveedor"))),"-")</f>
        <v>Seleccione Proveedor</v>
      </c>
      <c r="N262" s="20" t="e">
        <f>((((K262-H262)/1.16)-M262))</f>
        <v>#VALUE!</v>
      </c>
      <c r="O262" s="21" t="e">
        <f>((N262*16%)+N262)+H262+L262</f>
        <v>#VALUE!</v>
      </c>
      <c r="P262" s="21" t="e">
        <f>(((J262-O262)-H262)/1.16)+H262</f>
        <v>#VALUE!</v>
      </c>
      <c r="Q262" s="44"/>
      <c r="R262" s="24"/>
      <c r="S262" s="23" t="e">
        <f t="shared" si="12"/>
        <v>#DIV/0!</v>
      </c>
      <c r="T262" s="23" t="e">
        <f t="shared" si="13"/>
        <v>#DIV/0!</v>
      </c>
      <c r="U262" s="22" t="e">
        <f t="shared" si="14"/>
        <v>#DIV/0!</v>
      </c>
      <c r="V262" s="44"/>
      <c r="W262" s="44"/>
      <c r="X262" s="44"/>
      <c r="Y262" s="44"/>
      <c r="Z262" s="44"/>
    </row>
    <row r="263" spans="1:26" ht="15.75" customHeight="1">
      <c r="A263" s="44"/>
      <c r="B263" s="14"/>
      <c r="C263" s="53"/>
      <c r="D263" s="15"/>
      <c r="E263" s="89"/>
      <c r="F263" s="16"/>
      <c r="G263" s="16"/>
      <c r="H263" s="90" t="str">
        <f>IF(G263="Regular",Listas!$K$16,IF(G263="Premium",Listas!$K$17,IF(G263="Diesel",Listas!$K$18,"-")))</f>
        <v>-</v>
      </c>
      <c r="I263" s="17"/>
      <c r="J263" s="18"/>
      <c r="K263" s="19" t="str">
        <f>+IFERROR(IF(G263="Regular",VLOOKUP(C263,'PRECIO TERMINAL PEMEX'!$B$4:$E$35,2,0),IF(G263="Premium",VLOOKUP(C263,'PRECIO TERMINAL PEMEX'!$B$4:$E$35,3,0),IF(G263="Diesel",VLOOKUP(C263,'PRECIO TERMINAL PEMEX'!$B$4:$E$35,4,0),"Seleccione Producto"))),"-")</f>
        <v>Seleccione Producto</v>
      </c>
      <c r="L263" s="93" t="str">
        <f>+IFERROR(IF(F263="VHSA",VLOOKUP(B263,Listas!$C$4:$F$17,2,0),IF(F263="DOS BOCAS",VLOOKUP(B263,Listas!$C$4:$F$17,3,0),IF(F263="GLENCORE",VLOOKUP(B263,Listas!$C$4:$F$17,4,0),"Seleccione TAR"))),"-")</f>
        <v>Seleccione TAR</v>
      </c>
      <c r="M263" s="19" t="str">
        <f>+IFERROR(IF(G263="Regular",VLOOKUP(C263,'DESCUENTO PROVEEDORES'!$B$4:$E$35,2,0),IF(G263="Premium",VLOOKUP(C263,'DESCUENTO PROVEEDORES'!$B$4:$E$35,3,0),IF(G263="Diesel",VLOOKUP(C263,'DESCUENTO PROVEEDORES'!$B$4:$E$35,4,0),"Seleccione Proveedor"))),"-")</f>
        <v>Seleccione Proveedor</v>
      </c>
      <c r="N263" s="20" t="e">
        <f>((((K263-H263)/1.16)-M263))</f>
        <v>#VALUE!</v>
      </c>
      <c r="O263" s="21" t="e">
        <f>((N263*16%)+N263)+H263+L263</f>
        <v>#VALUE!</v>
      </c>
      <c r="P263" s="21" t="e">
        <f>(((J263-O263)-H263)/1.16)+H263</f>
        <v>#VALUE!</v>
      </c>
      <c r="Q263" s="44"/>
      <c r="R263" s="24"/>
      <c r="S263" s="23" t="e">
        <f t="shared" si="12"/>
        <v>#DIV/0!</v>
      </c>
      <c r="T263" s="23" t="e">
        <f t="shared" si="13"/>
        <v>#DIV/0!</v>
      </c>
      <c r="U263" s="22" t="e">
        <f t="shared" si="14"/>
        <v>#DIV/0!</v>
      </c>
      <c r="V263" s="44"/>
      <c r="W263" s="44"/>
      <c r="X263" s="44"/>
      <c r="Y263" s="44"/>
      <c r="Z263" s="44"/>
    </row>
    <row r="264" spans="1:26" ht="15.75" customHeight="1">
      <c r="A264" s="44"/>
      <c r="B264" s="14"/>
      <c r="C264" s="53"/>
      <c r="D264" s="15"/>
      <c r="E264" s="89"/>
      <c r="F264" s="16"/>
      <c r="G264" s="16"/>
      <c r="H264" s="90" t="str">
        <f>IF(G264="Regular",Listas!$K$16,IF(G264="Premium",Listas!$K$17,IF(G264="Diesel",Listas!$K$18,"-")))</f>
        <v>-</v>
      </c>
      <c r="I264" s="17"/>
      <c r="J264" s="18"/>
      <c r="K264" s="19" t="str">
        <f>+IFERROR(IF(G264="Regular",VLOOKUP(C264,'PRECIO TERMINAL PEMEX'!$B$4:$E$35,2,0),IF(G264="Premium",VLOOKUP(C264,'PRECIO TERMINAL PEMEX'!$B$4:$E$35,3,0),IF(G264="Diesel",VLOOKUP(C264,'PRECIO TERMINAL PEMEX'!$B$4:$E$35,4,0),"Seleccione Producto"))),"-")</f>
        <v>Seleccione Producto</v>
      </c>
      <c r="L264" s="93" t="str">
        <f>+IFERROR(IF(F264="VHSA",VLOOKUP(B264,Listas!$C$4:$F$17,2,0),IF(F264="DOS BOCAS",VLOOKUP(B264,Listas!$C$4:$F$17,3,0),IF(F264="GLENCORE",VLOOKUP(B264,Listas!$C$4:$F$17,4,0),"Seleccione TAR"))),"-")</f>
        <v>Seleccione TAR</v>
      </c>
      <c r="M264" s="19" t="str">
        <f>+IFERROR(IF(G264="Regular",VLOOKUP(C264,'DESCUENTO PROVEEDORES'!$B$4:$E$35,2,0),IF(G264="Premium",VLOOKUP(C264,'DESCUENTO PROVEEDORES'!$B$4:$E$35,3,0),IF(G264="Diesel",VLOOKUP(C264,'DESCUENTO PROVEEDORES'!$B$4:$E$35,4,0),"Seleccione Proveedor"))),"-")</f>
        <v>Seleccione Proveedor</v>
      </c>
      <c r="N264" s="20" t="e">
        <f>((((K264-H264)/1.16)-M264))</f>
        <v>#VALUE!</v>
      </c>
      <c r="O264" s="21" t="e">
        <f>((N264*16%)+N264)+H264+L264</f>
        <v>#VALUE!</v>
      </c>
      <c r="P264" s="21" t="e">
        <f>(((J264-O264)-H264)/1.16)+H264</f>
        <v>#VALUE!</v>
      </c>
      <c r="Q264" s="44"/>
      <c r="R264" s="24"/>
      <c r="S264" s="23" t="e">
        <f t="shared" si="12"/>
        <v>#DIV/0!</v>
      </c>
      <c r="T264" s="23" t="e">
        <f t="shared" si="13"/>
        <v>#DIV/0!</v>
      </c>
      <c r="U264" s="22" t="e">
        <f t="shared" si="14"/>
        <v>#DIV/0!</v>
      </c>
      <c r="V264" s="44"/>
      <c r="W264" s="44"/>
      <c r="X264" s="44"/>
      <c r="Y264" s="44"/>
      <c r="Z264" s="44"/>
    </row>
    <row r="265" spans="1:26" ht="15.75" customHeight="1">
      <c r="A265" s="44"/>
      <c r="B265" s="14"/>
      <c r="C265" s="53"/>
      <c r="D265" s="15"/>
      <c r="E265" s="89"/>
      <c r="F265" s="16"/>
      <c r="G265" s="16"/>
      <c r="H265" s="90" t="str">
        <f>IF(G265="Regular",Listas!$K$16,IF(G265="Premium",Listas!$K$17,IF(G265="Diesel",Listas!$K$18,"-")))</f>
        <v>-</v>
      </c>
      <c r="I265" s="17"/>
      <c r="J265" s="18"/>
      <c r="K265" s="19" t="str">
        <f>+IFERROR(IF(G265="Regular",VLOOKUP(C265,'PRECIO TERMINAL PEMEX'!$B$4:$E$35,2,0),IF(G265="Premium",VLOOKUP(C265,'PRECIO TERMINAL PEMEX'!$B$4:$E$35,3,0),IF(G265="Diesel",VLOOKUP(C265,'PRECIO TERMINAL PEMEX'!$B$4:$E$35,4,0),"Seleccione Producto"))),"-")</f>
        <v>Seleccione Producto</v>
      </c>
      <c r="L265" s="93" t="str">
        <f>+IFERROR(IF(F265="VHSA",VLOOKUP(B265,Listas!$C$4:$F$17,2,0),IF(F265="DOS BOCAS",VLOOKUP(B265,Listas!$C$4:$F$17,3,0),IF(F265="GLENCORE",VLOOKUP(B265,Listas!$C$4:$F$17,4,0),"Seleccione TAR"))),"-")</f>
        <v>Seleccione TAR</v>
      </c>
      <c r="M265" s="19" t="str">
        <f>+IFERROR(IF(G265="Regular",VLOOKUP(C265,'DESCUENTO PROVEEDORES'!$B$4:$E$35,2,0),IF(G265="Premium",VLOOKUP(C265,'DESCUENTO PROVEEDORES'!$B$4:$E$35,3,0),IF(G265="Diesel",VLOOKUP(C265,'DESCUENTO PROVEEDORES'!$B$4:$E$35,4,0),"Seleccione Proveedor"))),"-")</f>
        <v>Seleccione Proveedor</v>
      </c>
      <c r="N265" s="20" t="e">
        <f>((((K265-H265)/1.16)-M265))</f>
        <v>#VALUE!</v>
      </c>
      <c r="O265" s="21" t="e">
        <f>((N265*16%)+N265)+H265+L265</f>
        <v>#VALUE!</v>
      </c>
      <c r="P265" s="21" t="e">
        <f>(((J265-O265)-H265)/1.16)+H265</f>
        <v>#VALUE!</v>
      </c>
      <c r="Q265" s="44"/>
      <c r="R265" s="24"/>
      <c r="S265" s="23" t="e">
        <f t="shared" si="12"/>
        <v>#DIV/0!</v>
      </c>
      <c r="T265" s="23" t="e">
        <f t="shared" si="13"/>
        <v>#DIV/0!</v>
      </c>
      <c r="U265" s="22" t="e">
        <f t="shared" si="14"/>
        <v>#DIV/0!</v>
      </c>
      <c r="V265" s="44"/>
      <c r="W265" s="44"/>
      <c r="X265" s="44"/>
      <c r="Y265" s="44"/>
      <c r="Z265" s="44"/>
    </row>
    <row r="266" spans="1:26" ht="15.75" customHeight="1">
      <c r="A266" s="44"/>
      <c r="B266" s="14"/>
      <c r="C266" s="53"/>
      <c r="D266" s="15"/>
      <c r="E266" s="89"/>
      <c r="F266" s="16"/>
      <c r="G266" s="16"/>
      <c r="H266" s="90" t="str">
        <f>IF(G266="Regular",Listas!$K$16,IF(G266="Premium",Listas!$K$17,IF(G266="Diesel",Listas!$K$18,"-")))</f>
        <v>-</v>
      </c>
      <c r="I266" s="17"/>
      <c r="J266" s="18"/>
      <c r="K266" s="19" t="str">
        <f>+IFERROR(IF(G266="Regular",VLOOKUP(C266,'PRECIO TERMINAL PEMEX'!$B$4:$E$35,2,0),IF(G266="Premium",VLOOKUP(C266,'PRECIO TERMINAL PEMEX'!$B$4:$E$35,3,0),IF(G266="Diesel",VLOOKUP(C266,'PRECIO TERMINAL PEMEX'!$B$4:$E$35,4,0),"Seleccione Producto"))),"-")</f>
        <v>Seleccione Producto</v>
      </c>
      <c r="L266" s="93" t="str">
        <f>+IFERROR(IF(F266="VHSA",VLOOKUP(B266,Listas!$C$4:$F$17,2,0),IF(F266="DOS BOCAS",VLOOKUP(B266,Listas!$C$4:$F$17,3,0),IF(F266="GLENCORE",VLOOKUP(B266,Listas!$C$4:$F$17,4,0),"Seleccione TAR"))),"-")</f>
        <v>Seleccione TAR</v>
      </c>
      <c r="M266" s="19" t="str">
        <f>+IFERROR(IF(G266="Regular",VLOOKUP(C266,'DESCUENTO PROVEEDORES'!$B$4:$E$35,2,0),IF(G266="Premium",VLOOKUP(C266,'DESCUENTO PROVEEDORES'!$B$4:$E$35,3,0),IF(G266="Diesel",VLOOKUP(C266,'DESCUENTO PROVEEDORES'!$B$4:$E$35,4,0),"Seleccione Proveedor"))),"-")</f>
        <v>Seleccione Proveedor</v>
      </c>
      <c r="N266" s="20" t="e">
        <f>((((K266-H266)/1.16)-M266))</f>
        <v>#VALUE!</v>
      </c>
      <c r="O266" s="21" t="e">
        <f>((N266*16%)+N266)+H266+L266</f>
        <v>#VALUE!</v>
      </c>
      <c r="P266" s="21" t="e">
        <f>(((J266-O266)-H266)/1.16)+H266</f>
        <v>#VALUE!</v>
      </c>
      <c r="Q266" s="44"/>
      <c r="R266" s="24"/>
      <c r="S266" s="23" t="e">
        <f t="shared" si="12"/>
        <v>#DIV/0!</v>
      </c>
      <c r="T266" s="23" t="e">
        <f t="shared" si="13"/>
        <v>#DIV/0!</v>
      </c>
      <c r="U266" s="22" t="e">
        <f t="shared" si="14"/>
        <v>#DIV/0!</v>
      </c>
      <c r="V266" s="44"/>
      <c r="W266" s="44"/>
      <c r="X266" s="44"/>
      <c r="Y266" s="44"/>
      <c r="Z266" s="44"/>
    </row>
    <row r="267" spans="1:26" ht="15.75" customHeight="1">
      <c r="A267" s="44"/>
      <c r="B267" s="14"/>
      <c r="C267" s="53"/>
      <c r="D267" s="15"/>
      <c r="E267" s="89"/>
      <c r="F267" s="16"/>
      <c r="G267" s="16"/>
      <c r="H267" s="90" t="str">
        <f>IF(G267="Regular",Listas!$K$16,IF(G267="Premium",Listas!$K$17,IF(G267="Diesel",Listas!$K$18,"-")))</f>
        <v>-</v>
      </c>
      <c r="I267" s="17"/>
      <c r="J267" s="18"/>
      <c r="K267" s="19" t="str">
        <f>+IFERROR(IF(G267="Regular",VLOOKUP(C267,'PRECIO TERMINAL PEMEX'!$B$4:$E$35,2,0),IF(G267="Premium",VLOOKUP(C267,'PRECIO TERMINAL PEMEX'!$B$4:$E$35,3,0),IF(G267="Diesel",VLOOKUP(C267,'PRECIO TERMINAL PEMEX'!$B$4:$E$35,4,0),"Seleccione Producto"))),"-")</f>
        <v>Seleccione Producto</v>
      </c>
      <c r="L267" s="93" t="str">
        <f>+IFERROR(IF(F267="VHSA",VLOOKUP(B267,Listas!$C$4:$F$17,2,0),IF(F267="DOS BOCAS",VLOOKUP(B267,Listas!$C$4:$F$17,3,0),IF(F267="GLENCORE",VLOOKUP(B267,Listas!$C$4:$F$17,4,0),"Seleccione TAR"))),"-")</f>
        <v>Seleccione TAR</v>
      </c>
      <c r="M267" s="19" t="str">
        <f>+IFERROR(IF(G267="Regular",VLOOKUP(C267,'DESCUENTO PROVEEDORES'!$B$4:$E$35,2,0),IF(G267="Premium",VLOOKUP(C267,'DESCUENTO PROVEEDORES'!$B$4:$E$35,3,0),IF(G267="Diesel",VLOOKUP(C267,'DESCUENTO PROVEEDORES'!$B$4:$E$35,4,0),"Seleccione Proveedor"))),"-")</f>
        <v>Seleccione Proveedor</v>
      </c>
      <c r="N267" s="20" t="e">
        <f>((((K267-H267)/1.16)-M267))</f>
        <v>#VALUE!</v>
      </c>
      <c r="O267" s="21" t="e">
        <f>((N267*16%)+N267)+H267+L267</f>
        <v>#VALUE!</v>
      </c>
      <c r="P267" s="21" t="e">
        <f>(((J267-O267)-H267)/1.16)+H267</f>
        <v>#VALUE!</v>
      </c>
      <c r="Q267" s="44"/>
      <c r="R267" s="24"/>
      <c r="S267" s="23" t="e">
        <f t="shared" si="12"/>
        <v>#DIV/0!</v>
      </c>
      <c r="T267" s="23" t="e">
        <f t="shared" si="13"/>
        <v>#DIV/0!</v>
      </c>
      <c r="U267" s="22" t="e">
        <f t="shared" si="14"/>
        <v>#DIV/0!</v>
      </c>
      <c r="V267" s="44"/>
      <c r="W267" s="44"/>
      <c r="X267" s="44"/>
      <c r="Y267" s="44"/>
      <c r="Z267" s="44"/>
    </row>
    <row r="268" spans="1:26" ht="15.75" customHeight="1">
      <c r="A268" s="44"/>
      <c r="B268" s="14"/>
      <c r="C268" s="53"/>
      <c r="D268" s="15"/>
      <c r="E268" s="89"/>
      <c r="F268" s="16"/>
      <c r="G268" s="16"/>
      <c r="H268" s="90" t="str">
        <f>IF(G268="Regular",Listas!$K$16,IF(G268="Premium",Listas!$K$17,IF(G268="Diesel",Listas!$K$18,"-")))</f>
        <v>-</v>
      </c>
      <c r="I268" s="17"/>
      <c r="J268" s="18"/>
      <c r="K268" s="19" t="str">
        <f>+IFERROR(IF(G268="Regular",VLOOKUP(C268,'PRECIO TERMINAL PEMEX'!$B$4:$E$35,2,0),IF(G268="Premium",VLOOKUP(C268,'PRECIO TERMINAL PEMEX'!$B$4:$E$35,3,0),IF(G268="Diesel",VLOOKUP(C268,'PRECIO TERMINAL PEMEX'!$B$4:$E$35,4,0),"Seleccione Producto"))),"-")</f>
        <v>Seleccione Producto</v>
      </c>
      <c r="L268" s="93" t="str">
        <f>+IFERROR(IF(F268="VHSA",VLOOKUP(B268,Listas!$C$4:$F$17,2,0),IF(F268="DOS BOCAS",VLOOKUP(B268,Listas!$C$4:$F$17,3,0),IF(F268="GLENCORE",VLOOKUP(B268,Listas!$C$4:$F$17,4,0),"Seleccione TAR"))),"-")</f>
        <v>Seleccione TAR</v>
      </c>
      <c r="M268" s="19" t="str">
        <f>+IFERROR(IF(G268="Regular",VLOOKUP(C268,'DESCUENTO PROVEEDORES'!$B$4:$E$35,2,0),IF(G268="Premium",VLOOKUP(C268,'DESCUENTO PROVEEDORES'!$B$4:$E$35,3,0),IF(G268="Diesel",VLOOKUP(C268,'DESCUENTO PROVEEDORES'!$B$4:$E$35,4,0),"Seleccione Proveedor"))),"-")</f>
        <v>Seleccione Proveedor</v>
      </c>
      <c r="N268" s="20" t="e">
        <f>((((K268-H268)/1.16)-M268))</f>
        <v>#VALUE!</v>
      </c>
      <c r="O268" s="21" t="e">
        <f>((N268*16%)+N268)+H268+L268</f>
        <v>#VALUE!</v>
      </c>
      <c r="P268" s="21" t="e">
        <f>(((J268-O268)-H268)/1.16)+H268</f>
        <v>#VALUE!</v>
      </c>
      <c r="Q268" s="44"/>
      <c r="R268" s="24"/>
      <c r="S268" s="23" t="e">
        <f t="shared" si="12"/>
        <v>#DIV/0!</v>
      </c>
      <c r="T268" s="23" t="e">
        <f t="shared" si="13"/>
        <v>#DIV/0!</v>
      </c>
      <c r="U268" s="22" t="e">
        <f t="shared" si="14"/>
        <v>#DIV/0!</v>
      </c>
      <c r="V268" s="44"/>
      <c r="W268" s="44"/>
      <c r="X268" s="44"/>
      <c r="Y268" s="44"/>
      <c r="Z268" s="44"/>
    </row>
    <row r="269" spans="1:26" ht="15.75" customHeight="1">
      <c r="A269" s="44"/>
      <c r="B269" s="14"/>
      <c r="C269" s="53"/>
      <c r="D269" s="15"/>
      <c r="E269" s="89"/>
      <c r="F269" s="16"/>
      <c r="G269" s="16"/>
      <c r="H269" s="90" t="str">
        <f>IF(G269="Regular",Listas!$K$16,IF(G269="Premium",Listas!$K$17,IF(G269="Diesel",Listas!$K$18,"-")))</f>
        <v>-</v>
      </c>
      <c r="I269" s="17"/>
      <c r="J269" s="18"/>
      <c r="K269" s="19" t="str">
        <f>+IFERROR(IF(G269="Regular",VLOOKUP(C269,'PRECIO TERMINAL PEMEX'!$B$4:$E$35,2,0),IF(G269="Premium",VLOOKUP(C269,'PRECIO TERMINAL PEMEX'!$B$4:$E$35,3,0),IF(G269="Diesel",VLOOKUP(C269,'PRECIO TERMINAL PEMEX'!$B$4:$E$35,4,0),"Seleccione Producto"))),"-")</f>
        <v>Seleccione Producto</v>
      </c>
      <c r="L269" s="93" t="str">
        <f>+IFERROR(IF(F269="VHSA",VLOOKUP(B269,Listas!$C$4:$F$17,2,0),IF(F269="DOS BOCAS",VLOOKUP(B269,Listas!$C$4:$F$17,3,0),IF(F269="GLENCORE",VLOOKUP(B269,Listas!$C$4:$F$17,4,0),"Seleccione TAR"))),"-")</f>
        <v>Seleccione TAR</v>
      </c>
      <c r="M269" s="19" t="str">
        <f>+IFERROR(IF(G269="Regular",VLOOKUP(C269,'DESCUENTO PROVEEDORES'!$B$4:$E$35,2,0),IF(G269="Premium",VLOOKUP(C269,'DESCUENTO PROVEEDORES'!$B$4:$E$35,3,0),IF(G269="Diesel",VLOOKUP(C269,'DESCUENTO PROVEEDORES'!$B$4:$E$35,4,0),"Seleccione Proveedor"))),"-")</f>
        <v>Seleccione Proveedor</v>
      </c>
      <c r="N269" s="20" t="e">
        <f>((((K269-H269)/1.16)-M269))</f>
        <v>#VALUE!</v>
      </c>
      <c r="O269" s="21" t="e">
        <f>((N269*16%)+N269)+H269+L269</f>
        <v>#VALUE!</v>
      </c>
      <c r="P269" s="21" t="e">
        <f>(((J269-O269)-H269)/1.16)+H269</f>
        <v>#VALUE!</v>
      </c>
      <c r="Q269" s="44"/>
      <c r="R269" s="24"/>
      <c r="S269" s="23" t="e">
        <f t="shared" si="12"/>
        <v>#DIV/0!</v>
      </c>
      <c r="T269" s="23" t="e">
        <f t="shared" si="13"/>
        <v>#DIV/0!</v>
      </c>
      <c r="U269" s="22" t="e">
        <f t="shared" si="14"/>
        <v>#DIV/0!</v>
      </c>
      <c r="V269" s="44"/>
      <c r="W269" s="44"/>
      <c r="X269" s="44"/>
      <c r="Y269" s="44"/>
      <c r="Z269" s="44"/>
    </row>
    <row r="270" spans="1:26" ht="15.75" customHeight="1">
      <c r="A270" s="44"/>
      <c r="B270" s="14"/>
      <c r="C270" s="53"/>
      <c r="D270" s="15"/>
      <c r="E270" s="89"/>
      <c r="F270" s="16"/>
      <c r="G270" s="16"/>
      <c r="H270" s="90" t="str">
        <f>IF(G270="Regular",Listas!$K$16,IF(G270="Premium",Listas!$K$17,IF(G270="Diesel",Listas!$K$18,"-")))</f>
        <v>-</v>
      </c>
      <c r="I270" s="17"/>
      <c r="J270" s="18"/>
      <c r="K270" s="19" t="str">
        <f>+IFERROR(IF(G270="Regular",VLOOKUP(C270,'PRECIO TERMINAL PEMEX'!$B$4:$E$35,2,0),IF(G270="Premium",VLOOKUP(C270,'PRECIO TERMINAL PEMEX'!$B$4:$E$35,3,0),IF(G270="Diesel",VLOOKUP(C270,'PRECIO TERMINAL PEMEX'!$B$4:$E$35,4,0),"Seleccione Producto"))),"-")</f>
        <v>Seleccione Producto</v>
      </c>
      <c r="L270" s="93" t="str">
        <f>+IFERROR(IF(F270="VHSA",VLOOKUP(B270,Listas!$C$4:$F$17,2,0),IF(F270="DOS BOCAS",VLOOKUP(B270,Listas!$C$4:$F$17,3,0),IF(F270="GLENCORE",VLOOKUP(B270,Listas!$C$4:$F$17,4,0),"Seleccione TAR"))),"-")</f>
        <v>Seleccione TAR</v>
      </c>
      <c r="M270" s="19" t="str">
        <f>+IFERROR(IF(G270="Regular",VLOOKUP(C270,'DESCUENTO PROVEEDORES'!$B$4:$E$35,2,0),IF(G270="Premium",VLOOKUP(C270,'DESCUENTO PROVEEDORES'!$B$4:$E$35,3,0),IF(G270="Diesel",VLOOKUP(C270,'DESCUENTO PROVEEDORES'!$B$4:$E$35,4,0),"Seleccione Proveedor"))),"-")</f>
        <v>Seleccione Proveedor</v>
      </c>
      <c r="N270" s="20" t="e">
        <f>((((K270-H270)/1.16)-M270))</f>
        <v>#VALUE!</v>
      </c>
      <c r="O270" s="21" t="e">
        <f>((N270*16%)+N270)+H270+L270</f>
        <v>#VALUE!</v>
      </c>
      <c r="P270" s="21" t="e">
        <f>(((J270-O270)-H270)/1.16)+H270</f>
        <v>#VALUE!</v>
      </c>
      <c r="Q270" s="44"/>
      <c r="R270" s="24"/>
      <c r="S270" s="23" t="e">
        <f t="shared" si="12"/>
        <v>#DIV/0!</v>
      </c>
      <c r="T270" s="23" t="e">
        <f t="shared" si="13"/>
        <v>#DIV/0!</v>
      </c>
      <c r="U270" s="22" t="e">
        <f t="shared" si="14"/>
        <v>#DIV/0!</v>
      </c>
      <c r="V270" s="44"/>
      <c r="W270" s="44"/>
      <c r="X270" s="44"/>
      <c r="Y270" s="44"/>
      <c r="Z270" s="44"/>
    </row>
    <row r="271" spans="1:26" ht="15.75" customHeight="1">
      <c r="A271" s="44"/>
      <c r="B271" s="14"/>
      <c r="C271" s="53"/>
      <c r="D271" s="15"/>
      <c r="E271" s="89"/>
      <c r="F271" s="16"/>
      <c r="G271" s="16"/>
      <c r="H271" s="90" t="str">
        <f>IF(G271="Regular",Listas!$K$16,IF(G271="Premium",Listas!$K$17,IF(G271="Diesel",Listas!$K$18,"-")))</f>
        <v>-</v>
      </c>
      <c r="I271" s="17"/>
      <c r="J271" s="18"/>
      <c r="K271" s="19" t="str">
        <f>+IFERROR(IF(G271="Regular",VLOOKUP(C271,'PRECIO TERMINAL PEMEX'!$B$4:$E$35,2,0),IF(G271="Premium",VLOOKUP(C271,'PRECIO TERMINAL PEMEX'!$B$4:$E$35,3,0),IF(G271="Diesel",VLOOKUP(C271,'PRECIO TERMINAL PEMEX'!$B$4:$E$35,4,0),"Seleccione Producto"))),"-")</f>
        <v>Seleccione Producto</v>
      </c>
      <c r="L271" s="93" t="str">
        <f>+IFERROR(IF(F271="VHSA",VLOOKUP(B271,Listas!$C$4:$F$17,2,0),IF(F271="DOS BOCAS",VLOOKUP(B271,Listas!$C$4:$F$17,3,0),IF(F271="GLENCORE",VLOOKUP(B271,Listas!$C$4:$F$17,4,0),"Seleccione TAR"))),"-")</f>
        <v>Seleccione TAR</v>
      </c>
      <c r="M271" s="19" t="str">
        <f>+IFERROR(IF(G271="Regular",VLOOKUP(C271,'DESCUENTO PROVEEDORES'!$B$4:$E$35,2,0),IF(G271="Premium",VLOOKUP(C271,'DESCUENTO PROVEEDORES'!$B$4:$E$35,3,0),IF(G271="Diesel",VLOOKUP(C271,'DESCUENTO PROVEEDORES'!$B$4:$E$35,4,0),"Seleccione Proveedor"))),"-")</f>
        <v>Seleccione Proveedor</v>
      </c>
      <c r="N271" s="20" t="e">
        <f>((((K271-H271)/1.16)-M271))</f>
        <v>#VALUE!</v>
      </c>
      <c r="O271" s="21" t="e">
        <f>((N271*16%)+N271)+H271+L271</f>
        <v>#VALUE!</v>
      </c>
      <c r="P271" s="21" t="e">
        <f>(((J271-O271)-H271)/1.16)+H271</f>
        <v>#VALUE!</v>
      </c>
      <c r="Q271" s="44"/>
      <c r="R271" s="24"/>
      <c r="S271" s="23" t="e">
        <f t="shared" si="12"/>
        <v>#DIV/0!</v>
      </c>
      <c r="T271" s="23" t="e">
        <f t="shared" si="13"/>
        <v>#DIV/0!</v>
      </c>
      <c r="U271" s="22" t="e">
        <f t="shared" si="14"/>
        <v>#DIV/0!</v>
      </c>
      <c r="V271" s="44"/>
      <c r="W271" s="44"/>
      <c r="X271" s="44"/>
      <c r="Y271" s="44"/>
      <c r="Z271" s="44"/>
    </row>
    <row r="272" spans="1:26" ht="15.75" customHeight="1">
      <c r="A272" s="44"/>
      <c r="B272" s="14"/>
      <c r="C272" s="53"/>
      <c r="D272" s="15"/>
      <c r="E272" s="89"/>
      <c r="F272" s="16"/>
      <c r="G272" s="16"/>
      <c r="H272" s="90" t="str">
        <f>IF(G272="Regular",Listas!$K$16,IF(G272="Premium",Listas!$K$17,IF(G272="Diesel",Listas!$K$18,"-")))</f>
        <v>-</v>
      </c>
      <c r="I272" s="17"/>
      <c r="J272" s="18"/>
      <c r="K272" s="19" t="str">
        <f>+IFERROR(IF(G272="Regular",VLOOKUP(C272,'PRECIO TERMINAL PEMEX'!$B$4:$E$35,2,0),IF(G272="Premium",VLOOKUP(C272,'PRECIO TERMINAL PEMEX'!$B$4:$E$35,3,0),IF(G272="Diesel",VLOOKUP(C272,'PRECIO TERMINAL PEMEX'!$B$4:$E$35,4,0),"Seleccione Producto"))),"-")</f>
        <v>Seleccione Producto</v>
      </c>
      <c r="L272" s="93" t="str">
        <f>+IFERROR(IF(F272="VHSA",VLOOKUP(B272,Listas!$C$4:$F$17,2,0),IF(F272="DOS BOCAS",VLOOKUP(B272,Listas!$C$4:$F$17,3,0),IF(F272="GLENCORE",VLOOKUP(B272,Listas!$C$4:$F$17,4,0),"Seleccione TAR"))),"-")</f>
        <v>Seleccione TAR</v>
      </c>
      <c r="M272" s="19" t="str">
        <f>+IFERROR(IF(G272="Regular",VLOOKUP(C272,'DESCUENTO PROVEEDORES'!$B$4:$E$35,2,0),IF(G272="Premium",VLOOKUP(C272,'DESCUENTO PROVEEDORES'!$B$4:$E$35,3,0),IF(G272="Diesel",VLOOKUP(C272,'DESCUENTO PROVEEDORES'!$B$4:$E$35,4,0),"Seleccione Proveedor"))),"-")</f>
        <v>Seleccione Proveedor</v>
      </c>
      <c r="N272" s="20" t="e">
        <f>((((K272-H272)/1.16)-M272))</f>
        <v>#VALUE!</v>
      </c>
      <c r="O272" s="21" t="e">
        <f>((N272*16%)+N272)+H272+L272</f>
        <v>#VALUE!</v>
      </c>
      <c r="P272" s="21" t="e">
        <f>(((J272-O272)-H272)/1.16)+H272</f>
        <v>#VALUE!</v>
      </c>
      <c r="Q272" s="44"/>
      <c r="R272" s="24"/>
      <c r="S272" s="23" t="e">
        <f t="shared" si="12"/>
        <v>#DIV/0!</v>
      </c>
      <c r="T272" s="23" t="e">
        <f t="shared" si="13"/>
        <v>#DIV/0!</v>
      </c>
      <c r="U272" s="22" t="e">
        <f t="shared" si="14"/>
        <v>#DIV/0!</v>
      </c>
      <c r="V272" s="44"/>
      <c r="W272" s="44"/>
      <c r="X272" s="44"/>
      <c r="Y272" s="44"/>
      <c r="Z272" s="44"/>
    </row>
    <row r="273" spans="1:26" ht="15.75" customHeight="1">
      <c r="A273" s="44"/>
      <c r="B273" s="14"/>
      <c r="C273" s="53"/>
      <c r="D273" s="15"/>
      <c r="E273" s="89"/>
      <c r="F273" s="16"/>
      <c r="G273" s="16"/>
      <c r="H273" s="90" t="str">
        <f>IF(G273="Regular",Listas!$K$16,IF(G273="Premium",Listas!$K$17,IF(G273="Diesel",Listas!$K$18,"-")))</f>
        <v>-</v>
      </c>
      <c r="I273" s="17"/>
      <c r="J273" s="18"/>
      <c r="K273" s="19" t="str">
        <f>+IFERROR(IF(G273="Regular",VLOOKUP(C273,'PRECIO TERMINAL PEMEX'!$B$4:$E$35,2,0),IF(G273="Premium",VLOOKUP(C273,'PRECIO TERMINAL PEMEX'!$B$4:$E$35,3,0),IF(G273="Diesel",VLOOKUP(C273,'PRECIO TERMINAL PEMEX'!$B$4:$E$35,4,0),"Seleccione Producto"))),"-")</f>
        <v>Seleccione Producto</v>
      </c>
      <c r="L273" s="93" t="str">
        <f>+IFERROR(IF(F273="VHSA",VLOOKUP(B273,Listas!$C$4:$F$17,2,0),IF(F273="DOS BOCAS",VLOOKUP(B273,Listas!$C$4:$F$17,3,0),IF(F273="GLENCORE",VLOOKUP(B273,Listas!$C$4:$F$17,4,0),"Seleccione TAR"))),"-")</f>
        <v>Seleccione TAR</v>
      </c>
      <c r="M273" s="19" t="str">
        <f>+IFERROR(IF(G273="Regular",VLOOKUP(C273,'DESCUENTO PROVEEDORES'!$B$4:$E$35,2,0),IF(G273="Premium",VLOOKUP(C273,'DESCUENTO PROVEEDORES'!$B$4:$E$35,3,0),IF(G273="Diesel",VLOOKUP(C273,'DESCUENTO PROVEEDORES'!$B$4:$E$35,4,0),"Seleccione Proveedor"))),"-")</f>
        <v>Seleccione Proveedor</v>
      </c>
      <c r="N273" s="20" t="e">
        <f>((((K273-H273)/1.16)-M273))</f>
        <v>#VALUE!</v>
      </c>
      <c r="O273" s="21" t="e">
        <f>((N273*16%)+N273)+H273+L273</f>
        <v>#VALUE!</v>
      </c>
      <c r="P273" s="21" t="e">
        <f>(((J273-O273)-H273)/1.16)+H273</f>
        <v>#VALUE!</v>
      </c>
      <c r="Q273" s="44"/>
      <c r="R273" s="24"/>
      <c r="S273" s="23" t="e">
        <f t="shared" si="12"/>
        <v>#DIV/0!</v>
      </c>
      <c r="T273" s="23" t="e">
        <f t="shared" si="13"/>
        <v>#DIV/0!</v>
      </c>
      <c r="U273" s="22" t="e">
        <f t="shared" si="14"/>
        <v>#DIV/0!</v>
      </c>
      <c r="V273" s="44"/>
      <c r="W273" s="44"/>
      <c r="X273" s="44"/>
      <c r="Y273" s="44"/>
      <c r="Z273" s="44"/>
    </row>
    <row r="274" spans="1:26" ht="15.75" customHeight="1">
      <c r="A274" s="44"/>
      <c r="B274" s="14"/>
      <c r="C274" s="53"/>
      <c r="D274" s="15"/>
      <c r="E274" s="89"/>
      <c r="F274" s="16"/>
      <c r="G274" s="16"/>
      <c r="H274" s="90" t="str">
        <f>IF(G274="Regular",Listas!$K$16,IF(G274="Premium",Listas!$K$17,IF(G274="Diesel",Listas!$K$18,"-")))</f>
        <v>-</v>
      </c>
      <c r="I274" s="17"/>
      <c r="J274" s="18"/>
      <c r="K274" s="19" t="str">
        <f>+IFERROR(IF(G274="Regular",VLOOKUP(C274,'PRECIO TERMINAL PEMEX'!$B$4:$E$35,2,0),IF(G274="Premium",VLOOKUP(C274,'PRECIO TERMINAL PEMEX'!$B$4:$E$35,3,0),IF(G274="Diesel",VLOOKUP(C274,'PRECIO TERMINAL PEMEX'!$B$4:$E$35,4,0),"Seleccione Producto"))),"-")</f>
        <v>Seleccione Producto</v>
      </c>
      <c r="L274" s="93" t="str">
        <f>+IFERROR(IF(F274="VHSA",VLOOKUP(B274,Listas!$C$4:$F$17,2,0),IF(F274="DOS BOCAS",VLOOKUP(B274,Listas!$C$4:$F$17,3,0),IF(F274="GLENCORE",VLOOKUP(B274,Listas!$C$4:$F$17,4,0),"Seleccione TAR"))),"-")</f>
        <v>Seleccione TAR</v>
      </c>
      <c r="M274" s="19" t="str">
        <f>+IFERROR(IF(G274="Regular",VLOOKUP(C274,'DESCUENTO PROVEEDORES'!$B$4:$E$35,2,0),IF(G274="Premium",VLOOKUP(C274,'DESCUENTO PROVEEDORES'!$B$4:$E$35,3,0),IF(G274="Diesel",VLOOKUP(C274,'DESCUENTO PROVEEDORES'!$B$4:$E$35,4,0),"Seleccione Proveedor"))),"-")</f>
        <v>Seleccione Proveedor</v>
      </c>
      <c r="N274" s="20" t="e">
        <f>((((K274-H274)/1.16)-M274))</f>
        <v>#VALUE!</v>
      </c>
      <c r="O274" s="21" t="e">
        <f>((N274*16%)+N274)+H274+L274</f>
        <v>#VALUE!</v>
      </c>
      <c r="P274" s="21" t="e">
        <f>(((J274-O274)-H274)/1.16)+H274</f>
        <v>#VALUE!</v>
      </c>
      <c r="Q274" s="44"/>
      <c r="R274" s="24"/>
      <c r="S274" s="23" t="e">
        <f t="shared" si="12"/>
        <v>#DIV/0!</v>
      </c>
      <c r="T274" s="23" t="e">
        <f t="shared" si="13"/>
        <v>#DIV/0!</v>
      </c>
      <c r="U274" s="22" t="e">
        <f t="shared" si="14"/>
        <v>#DIV/0!</v>
      </c>
      <c r="V274" s="44"/>
      <c r="W274" s="44"/>
      <c r="X274" s="44"/>
      <c r="Y274" s="44"/>
      <c r="Z274" s="44"/>
    </row>
    <row r="275" spans="1:26" ht="15.75" customHeight="1">
      <c r="A275" s="44"/>
      <c r="B275" s="14"/>
      <c r="C275" s="53"/>
      <c r="D275" s="15"/>
      <c r="E275" s="89"/>
      <c r="F275" s="16"/>
      <c r="G275" s="16"/>
      <c r="H275" s="90" t="str">
        <f>IF(G275="Regular",Listas!$K$16,IF(G275="Premium",Listas!$K$17,IF(G275="Diesel",Listas!$K$18,"-")))</f>
        <v>-</v>
      </c>
      <c r="I275" s="17"/>
      <c r="J275" s="18"/>
      <c r="K275" s="19" t="str">
        <f>+IFERROR(IF(G275="Regular",VLOOKUP(C275,'PRECIO TERMINAL PEMEX'!$B$4:$E$35,2,0),IF(G275="Premium",VLOOKUP(C275,'PRECIO TERMINAL PEMEX'!$B$4:$E$35,3,0),IF(G275="Diesel",VLOOKUP(C275,'PRECIO TERMINAL PEMEX'!$B$4:$E$35,4,0),"Seleccione Producto"))),"-")</f>
        <v>Seleccione Producto</v>
      </c>
      <c r="L275" s="93" t="str">
        <f>+IFERROR(IF(F275="VHSA",VLOOKUP(B275,Listas!$C$4:$F$17,2,0),IF(F275="DOS BOCAS",VLOOKUP(B275,Listas!$C$4:$F$17,3,0),IF(F275="GLENCORE",VLOOKUP(B275,Listas!$C$4:$F$17,4,0),"Seleccione TAR"))),"-")</f>
        <v>Seleccione TAR</v>
      </c>
      <c r="M275" s="19" t="str">
        <f>+IFERROR(IF(G275="Regular",VLOOKUP(C275,'DESCUENTO PROVEEDORES'!$B$4:$E$35,2,0),IF(G275="Premium",VLOOKUP(C275,'DESCUENTO PROVEEDORES'!$B$4:$E$35,3,0),IF(G275="Diesel",VLOOKUP(C275,'DESCUENTO PROVEEDORES'!$B$4:$E$35,4,0),"Seleccione Proveedor"))),"-")</f>
        <v>Seleccione Proveedor</v>
      </c>
      <c r="N275" s="20" t="e">
        <f>((((K275-H275)/1.16)-M275))</f>
        <v>#VALUE!</v>
      </c>
      <c r="O275" s="21" t="e">
        <f>((N275*16%)+N275)+H275+L275</f>
        <v>#VALUE!</v>
      </c>
      <c r="P275" s="21" t="e">
        <f>(((J275-O275)-H275)/1.16)+H275</f>
        <v>#VALUE!</v>
      </c>
      <c r="Q275" s="44"/>
      <c r="R275" s="24"/>
      <c r="S275" s="23" t="e">
        <f t="shared" si="12"/>
        <v>#DIV/0!</v>
      </c>
      <c r="T275" s="23" t="e">
        <f t="shared" si="13"/>
        <v>#DIV/0!</v>
      </c>
      <c r="U275" s="22" t="e">
        <f t="shared" si="14"/>
        <v>#DIV/0!</v>
      </c>
      <c r="V275" s="44"/>
      <c r="W275" s="44"/>
      <c r="X275" s="44"/>
      <c r="Y275" s="44"/>
      <c r="Z275" s="44"/>
    </row>
    <row r="276" spans="1:26" ht="15.75" customHeight="1">
      <c r="A276" s="44"/>
      <c r="B276" s="14"/>
      <c r="C276" s="53"/>
      <c r="D276" s="15"/>
      <c r="E276" s="89"/>
      <c r="F276" s="16"/>
      <c r="G276" s="16"/>
      <c r="H276" s="90" t="str">
        <f>IF(G276="Regular",Listas!$K$16,IF(G276="Premium",Listas!$K$17,IF(G276="Diesel",Listas!$K$18,"-")))</f>
        <v>-</v>
      </c>
      <c r="I276" s="17"/>
      <c r="J276" s="18"/>
      <c r="K276" s="19" t="str">
        <f>+IFERROR(IF(G276="Regular",VLOOKUP(C276,'PRECIO TERMINAL PEMEX'!$B$4:$E$35,2,0),IF(G276="Premium",VLOOKUP(C276,'PRECIO TERMINAL PEMEX'!$B$4:$E$35,3,0),IF(G276="Diesel",VLOOKUP(C276,'PRECIO TERMINAL PEMEX'!$B$4:$E$35,4,0),"Seleccione Producto"))),"-")</f>
        <v>Seleccione Producto</v>
      </c>
      <c r="L276" s="93" t="str">
        <f>+IFERROR(IF(F276="VHSA",VLOOKUP(B276,Listas!$C$4:$F$17,2,0),IF(F276="DOS BOCAS",VLOOKUP(B276,Listas!$C$4:$F$17,3,0),IF(F276="GLENCORE",VLOOKUP(B276,Listas!$C$4:$F$17,4,0),"Seleccione TAR"))),"-")</f>
        <v>Seleccione TAR</v>
      </c>
      <c r="M276" s="19" t="str">
        <f>+IFERROR(IF(G276="Regular",VLOOKUP(C276,'DESCUENTO PROVEEDORES'!$B$4:$E$35,2,0),IF(G276="Premium",VLOOKUP(C276,'DESCUENTO PROVEEDORES'!$B$4:$E$35,3,0),IF(G276="Diesel",VLOOKUP(C276,'DESCUENTO PROVEEDORES'!$B$4:$E$35,4,0),"Seleccione Proveedor"))),"-")</f>
        <v>Seleccione Proveedor</v>
      </c>
      <c r="N276" s="20" t="e">
        <f>((((K276-H276)/1.16)-M276))</f>
        <v>#VALUE!</v>
      </c>
      <c r="O276" s="21" t="e">
        <f>((N276*16%)+N276)+H276+L276</f>
        <v>#VALUE!</v>
      </c>
      <c r="P276" s="21" t="e">
        <f>(((J276-O276)-H276)/1.16)+H276</f>
        <v>#VALUE!</v>
      </c>
      <c r="Q276" s="44"/>
      <c r="R276" s="24"/>
      <c r="S276" s="23" t="e">
        <f t="shared" si="12"/>
        <v>#DIV/0!</v>
      </c>
      <c r="T276" s="23" t="e">
        <f t="shared" si="13"/>
        <v>#DIV/0!</v>
      </c>
      <c r="U276" s="22" t="e">
        <f t="shared" si="14"/>
        <v>#DIV/0!</v>
      </c>
      <c r="V276" s="44"/>
      <c r="W276" s="44"/>
      <c r="X276" s="44"/>
      <c r="Y276" s="44"/>
      <c r="Z276" s="44"/>
    </row>
    <row r="277" spans="1:26" ht="15.75" customHeight="1">
      <c r="A277" s="44"/>
      <c r="B277" s="14"/>
      <c r="C277" s="53"/>
      <c r="D277" s="15"/>
      <c r="E277" s="89"/>
      <c r="F277" s="16"/>
      <c r="G277" s="16"/>
      <c r="H277" s="90" t="str">
        <f>IF(G277="Regular",Listas!$K$16,IF(G277="Premium",Listas!$K$17,IF(G277="Diesel",Listas!$K$18,"-")))</f>
        <v>-</v>
      </c>
      <c r="I277" s="17"/>
      <c r="J277" s="18"/>
      <c r="K277" s="19" t="str">
        <f>+IFERROR(IF(G277="Regular",VLOOKUP(C277,'PRECIO TERMINAL PEMEX'!$B$4:$E$35,2,0),IF(G277="Premium",VLOOKUP(C277,'PRECIO TERMINAL PEMEX'!$B$4:$E$35,3,0),IF(G277="Diesel",VLOOKUP(C277,'PRECIO TERMINAL PEMEX'!$B$4:$E$35,4,0),"Seleccione Producto"))),"-")</f>
        <v>Seleccione Producto</v>
      </c>
      <c r="L277" s="93" t="str">
        <f>+IFERROR(IF(F277="VHSA",VLOOKUP(B277,Listas!$C$4:$F$17,2,0),IF(F277="DOS BOCAS",VLOOKUP(B277,Listas!$C$4:$F$17,3,0),IF(F277="GLENCORE",VLOOKUP(B277,Listas!$C$4:$F$17,4,0),"Seleccione TAR"))),"-")</f>
        <v>Seleccione TAR</v>
      </c>
      <c r="M277" s="19" t="str">
        <f>+IFERROR(IF(G277="Regular",VLOOKUP(C277,'DESCUENTO PROVEEDORES'!$B$4:$E$35,2,0),IF(G277="Premium",VLOOKUP(C277,'DESCUENTO PROVEEDORES'!$B$4:$E$35,3,0),IF(G277="Diesel",VLOOKUP(C277,'DESCUENTO PROVEEDORES'!$B$4:$E$35,4,0),"Seleccione Proveedor"))),"-")</f>
        <v>Seleccione Proveedor</v>
      </c>
      <c r="N277" s="20" t="e">
        <f>((((K277-H277)/1.16)-M277))</f>
        <v>#VALUE!</v>
      </c>
      <c r="O277" s="21" t="e">
        <f>((N277*16%)+N277)+H277+L277</f>
        <v>#VALUE!</v>
      </c>
      <c r="P277" s="21" t="e">
        <f>(((J277-O277)-H277)/1.16)+H277</f>
        <v>#VALUE!</v>
      </c>
      <c r="Q277" s="44"/>
      <c r="R277" s="24"/>
      <c r="S277" s="23" t="e">
        <f t="shared" si="12"/>
        <v>#DIV/0!</v>
      </c>
      <c r="T277" s="23" t="e">
        <f t="shared" si="13"/>
        <v>#DIV/0!</v>
      </c>
      <c r="U277" s="22" t="e">
        <f t="shared" si="14"/>
        <v>#DIV/0!</v>
      </c>
      <c r="V277" s="44"/>
      <c r="W277" s="44"/>
      <c r="X277" s="44"/>
      <c r="Y277" s="44"/>
      <c r="Z277" s="44"/>
    </row>
    <row r="278" spans="1:26" ht="15.75" customHeight="1">
      <c r="A278" s="44"/>
      <c r="B278" s="14"/>
      <c r="C278" s="53"/>
      <c r="D278" s="15"/>
      <c r="E278" s="89"/>
      <c r="F278" s="16"/>
      <c r="G278" s="16"/>
      <c r="H278" s="90" t="str">
        <f>IF(G278="Regular",Listas!$K$16,IF(G278="Premium",Listas!$K$17,IF(G278="Diesel",Listas!$K$18,"-")))</f>
        <v>-</v>
      </c>
      <c r="I278" s="17"/>
      <c r="J278" s="18"/>
      <c r="K278" s="19" t="str">
        <f>+IFERROR(IF(G278="Regular",VLOOKUP(C278,'PRECIO TERMINAL PEMEX'!$B$4:$E$35,2,0),IF(G278="Premium",VLOOKUP(C278,'PRECIO TERMINAL PEMEX'!$B$4:$E$35,3,0),IF(G278="Diesel",VLOOKUP(C278,'PRECIO TERMINAL PEMEX'!$B$4:$E$35,4,0),"Seleccione Producto"))),"-")</f>
        <v>Seleccione Producto</v>
      </c>
      <c r="L278" s="93" t="str">
        <f>+IFERROR(IF(F278="VHSA",VLOOKUP(B278,Listas!$C$4:$F$17,2,0),IF(F278="DOS BOCAS",VLOOKUP(B278,Listas!$C$4:$F$17,3,0),IF(F278="GLENCORE",VLOOKUP(B278,Listas!$C$4:$F$17,4,0),"Seleccione TAR"))),"-")</f>
        <v>Seleccione TAR</v>
      </c>
      <c r="M278" s="19" t="str">
        <f>+IFERROR(IF(G278="Regular",VLOOKUP(C278,'DESCUENTO PROVEEDORES'!$B$4:$E$35,2,0),IF(G278="Premium",VLOOKUP(C278,'DESCUENTO PROVEEDORES'!$B$4:$E$35,3,0),IF(G278="Diesel",VLOOKUP(C278,'DESCUENTO PROVEEDORES'!$B$4:$E$35,4,0),"Seleccione Proveedor"))),"-")</f>
        <v>Seleccione Proveedor</v>
      </c>
      <c r="N278" s="20" t="e">
        <f>((((K278-H278)/1.16)-M278))</f>
        <v>#VALUE!</v>
      </c>
      <c r="O278" s="21" t="e">
        <f>((N278*16%)+N278)+H278+L278</f>
        <v>#VALUE!</v>
      </c>
      <c r="P278" s="21" t="e">
        <f>(((J278-O278)-H278)/1.16)+H278</f>
        <v>#VALUE!</v>
      </c>
      <c r="Q278" s="44"/>
      <c r="R278" s="24"/>
      <c r="S278" s="23" t="e">
        <f t="shared" si="12"/>
        <v>#DIV/0!</v>
      </c>
      <c r="T278" s="23" t="e">
        <f t="shared" si="13"/>
        <v>#DIV/0!</v>
      </c>
      <c r="U278" s="22" t="e">
        <f t="shared" si="14"/>
        <v>#DIV/0!</v>
      </c>
      <c r="V278" s="44"/>
      <c r="W278" s="44"/>
      <c r="X278" s="44"/>
      <c r="Y278" s="44"/>
      <c r="Z278" s="44"/>
    </row>
    <row r="279" spans="1:26" ht="15.75" customHeight="1">
      <c r="A279" s="44"/>
      <c r="B279" s="14"/>
      <c r="C279" s="53"/>
      <c r="D279" s="15"/>
      <c r="E279" s="89"/>
      <c r="F279" s="16"/>
      <c r="G279" s="16"/>
      <c r="H279" s="90" t="str">
        <f>IF(G279="Regular",Listas!$K$16,IF(G279="Premium",Listas!$K$17,IF(G279="Diesel",Listas!$K$18,"-")))</f>
        <v>-</v>
      </c>
      <c r="I279" s="17"/>
      <c r="J279" s="18"/>
      <c r="K279" s="19" t="str">
        <f>+IFERROR(IF(G279="Regular",VLOOKUP(C279,'PRECIO TERMINAL PEMEX'!$B$4:$E$35,2,0),IF(G279="Premium",VLOOKUP(C279,'PRECIO TERMINAL PEMEX'!$B$4:$E$35,3,0),IF(G279="Diesel",VLOOKUP(C279,'PRECIO TERMINAL PEMEX'!$B$4:$E$35,4,0),"Seleccione Producto"))),"-")</f>
        <v>Seleccione Producto</v>
      </c>
      <c r="L279" s="93" t="str">
        <f>+IFERROR(IF(F279="VHSA",VLOOKUP(B279,Listas!$C$4:$F$17,2,0),IF(F279="DOS BOCAS",VLOOKUP(B279,Listas!$C$4:$F$17,3,0),IF(F279="GLENCORE",VLOOKUP(B279,Listas!$C$4:$F$17,4,0),"Seleccione TAR"))),"-")</f>
        <v>Seleccione TAR</v>
      </c>
      <c r="M279" s="19" t="str">
        <f>+IFERROR(IF(G279="Regular",VLOOKUP(C279,'DESCUENTO PROVEEDORES'!$B$4:$E$35,2,0),IF(G279="Premium",VLOOKUP(C279,'DESCUENTO PROVEEDORES'!$B$4:$E$35,3,0),IF(G279="Diesel",VLOOKUP(C279,'DESCUENTO PROVEEDORES'!$B$4:$E$35,4,0),"Seleccione Proveedor"))),"-")</f>
        <v>Seleccione Proveedor</v>
      </c>
      <c r="N279" s="20" t="e">
        <f>((((K279-H279)/1.16)-M279))</f>
        <v>#VALUE!</v>
      </c>
      <c r="O279" s="21" t="e">
        <f>((N279*16%)+N279)+H279+L279</f>
        <v>#VALUE!</v>
      </c>
      <c r="P279" s="21" t="e">
        <f>(((J279-O279)-H279)/1.16)+H279</f>
        <v>#VALUE!</v>
      </c>
      <c r="Q279" s="44"/>
      <c r="R279" s="24"/>
      <c r="S279" s="23" t="e">
        <f t="shared" si="12"/>
        <v>#DIV/0!</v>
      </c>
      <c r="T279" s="23" t="e">
        <f t="shared" si="13"/>
        <v>#DIV/0!</v>
      </c>
      <c r="U279" s="22" t="e">
        <f t="shared" si="14"/>
        <v>#DIV/0!</v>
      </c>
      <c r="V279" s="44"/>
      <c r="W279" s="44"/>
      <c r="X279" s="44"/>
      <c r="Y279" s="44"/>
      <c r="Z279" s="44"/>
    </row>
    <row r="280" spans="1:26" ht="15.75" customHeight="1">
      <c r="A280" s="44"/>
      <c r="B280" s="14"/>
      <c r="C280" s="53"/>
      <c r="D280" s="15"/>
      <c r="E280" s="89"/>
      <c r="F280" s="16"/>
      <c r="G280" s="16"/>
      <c r="H280" s="90" t="str">
        <f>IF(G280="Regular",Listas!$K$16,IF(G280="Premium",Listas!$K$17,IF(G280="Diesel",Listas!$K$18,"-")))</f>
        <v>-</v>
      </c>
      <c r="I280" s="17"/>
      <c r="J280" s="18"/>
      <c r="K280" s="19" t="str">
        <f>+IFERROR(IF(G280="Regular",VLOOKUP(C280,'PRECIO TERMINAL PEMEX'!$B$4:$E$35,2,0),IF(G280="Premium",VLOOKUP(C280,'PRECIO TERMINAL PEMEX'!$B$4:$E$35,3,0),IF(G280="Diesel",VLOOKUP(C280,'PRECIO TERMINAL PEMEX'!$B$4:$E$35,4,0),"Seleccione Producto"))),"-")</f>
        <v>Seleccione Producto</v>
      </c>
      <c r="L280" s="93" t="str">
        <f>+IFERROR(IF(F280="VHSA",VLOOKUP(B280,Listas!$C$4:$F$17,2,0),IF(F280="DOS BOCAS",VLOOKUP(B280,Listas!$C$4:$F$17,3,0),IF(F280="GLENCORE",VLOOKUP(B280,Listas!$C$4:$F$17,4,0),"Seleccione TAR"))),"-")</f>
        <v>Seleccione TAR</v>
      </c>
      <c r="M280" s="19" t="str">
        <f>+IFERROR(IF(G280="Regular",VLOOKUP(C280,'DESCUENTO PROVEEDORES'!$B$4:$E$35,2,0),IF(G280="Premium",VLOOKUP(C280,'DESCUENTO PROVEEDORES'!$B$4:$E$35,3,0),IF(G280="Diesel",VLOOKUP(C280,'DESCUENTO PROVEEDORES'!$B$4:$E$35,4,0),"Seleccione Proveedor"))),"-")</f>
        <v>Seleccione Proveedor</v>
      </c>
      <c r="N280" s="20" t="e">
        <f>((((K280-H280)/1.16)-M280))</f>
        <v>#VALUE!</v>
      </c>
      <c r="O280" s="21" t="e">
        <f>((N280*16%)+N280)+H280+L280</f>
        <v>#VALUE!</v>
      </c>
      <c r="P280" s="21" t="e">
        <f>(((J280-O280)-H280)/1.16)+H280</f>
        <v>#VALUE!</v>
      </c>
      <c r="Q280" s="44"/>
      <c r="R280" s="24"/>
      <c r="S280" s="23" t="e">
        <f t="shared" si="12"/>
        <v>#DIV/0!</v>
      </c>
      <c r="T280" s="23" t="e">
        <f t="shared" si="13"/>
        <v>#DIV/0!</v>
      </c>
      <c r="U280" s="22" t="e">
        <f t="shared" si="14"/>
        <v>#DIV/0!</v>
      </c>
      <c r="V280" s="44"/>
      <c r="W280" s="44"/>
      <c r="X280" s="44"/>
      <c r="Y280" s="44"/>
      <c r="Z280" s="44"/>
    </row>
    <row r="281" spans="1:26" ht="15.75" customHeight="1">
      <c r="A281" s="44"/>
      <c r="B281" s="14"/>
      <c r="C281" s="53"/>
      <c r="D281" s="15"/>
      <c r="E281" s="89"/>
      <c r="F281" s="16"/>
      <c r="G281" s="16"/>
      <c r="H281" s="90" t="str">
        <f>IF(G281="Regular",Listas!$K$16,IF(G281="Premium",Listas!$K$17,IF(G281="Diesel",Listas!$K$18,"-")))</f>
        <v>-</v>
      </c>
      <c r="I281" s="17"/>
      <c r="J281" s="18"/>
      <c r="K281" s="19" t="str">
        <f>+IFERROR(IF(G281="Regular",VLOOKUP(C281,'PRECIO TERMINAL PEMEX'!$B$4:$E$35,2,0),IF(G281="Premium",VLOOKUP(C281,'PRECIO TERMINAL PEMEX'!$B$4:$E$35,3,0),IF(G281="Diesel",VLOOKUP(C281,'PRECIO TERMINAL PEMEX'!$B$4:$E$35,4,0),"Seleccione Producto"))),"-")</f>
        <v>Seleccione Producto</v>
      </c>
      <c r="L281" s="93" t="str">
        <f>+IFERROR(IF(F281="VHSA",VLOOKUP(B281,Listas!$C$4:$F$17,2,0),IF(F281="DOS BOCAS",VLOOKUP(B281,Listas!$C$4:$F$17,3,0),IF(F281="GLENCORE",VLOOKUP(B281,Listas!$C$4:$F$17,4,0),"Seleccione TAR"))),"-")</f>
        <v>Seleccione TAR</v>
      </c>
      <c r="M281" s="19" t="str">
        <f>+IFERROR(IF(G281="Regular",VLOOKUP(C281,'DESCUENTO PROVEEDORES'!$B$4:$E$35,2,0),IF(G281="Premium",VLOOKUP(C281,'DESCUENTO PROVEEDORES'!$B$4:$E$35,3,0),IF(G281="Diesel",VLOOKUP(C281,'DESCUENTO PROVEEDORES'!$B$4:$E$35,4,0),"Seleccione Proveedor"))),"-")</f>
        <v>Seleccione Proveedor</v>
      </c>
      <c r="N281" s="20" t="e">
        <f>((((K281-H281)/1.16)-M281))</f>
        <v>#VALUE!</v>
      </c>
      <c r="O281" s="21" t="e">
        <f>((N281*16%)+N281)+H281+L281</f>
        <v>#VALUE!</v>
      </c>
      <c r="P281" s="21" t="e">
        <f>(((J281-O281)-H281)/1.16)+H281</f>
        <v>#VALUE!</v>
      </c>
      <c r="Q281" s="44"/>
      <c r="R281" s="24"/>
      <c r="S281" s="23" t="e">
        <f t="shared" si="12"/>
        <v>#DIV/0!</v>
      </c>
      <c r="T281" s="23" t="e">
        <f t="shared" si="13"/>
        <v>#DIV/0!</v>
      </c>
      <c r="U281" s="22" t="e">
        <f t="shared" si="14"/>
        <v>#DIV/0!</v>
      </c>
      <c r="V281" s="44"/>
      <c r="W281" s="44"/>
      <c r="X281" s="44"/>
      <c r="Y281" s="44"/>
      <c r="Z281" s="44"/>
    </row>
    <row r="282" spans="1:26" ht="15.75" customHeight="1">
      <c r="A282" s="44"/>
      <c r="B282" s="14"/>
      <c r="C282" s="53"/>
      <c r="D282" s="15"/>
      <c r="E282" s="89"/>
      <c r="F282" s="16"/>
      <c r="G282" s="16"/>
      <c r="H282" s="90" t="str">
        <f>IF(G282="Regular",Listas!$K$16,IF(G282="Premium",Listas!$K$17,IF(G282="Diesel",Listas!$K$18,"-")))</f>
        <v>-</v>
      </c>
      <c r="I282" s="17"/>
      <c r="J282" s="18"/>
      <c r="K282" s="19" t="str">
        <f>+IFERROR(IF(G282="Regular",VLOOKUP(C282,'PRECIO TERMINAL PEMEX'!$B$4:$E$35,2,0),IF(G282="Premium",VLOOKUP(C282,'PRECIO TERMINAL PEMEX'!$B$4:$E$35,3,0),IF(G282="Diesel",VLOOKUP(C282,'PRECIO TERMINAL PEMEX'!$B$4:$E$35,4,0),"Seleccione Producto"))),"-")</f>
        <v>Seleccione Producto</v>
      </c>
      <c r="L282" s="93" t="str">
        <f>+IFERROR(IF(F282="VHSA",VLOOKUP(B282,Listas!$C$4:$F$17,2,0),IF(F282="DOS BOCAS",VLOOKUP(B282,Listas!$C$4:$F$17,3,0),IF(F282="GLENCORE",VLOOKUP(B282,Listas!$C$4:$F$17,4,0),"Seleccione TAR"))),"-")</f>
        <v>Seleccione TAR</v>
      </c>
      <c r="M282" s="19" t="str">
        <f>+IFERROR(IF(G282="Regular",VLOOKUP(C282,'DESCUENTO PROVEEDORES'!$B$4:$E$35,2,0),IF(G282="Premium",VLOOKUP(C282,'DESCUENTO PROVEEDORES'!$B$4:$E$35,3,0),IF(G282="Diesel",VLOOKUP(C282,'DESCUENTO PROVEEDORES'!$B$4:$E$35,4,0),"Seleccione Proveedor"))),"-")</f>
        <v>Seleccione Proveedor</v>
      </c>
      <c r="N282" s="20" t="e">
        <f>((((K282-H282)/1.16)-M282))</f>
        <v>#VALUE!</v>
      </c>
      <c r="O282" s="21" t="e">
        <f>((N282*16%)+N282)+H282+L282</f>
        <v>#VALUE!</v>
      </c>
      <c r="P282" s="21" t="e">
        <f>(((J282-O282)-H282)/1.16)+H282</f>
        <v>#VALUE!</v>
      </c>
      <c r="Q282" s="44"/>
      <c r="R282" s="24"/>
      <c r="S282" s="23" t="e">
        <f t="shared" si="12"/>
        <v>#DIV/0!</v>
      </c>
      <c r="T282" s="23" t="e">
        <f t="shared" si="13"/>
        <v>#DIV/0!</v>
      </c>
      <c r="U282" s="22" t="e">
        <f t="shared" si="14"/>
        <v>#DIV/0!</v>
      </c>
      <c r="V282" s="44"/>
      <c r="W282" s="44"/>
      <c r="X282" s="44"/>
      <c r="Y282" s="44"/>
      <c r="Z282" s="44"/>
    </row>
    <row r="283" spans="1:26" ht="15.75" customHeight="1">
      <c r="A283" s="44"/>
      <c r="B283" s="14"/>
      <c r="C283" s="53"/>
      <c r="D283" s="15"/>
      <c r="E283" s="89"/>
      <c r="F283" s="16"/>
      <c r="G283" s="16"/>
      <c r="H283" s="90" t="str">
        <f>IF(G283="Regular",Listas!$K$16,IF(G283="Premium",Listas!$K$17,IF(G283="Diesel",Listas!$K$18,"-")))</f>
        <v>-</v>
      </c>
      <c r="I283" s="17"/>
      <c r="J283" s="18"/>
      <c r="K283" s="19" t="str">
        <f>+IFERROR(IF(G283="Regular",VLOOKUP(C283,'PRECIO TERMINAL PEMEX'!$B$4:$E$35,2,0),IF(G283="Premium",VLOOKUP(C283,'PRECIO TERMINAL PEMEX'!$B$4:$E$35,3,0),IF(G283="Diesel",VLOOKUP(C283,'PRECIO TERMINAL PEMEX'!$B$4:$E$35,4,0),"Seleccione Producto"))),"-")</f>
        <v>Seleccione Producto</v>
      </c>
      <c r="L283" s="93" t="str">
        <f>+IFERROR(IF(F283="VHSA",VLOOKUP(B283,Listas!$C$4:$F$17,2,0),IF(F283="DOS BOCAS",VLOOKUP(B283,Listas!$C$4:$F$17,3,0),IF(F283="GLENCORE",VLOOKUP(B283,Listas!$C$4:$F$17,4,0),"Seleccione TAR"))),"-")</f>
        <v>Seleccione TAR</v>
      </c>
      <c r="M283" s="19" t="str">
        <f>+IFERROR(IF(G283="Regular",VLOOKUP(C283,'DESCUENTO PROVEEDORES'!$B$4:$E$35,2,0),IF(G283="Premium",VLOOKUP(C283,'DESCUENTO PROVEEDORES'!$B$4:$E$35,3,0),IF(G283="Diesel",VLOOKUP(C283,'DESCUENTO PROVEEDORES'!$B$4:$E$35,4,0),"Seleccione Proveedor"))),"-")</f>
        <v>Seleccione Proveedor</v>
      </c>
      <c r="N283" s="20" t="e">
        <f>((((K283-H283)/1.16)-M283))</f>
        <v>#VALUE!</v>
      </c>
      <c r="O283" s="21" t="e">
        <f>((N283*16%)+N283)+H283+L283</f>
        <v>#VALUE!</v>
      </c>
      <c r="P283" s="21" t="e">
        <f>(((J283-O283)-H283)/1.16)+H283</f>
        <v>#VALUE!</v>
      </c>
      <c r="Q283" s="44"/>
      <c r="R283" s="24"/>
      <c r="S283" s="23" t="e">
        <f t="shared" si="12"/>
        <v>#DIV/0!</v>
      </c>
      <c r="T283" s="23" t="e">
        <f t="shared" si="13"/>
        <v>#DIV/0!</v>
      </c>
      <c r="U283" s="22" t="e">
        <f t="shared" si="14"/>
        <v>#DIV/0!</v>
      </c>
      <c r="V283" s="44"/>
      <c r="W283" s="44"/>
      <c r="X283" s="44"/>
      <c r="Y283" s="44"/>
      <c r="Z283" s="44"/>
    </row>
    <row r="284" spans="1:26" ht="15.75" customHeight="1">
      <c r="A284" s="44"/>
      <c r="B284" s="14"/>
      <c r="C284" s="53"/>
      <c r="D284" s="15"/>
      <c r="E284" s="89"/>
      <c r="F284" s="16"/>
      <c r="G284" s="16"/>
      <c r="H284" s="90" t="str">
        <f>IF(G284="Regular",Listas!$K$16,IF(G284="Premium",Listas!$K$17,IF(G284="Diesel",Listas!$K$18,"-")))</f>
        <v>-</v>
      </c>
      <c r="I284" s="17"/>
      <c r="J284" s="18"/>
      <c r="K284" s="19" t="str">
        <f>+IFERROR(IF(G284="Regular",VLOOKUP(C284,'PRECIO TERMINAL PEMEX'!$B$4:$E$35,2,0),IF(G284="Premium",VLOOKUP(C284,'PRECIO TERMINAL PEMEX'!$B$4:$E$35,3,0),IF(G284="Diesel",VLOOKUP(C284,'PRECIO TERMINAL PEMEX'!$B$4:$E$35,4,0),"Seleccione Producto"))),"-")</f>
        <v>Seleccione Producto</v>
      </c>
      <c r="L284" s="93" t="str">
        <f>+IFERROR(IF(F284="VHSA",VLOOKUP(B284,Listas!$C$4:$F$17,2,0),IF(F284="DOS BOCAS",VLOOKUP(B284,Listas!$C$4:$F$17,3,0),IF(F284="GLENCORE",VLOOKUP(B284,Listas!$C$4:$F$17,4,0),"Seleccione TAR"))),"-")</f>
        <v>Seleccione TAR</v>
      </c>
      <c r="M284" s="19" t="str">
        <f>+IFERROR(IF(G284="Regular",VLOOKUP(C284,'DESCUENTO PROVEEDORES'!$B$4:$E$35,2,0),IF(G284="Premium",VLOOKUP(C284,'DESCUENTO PROVEEDORES'!$B$4:$E$35,3,0),IF(G284="Diesel",VLOOKUP(C284,'DESCUENTO PROVEEDORES'!$B$4:$E$35,4,0),"Seleccione Proveedor"))),"-")</f>
        <v>Seleccione Proveedor</v>
      </c>
      <c r="N284" s="20" t="e">
        <f>((((K284-H284)/1.16)-M284))</f>
        <v>#VALUE!</v>
      </c>
      <c r="O284" s="21" t="e">
        <f>((N284*16%)+N284)+H284+L284</f>
        <v>#VALUE!</v>
      </c>
      <c r="P284" s="21" t="e">
        <f>(((J284-O284)-H284)/1.16)+H284</f>
        <v>#VALUE!</v>
      </c>
      <c r="Q284" s="44"/>
      <c r="R284" s="24"/>
      <c r="S284" s="23" t="e">
        <f t="shared" si="12"/>
        <v>#DIV/0!</v>
      </c>
      <c r="T284" s="23" t="e">
        <f t="shared" si="13"/>
        <v>#DIV/0!</v>
      </c>
      <c r="U284" s="22" t="e">
        <f t="shared" si="14"/>
        <v>#DIV/0!</v>
      </c>
      <c r="V284" s="44"/>
      <c r="W284" s="44"/>
      <c r="X284" s="44"/>
      <c r="Y284" s="44"/>
      <c r="Z284" s="44"/>
    </row>
    <row r="285" spans="1:26" ht="15.75" customHeight="1">
      <c r="A285" s="44"/>
      <c r="B285" s="14"/>
      <c r="C285" s="53"/>
      <c r="D285" s="15"/>
      <c r="E285" s="89"/>
      <c r="F285" s="16"/>
      <c r="G285" s="16"/>
      <c r="H285" s="90" t="str">
        <f>IF(G285="Regular",Listas!$K$16,IF(G285="Premium",Listas!$K$17,IF(G285="Diesel",Listas!$K$18,"-")))</f>
        <v>-</v>
      </c>
      <c r="I285" s="17"/>
      <c r="J285" s="18"/>
      <c r="K285" s="19" t="str">
        <f>+IFERROR(IF(G285="Regular",VLOOKUP(C285,'PRECIO TERMINAL PEMEX'!$B$4:$E$35,2,0),IF(G285="Premium",VLOOKUP(C285,'PRECIO TERMINAL PEMEX'!$B$4:$E$35,3,0),IF(G285="Diesel",VLOOKUP(C285,'PRECIO TERMINAL PEMEX'!$B$4:$E$35,4,0),"Seleccione Producto"))),"-")</f>
        <v>Seleccione Producto</v>
      </c>
      <c r="L285" s="93" t="str">
        <f>+IFERROR(IF(F285="VHSA",VLOOKUP(B285,Listas!$C$4:$F$17,2,0),IF(F285="DOS BOCAS",VLOOKUP(B285,Listas!$C$4:$F$17,3,0),IF(F285="GLENCORE",VLOOKUP(B285,Listas!$C$4:$F$17,4,0),"Seleccione TAR"))),"-")</f>
        <v>Seleccione TAR</v>
      </c>
      <c r="M285" s="19" t="str">
        <f>+IFERROR(IF(G285="Regular",VLOOKUP(C285,'DESCUENTO PROVEEDORES'!$B$4:$E$35,2,0),IF(G285="Premium",VLOOKUP(C285,'DESCUENTO PROVEEDORES'!$B$4:$E$35,3,0),IF(G285="Diesel",VLOOKUP(C285,'DESCUENTO PROVEEDORES'!$B$4:$E$35,4,0),"Seleccione Proveedor"))),"-")</f>
        <v>Seleccione Proveedor</v>
      </c>
      <c r="N285" s="20" t="e">
        <f>((((K285-H285)/1.16)-M285))</f>
        <v>#VALUE!</v>
      </c>
      <c r="O285" s="21" t="e">
        <f>((N285*16%)+N285)+H285+L285</f>
        <v>#VALUE!</v>
      </c>
      <c r="P285" s="21" t="e">
        <f>(((J285-O285)-H285)/1.16)+H285</f>
        <v>#VALUE!</v>
      </c>
      <c r="Q285" s="44"/>
      <c r="R285" s="24"/>
      <c r="S285" s="23" t="e">
        <f t="shared" si="12"/>
        <v>#DIV/0!</v>
      </c>
      <c r="T285" s="23" t="e">
        <f t="shared" si="13"/>
        <v>#DIV/0!</v>
      </c>
      <c r="U285" s="22" t="e">
        <f t="shared" si="14"/>
        <v>#DIV/0!</v>
      </c>
      <c r="V285" s="44"/>
      <c r="W285" s="44"/>
      <c r="X285" s="44"/>
      <c r="Y285" s="44"/>
      <c r="Z285" s="44"/>
    </row>
    <row r="286" spans="1:26" ht="15.75" customHeight="1">
      <c r="A286" s="44"/>
      <c r="B286" s="14"/>
      <c r="C286" s="53"/>
      <c r="D286" s="15"/>
      <c r="E286" s="89"/>
      <c r="F286" s="16"/>
      <c r="G286" s="16"/>
      <c r="H286" s="90" t="str">
        <f>IF(G286="Regular",Listas!$K$16,IF(G286="Premium",Listas!$K$17,IF(G286="Diesel",Listas!$K$18,"-")))</f>
        <v>-</v>
      </c>
      <c r="I286" s="17"/>
      <c r="J286" s="18"/>
      <c r="K286" s="19" t="str">
        <f>+IFERROR(IF(G286="Regular",VLOOKUP(C286,'PRECIO TERMINAL PEMEX'!$B$4:$E$35,2,0),IF(G286="Premium",VLOOKUP(C286,'PRECIO TERMINAL PEMEX'!$B$4:$E$35,3,0),IF(G286="Diesel",VLOOKUP(C286,'PRECIO TERMINAL PEMEX'!$B$4:$E$35,4,0),"Seleccione Producto"))),"-")</f>
        <v>Seleccione Producto</v>
      </c>
      <c r="L286" s="93" t="str">
        <f>+IFERROR(IF(F286="VHSA",VLOOKUP(B286,Listas!$C$4:$F$17,2,0),IF(F286="DOS BOCAS",VLOOKUP(B286,Listas!$C$4:$F$17,3,0),IF(F286="GLENCORE",VLOOKUP(B286,Listas!$C$4:$F$17,4,0),"Seleccione TAR"))),"-")</f>
        <v>Seleccione TAR</v>
      </c>
      <c r="M286" s="19" t="str">
        <f>+IFERROR(IF(G286="Regular",VLOOKUP(C286,'DESCUENTO PROVEEDORES'!$B$4:$E$35,2,0),IF(G286="Premium",VLOOKUP(C286,'DESCUENTO PROVEEDORES'!$B$4:$E$35,3,0),IF(G286="Diesel",VLOOKUP(C286,'DESCUENTO PROVEEDORES'!$B$4:$E$35,4,0),"Seleccione Proveedor"))),"-")</f>
        <v>Seleccione Proveedor</v>
      </c>
      <c r="N286" s="20" t="e">
        <f>((((K286-H286)/1.16)-M286))</f>
        <v>#VALUE!</v>
      </c>
      <c r="O286" s="21" t="e">
        <f>((N286*16%)+N286)+H286+L286</f>
        <v>#VALUE!</v>
      </c>
      <c r="P286" s="21" t="e">
        <f>(((J286-O286)-H286)/1.16)+H286</f>
        <v>#VALUE!</v>
      </c>
      <c r="Q286" s="44"/>
      <c r="R286" s="24"/>
      <c r="S286" s="23" t="e">
        <f t="shared" si="12"/>
        <v>#DIV/0!</v>
      </c>
      <c r="T286" s="23" t="e">
        <f t="shared" si="13"/>
        <v>#DIV/0!</v>
      </c>
      <c r="U286" s="22" t="e">
        <f t="shared" si="14"/>
        <v>#DIV/0!</v>
      </c>
      <c r="V286" s="44"/>
      <c r="W286" s="44"/>
      <c r="X286" s="44"/>
      <c r="Y286" s="44"/>
      <c r="Z286" s="44"/>
    </row>
    <row r="287" spans="1:26" ht="15.75" customHeight="1">
      <c r="A287" s="44"/>
      <c r="B287" s="14"/>
      <c r="C287" s="53"/>
      <c r="D287" s="15"/>
      <c r="E287" s="89"/>
      <c r="F287" s="16"/>
      <c r="G287" s="16"/>
      <c r="H287" s="90" t="str">
        <f>IF(G287="Regular",Listas!$K$16,IF(G287="Premium",Listas!$K$17,IF(G287="Diesel",Listas!$K$18,"-")))</f>
        <v>-</v>
      </c>
      <c r="I287" s="17"/>
      <c r="J287" s="18"/>
      <c r="K287" s="19" t="str">
        <f>+IFERROR(IF(G287="Regular",VLOOKUP(C287,'PRECIO TERMINAL PEMEX'!$B$4:$E$35,2,0),IF(G287="Premium",VLOOKUP(C287,'PRECIO TERMINAL PEMEX'!$B$4:$E$35,3,0),IF(G287="Diesel",VLOOKUP(C287,'PRECIO TERMINAL PEMEX'!$B$4:$E$35,4,0),"Seleccione Producto"))),"-")</f>
        <v>Seleccione Producto</v>
      </c>
      <c r="L287" s="93" t="str">
        <f>+IFERROR(IF(F287="VHSA",VLOOKUP(B287,Listas!$C$4:$F$17,2,0),IF(F287="DOS BOCAS",VLOOKUP(B287,Listas!$C$4:$F$17,3,0),IF(F287="GLENCORE",VLOOKUP(B287,Listas!$C$4:$F$17,4,0),"Seleccione TAR"))),"-")</f>
        <v>Seleccione TAR</v>
      </c>
      <c r="M287" s="19" t="str">
        <f>+IFERROR(IF(G287="Regular",VLOOKUP(C287,'DESCUENTO PROVEEDORES'!$B$4:$E$35,2,0),IF(G287="Premium",VLOOKUP(C287,'DESCUENTO PROVEEDORES'!$B$4:$E$35,3,0),IF(G287="Diesel",VLOOKUP(C287,'DESCUENTO PROVEEDORES'!$B$4:$E$35,4,0),"Seleccione Proveedor"))),"-")</f>
        <v>Seleccione Proveedor</v>
      </c>
      <c r="N287" s="20" t="e">
        <f>((((K287-H287)/1.16)-M287))</f>
        <v>#VALUE!</v>
      </c>
      <c r="O287" s="21" t="e">
        <f>((N287*16%)+N287)+H287+L287</f>
        <v>#VALUE!</v>
      </c>
      <c r="P287" s="21" t="e">
        <f>(((J287-O287)-H287)/1.16)+H287</f>
        <v>#VALUE!</v>
      </c>
      <c r="Q287" s="44"/>
      <c r="R287" s="24"/>
      <c r="S287" s="23" t="e">
        <f t="shared" si="12"/>
        <v>#DIV/0!</v>
      </c>
      <c r="T287" s="23" t="e">
        <f t="shared" si="13"/>
        <v>#DIV/0!</v>
      </c>
      <c r="U287" s="22" t="e">
        <f t="shared" si="14"/>
        <v>#DIV/0!</v>
      </c>
      <c r="V287" s="44"/>
      <c r="W287" s="44"/>
      <c r="X287" s="44"/>
      <c r="Y287" s="44"/>
      <c r="Z287" s="44"/>
    </row>
    <row r="288" spans="1:26" ht="15.75" customHeight="1">
      <c r="A288" s="44"/>
      <c r="B288" s="14"/>
      <c r="C288" s="53"/>
      <c r="D288" s="15"/>
      <c r="E288" s="89"/>
      <c r="F288" s="16"/>
      <c r="G288" s="16"/>
      <c r="H288" s="90" t="str">
        <f>IF(G288="Regular",Listas!$K$16,IF(G288="Premium",Listas!$K$17,IF(G288="Diesel",Listas!$K$18,"-")))</f>
        <v>-</v>
      </c>
      <c r="I288" s="17"/>
      <c r="J288" s="18"/>
      <c r="K288" s="19" t="str">
        <f>+IFERROR(IF(G288="Regular",VLOOKUP(C288,'PRECIO TERMINAL PEMEX'!$B$4:$E$35,2,0),IF(G288="Premium",VLOOKUP(C288,'PRECIO TERMINAL PEMEX'!$B$4:$E$35,3,0),IF(G288="Diesel",VLOOKUP(C288,'PRECIO TERMINAL PEMEX'!$B$4:$E$35,4,0),"Seleccione Producto"))),"-")</f>
        <v>Seleccione Producto</v>
      </c>
      <c r="L288" s="93" t="str">
        <f>+IFERROR(IF(F288="VHSA",VLOOKUP(B288,Listas!$C$4:$F$17,2,0),IF(F288="DOS BOCAS",VLOOKUP(B288,Listas!$C$4:$F$17,3,0),IF(F288="GLENCORE",VLOOKUP(B288,Listas!$C$4:$F$17,4,0),"Seleccione TAR"))),"-")</f>
        <v>Seleccione TAR</v>
      </c>
      <c r="M288" s="19" t="str">
        <f>+IFERROR(IF(G288="Regular",VLOOKUP(C288,'DESCUENTO PROVEEDORES'!$B$4:$E$35,2,0),IF(G288="Premium",VLOOKUP(C288,'DESCUENTO PROVEEDORES'!$B$4:$E$35,3,0),IF(G288="Diesel",VLOOKUP(C288,'DESCUENTO PROVEEDORES'!$B$4:$E$35,4,0),"Seleccione Proveedor"))),"-")</f>
        <v>Seleccione Proveedor</v>
      </c>
      <c r="N288" s="20" t="e">
        <f>((((K288-H288)/1.16)-M288))</f>
        <v>#VALUE!</v>
      </c>
      <c r="O288" s="21" t="e">
        <f>((N288*16%)+N288)+H288+L288</f>
        <v>#VALUE!</v>
      </c>
      <c r="P288" s="21" t="e">
        <f>(((J288-O288)-H288)/1.16)+H288</f>
        <v>#VALUE!</v>
      </c>
      <c r="Q288" s="44"/>
      <c r="R288" s="24"/>
      <c r="S288" s="23" t="e">
        <f t="shared" si="12"/>
        <v>#DIV/0!</v>
      </c>
      <c r="T288" s="23" t="e">
        <f t="shared" si="13"/>
        <v>#DIV/0!</v>
      </c>
      <c r="U288" s="22" t="e">
        <f t="shared" si="14"/>
        <v>#DIV/0!</v>
      </c>
      <c r="V288" s="44"/>
      <c r="W288" s="44"/>
      <c r="X288" s="44"/>
      <c r="Y288" s="44"/>
      <c r="Z288" s="44"/>
    </row>
    <row r="289" spans="1:26" ht="15.75" customHeight="1">
      <c r="A289" s="44"/>
      <c r="B289" s="14"/>
      <c r="C289" s="53"/>
      <c r="D289" s="15"/>
      <c r="E289" s="89"/>
      <c r="F289" s="16"/>
      <c r="G289" s="16"/>
      <c r="H289" s="90" t="str">
        <f>IF(G289="Regular",Listas!$K$16,IF(G289="Premium",Listas!$K$17,IF(G289="Diesel",Listas!$K$18,"-")))</f>
        <v>-</v>
      </c>
      <c r="I289" s="17"/>
      <c r="J289" s="18"/>
      <c r="K289" s="19" t="str">
        <f>+IFERROR(IF(G289="Regular",VLOOKUP(C289,'PRECIO TERMINAL PEMEX'!$B$4:$E$35,2,0),IF(G289="Premium",VLOOKUP(C289,'PRECIO TERMINAL PEMEX'!$B$4:$E$35,3,0),IF(G289="Diesel",VLOOKUP(C289,'PRECIO TERMINAL PEMEX'!$B$4:$E$35,4,0),"Seleccione Producto"))),"-")</f>
        <v>Seleccione Producto</v>
      </c>
      <c r="L289" s="93" t="str">
        <f>+IFERROR(IF(F289="VHSA",VLOOKUP(B289,Listas!$C$4:$F$17,2,0),IF(F289="DOS BOCAS",VLOOKUP(B289,Listas!$C$4:$F$17,3,0),IF(F289="GLENCORE",VLOOKUP(B289,Listas!$C$4:$F$17,4,0),"Seleccione TAR"))),"-")</f>
        <v>Seleccione TAR</v>
      </c>
      <c r="M289" s="19" t="str">
        <f>+IFERROR(IF(G289="Regular",VLOOKUP(C289,'DESCUENTO PROVEEDORES'!$B$4:$E$35,2,0),IF(G289="Premium",VLOOKUP(C289,'DESCUENTO PROVEEDORES'!$B$4:$E$35,3,0),IF(G289="Diesel",VLOOKUP(C289,'DESCUENTO PROVEEDORES'!$B$4:$E$35,4,0),"Seleccione Proveedor"))),"-")</f>
        <v>Seleccione Proveedor</v>
      </c>
      <c r="N289" s="20" t="e">
        <f>((((K289-H289)/1.16)-M289))</f>
        <v>#VALUE!</v>
      </c>
      <c r="O289" s="21" t="e">
        <f>((N289*16%)+N289)+H289+L289</f>
        <v>#VALUE!</v>
      </c>
      <c r="P289" s="21" t="e">
        <f>(((J289-O289)-H289)/1.16)+H289</f>
        <v>#VALUE!</v>
      </c>
      <c r="Q289" s="44"/>
      <c r="R289" s="24"/>
      <c r="S289" s="23" t="e">
        <f t="shared" si="12"/>
        <v>#DIV/0!</v>
      </c>
      <c r="T289" s="23" t="e">
        <f t="shared" si="13"/>
        <v>#DIV/0!</v>
      </c>
      <c r="U289" s="22" t="e">
        <f t="shared" si="14"/>
        <v>#DIV/0!</v>
      </c>
      <c r="V289" s="44"/>
      <c r="W289" s="44"/>
      <c r="X289" s="44"/>
      <c r="Y289" s="44"/>
      <c r="Z289" s="44"/>
    </row>
    <row r="290" spans="1:26" ht="15.75" customHeight="1">
      <c r="A290" s="44"/>
      <c r="B290" s="14"/>
      <c r="C290" s="53"/>
      <c r="D290" s="15"/>
      <c r="E290" s="89"/>
      <c r="F290" s="16"/>
      <c r="G290" s="16"/>
      <c r="H290" s="90" t="str">
        <f>IF(G290="Regular",Listas!$K$16,IF(G290="Premium",Listas!$K$17,IF(G290="Diesel",Listas!$K$18,"-")))</f>
        <v>-</v>
      </c>
      <c r="I290" s="17"/>
      <c r="J290" s="18"/>
      <c r="K290" s="19" t="str">
        <f>+IFERROR(IF(G290="Regular",VLOOKUP(C290,'PRECIO TERMINAL PEMEX'!$B$4:$E$35,2,0),IF(G290="Premium",VLOOKUP(C290,'PRECIO TERMINAL PEMEX'!$B$4:$E$35,3,0),IF(G290="Diesel",VLOOKUP(C290,'PRECIO TERMINAL PEMEX'!$B$4:$E$35,4,0),"Seleccione Producto"))),"-")</f>
        <v>Seleccione Producto</v>
      </c>
      <c r="L290" s="93" t="str">
        <f>+IFERROR(IF(F290="VHSA",VLOOKUP(B290,Listas!$C$4:$F$17,2,0),IF(F290="DOS BOCAS",VLOOKUP(B290,Listas!$C$4:$F$17,3,0),IF(F290="GLENCORE",VLOOKUP(B290,Listas!$C$4:$F$17,4,0),"Seleccione TAR"))),"-")</f>
        <v>Seleccione TAR</v>
      </c>
      <c r="M290" s="19" t="str">
        <f>+IFERROR(IF(G290="Regular",VLOOKUP(C290,'DESCUENTO PROVEEDORES'!$B$4:$E$35,2,0),IF(G290="Premium",VLOOKUP(C290,'DESCUENTO PROVEEDORES'!$B$4:$E$35,3,0),IF(G290="Diesel",VLOOKUP(C290,'DESCUENTO PROVEEDORES'!$B$4:$E$35,4,0),"Seleccione Proveedor"))),"-")</f>
        <v>Seleccione Proveedor</v>
      </c>
      <c r="N290" s="20" t="e">
        <f>((((K290-H290)/1.16)-M290))</f>
        <v>#VALUE!</v>
      </c>
      <c r="O290" s="21" t="e">
        <f>((N290*16%)+N290)+H290+L290</f>
        <v>#VALUE!</v>
      </c>
      <c r="P290" s="21" t="e">
        <f>(((J290-O290)-H290)/1.16)+H290</f>
        <v>#VALUE!</v>
      </c>
      <c r="Q290" s="44"/>
      <c r="R290" s="24"/>
      <c r="S290" s="23" t="e">
        <f t="shared" si="12"/>
        <v>#DIV/0!</v>
      </c>
      <c r="T290" s="23" t="e">
        <f t="shared" si="13"/>
        <v>#DIV/0!</v>
      </c>
      <c r="U290" s="22" t="e">
        <f t="shared" si="14"/>
        <v>#DIV/0!</v>
      </c>
      <c r="V290" s="44"/>
      <c r="W290" s="44"/>
      <c r="X290" s="44"/>
      <c r="Y290" s="44"/>
      <c r="Z290" s="44"/>
    </row>
    <row r="291" spans="1:26" ht="15.75" customHeight="1">
      <c r="A291" s="44"/>
      <c r="B291" s="14"/>
      <c r="C291" s="53"/>
      <c r="D291" s="15"/>
      <c r="E291" s="89"/>
      <c r="F291" s="16"/>
      <c r="G291" s="16"/>
      <c r="H291" s="90" t="str">
        <f>IF(G291="Regular",Listas!$K$16,IF(G291="Premium",Listas!$K$17,IF(G291="Diesel",Listas!$K$18,"-")))</f>
        <v>-</v>
      </c>
      <c r="I291" s="17"/>
      <c r="J291" s="18"/>
      <c r="K291" s="19" t="str">
        <f>+IFERROR(IF(G291="Regular",VLOOKUP(C291,'PRECIO TERMINAL PEMEX'!$B$4:$E$35,2,0),IF(G291="Premium",VLOOKUP(C291,'PRECIO TERMINAL PEMEX'!$B$4:$E$35,3,0),IF(G291="Diesel",VLOOKUP(C291,'PRECIO TERMINAL PEMEX'!$B$4:$E$35,4,0),"Seleccione Producto"))),"-")</f>
        <v>Seleccione Producto</v>
      </c>
      <c r="L291" s="93" t="str">
        <f>+IFERROR(IF(F291="VHSA",VLOOKUP(B291,Listas!$C$4:$F$17,2,0),IF(F291="DOS BOCAS",VLOOKUP(B291,Listas!$C$4:$F$17,3,0),IF(F291="GLENCORE",VLOOKUP(B291,Listas!$C$4:$F$17,4,0),"Seleccione TAR"))),"-")</f>
        <v>Seleccione TAR</v>
      </c>
      <c r="M291" s="19" t="str">
        <f>+IFERROR(IF(G291="Regular",VLOOKUP(C291,'DESCUENTO PROVEEDORES'!$B$4:$E$35,2,0),IF(G291="Premium",VLOOKUP(C291,'DESCUENTO PROVEEDORES'!$B$4:$E$35,3,0),IF(G291="Diesel",VLOOKUP(C291,'DESCUENTO PROVEEDORES'!$B$4:$E$35,4,0),"Seleccione Proveedor"))),"-")</f>
        <v>Seleccione Proveedor</v>
      </c>
      <c r="N291" s="20" t="e">
        <f>((((K291-H291)/1.16)-M291))</f>
        <v>#VALUE!</v>
      </c>
      <c r="O291" s="21" t="e">
        <f>((N291*16%)+N291)+H291+L291</f>
        <v>#VALUE!</v>
      </c>
      <c r="P291" s="21" t="e">
        <f>(((J291-O291)-H291)/1.16)+H291</f>
        <v>#VALUE!</v>
      </c>
      <c r="Q291" s="44"/>
      <c r="R291" s="24"/>
      <c r="S291" s="23" t="e">
        <f t="shared" si="12"/>
        <v>#DIV/0!</v>
      </c>
      <c r="T291" s="23" t="e">
        <f t="shared" si="13"/>
        <v>#DIV/0!</v>
      </c>
      <c r="U291" s="22" t="e">
        <f t="shared" si="14"/>
        <v>#DIV/0!</v>
      </c>
      <c r="V291" s="44"/>
      <c r="W291" s="44"/>
      <c r="X291" s="44"/>
      <c r="Y291" s="44"/>
      <c r="Z291" s="44"/>
    </row>
    <row r="292" spans="1:26" ht="15.75" customHeight="1">
      <c r="A292" s="44"/>
      <c r="B292" s="14"/>
      <c r="C292" s="53"/>
      <c r="D292" s="15"/>
      <c r="E292" s="89"/>
      <c r="F292" s="16"/>
      <c r="G292" s="16"/>
      <c r="H292" s="90" t="str">
        <f>IF(G292="Regular",Listas!$K$16,IF(G292="Premium",Listas!$K$17,IF(G292="Diesel",Listas!$K$18,"-")))</f>
        <v>-</v>
      </c>
      <c r="I292" s="17"/>
      <c r="J292" s="18"/>
      <c r="K292" s="19" t="str">
        <f>+IFERROR(IF(G292="Regular",VLOOKUP(C292,'PRECIO TERMINAL PEMEX'!$B$4:$E$35,2,0),IF(G292="Premium",VLOOKUP(C292,'PRECIO TERMINAL PEMEX'!$B$4:$E$35,3,0),IF(G292="Diesel",VLOOKUP(C292,'PRECIO TERMINAL PEMEX'!$B$4:$E$35,4,0),"Seleccione Producto"))),"-")</f>
        <v>Seleccione Producto</v>
      </c>
      <c r="L292" s="93" t="str">
        <f>+IFERROR(IF(F292="VHSA",VLOOKUP(B292,Listas!$C$4:$F$17,2,0),IF(F292="DOS BOCAS",VLOOKUP(B292,Listas!$C$4:$F$17,3,0),IF(F292="GLENCORE",VLOOKUP(B292,Listas!$C$4:$F$17,4,0),"Seleccione TAR"))),"-")</f>
        <v>Seleccione TAR</v>
      </c>
      <c r="M292" s="19" t="str">
        <f>+IFERROR(IF(G292="Regular",VLOOKUP(C292,'DESCUENTO PROVEEDORES'!$B$4:$E$35,2,0),IF(G292="Premium",VLOOKUP(C292,'DESCUENTO PROVEEDORES'!$B$4:$E$35,3,0),IF(G292="Diesel",VLOOKUP(C292,'DESCUENTO PROVEEDORES'!$B$4:$E$35,4,0),"Seleccione Proveedor"))),"-")</f>
        <v>Seleccione Proveedor</v>
      </c>
      <c r="N292" s="20" t="e">
        <f>((((K292-H292)/1.16)-M292))</f>
        <v>#VALUE!</v>
      </c>
      <c r="O292" s="21" t="e">
        <f>((N292*16%)+N292)+H292+L292</f>
        <v>#VALUE!</v>
      </c>
      <c r="P292" s="21" t="e">
        <f>(((J292-O292)-H292)/1.16)+H292</f>
        <v>#VALUE!</v>
      </c>
      <c r="Q292" s="44"/>
      <c r="R292" s="24"/>
      <c r="S292" s="23" t="e">
        <f t="shared" si="12"/>
        <v>#DIV/0!</v>
      </c>
      <c r="T292" s="23" t="e">
        <f t="shared" si="13"/>
        <v>#DIV/0!</v>
      </c>
      <c r="U292" s="22" t="e">
        <f t="shared" si="14"/>
        <v>#DIV/0!</v>
      </c>
      <c r="V292" s="44"/>
      <c r="W292" s="44"/>
      <c r="X292" s="44"/>
      <c r="Y292" s="44"/>
      <c r="Z292" s="44"/>
    </row>
    <row r="293" spans="1:26" ht="15.75" customHeight="1">
      <c r="A293" s="44"/>
      <c r="B293" s="14"/>
      <c r="C293" s="53"/>
      <c r="D293" s="15"/>
      <c r="E293" s="89"/>
      <c r="F293" s="16"/>
      <c r="G293" s="16"/>
      <c r="H293" s="90" t="str">
        <f>IF(G293="Regular",Listas!$K$16,IF(G293="Premium",Listas!$K$17,IF(G293="Diesel",Listas!$K$18,"-")))</f>
        <v>-</v>
      </c>
      <c r="I293" s="17"/>
      <c r="J293" s="18"/>
      <c r="K293" s="19" t="str">
        <f>+IFERROR(IF(G293="Regular",VLOOKUP(C293,'PRECIO TERMINAL PEMEX'!$B$4:$E$35,2,0),IF(G293="Premium",VLOOKUP(C293,'PRECIO TERMINAL PEMEX'!$B$4:$E$35,3,0),IF(G293="Diesel",VLOOKUP(C293,'PRECIO TERMINAL PEMEX'!$B$4:$E$35,4,0),"Seleccione Producto"))),"-")</f>
        <v>Seleccione Producto</v>
      </c>
      <c r="L293" s="93" t="str">
        <f>+IFERROR(IF(F293="VHSA",VLOOKUP(B293,Listas!$C$4:$F$17,2,0),IF(F293="DOS BOCAS",VLOOKUP(B293,Listas!$C$4:$F$17,3,0),IF(F293="GLENCORE",VLOOKUP(B293,Listas!$C$4:$F$17,4,0),"Seleccione TAR"))),"-")</f>
        <v>Seleccione TAR</v>
      </c>
      <c r="M293" s="19" t="str">
        <f>+IFERROR(IF(G293="Regular",VLOOKUP(C293,'DESCUENTO PROVEEDORES'!$B$4:$E$35,2,0),IF(G293="Premium",VLOOKUP(C293,'DESCUENTO PROVEEDORES'!$B$4:$E$35,3,0),IF(G293="Diesel",VLOOKUP(C293,'DESCUENTO PROVEEDORES'!$B$4:$E$35,4,0),"Seleccione Proveedor"))),"-")</f>
        <v>Seleccione Proveedor</v>
      </c>
      <c r="N293" s="20" t="e">
        <f>((((K293-H293)/1.16)-M293))</f>
        <v>#VALUE!</v>
      </c>
      <c r="O293" s="21" t="e">
        <f>((N293*16%)+N293)+H293+L293</f>
        <v>#VALUE!</v>
      </c>
      <c r="P293" s="21" t="e">
        <f>(((J293-O293)-H293)/1.16)+H293</f>
        <v>#VALUE!</v>
      </c>
      <c r="Q293" s="44"/>
      <c r="R293" s="24"/>
      <c r="S293" s="23" t="e">
        <f t="shared" si="12"/>
        <v>#DIV/0!</v>
      </c>
      <c r="T293" s="23" t="e">
        <f t="shared" si="13"/>
        <v>#DIV/0!</v>
      </c>
      <c r="U293" s="22" t="e">
        <f t="shared" si="14"/>
        <v>#DIV/0!</v>
      </c>
      <c r="V293" s="44"/>
      <c r="W293" s="44"/>
      <c r="X293" s="44"/>
      <c r="Y293" s="44"/>
      <c r="Z293" s="44"/>
    </row>
    <row r="294" spans="1:26" ht="15.75" customHeight="1">
      <c r="A294" s="44"/>
      <c r="B294" s="14"/>
      <c r="C294" s="53"/>
      <c r="D294" s="15"/>
      <c r="E294" s="89"/>
      <c r="F294" s="16"/>
      <c r="G294" s="16"/>
      <c r="H294" s="90" t="str">
        <f>IF(G294="Regular",Listas!$K$16,IF(G294="Premium",Listas!$K$17,IF(G294="Diesel",Listas!$K$18,"-")))</f>
        <v>-</v>
      </c>
      <c r="I294" s="17"/>
      <c r="J294" s="18"/>
      <c r="K294" s="19" t="str">
        <f>+IFERROR(IF(G294="Regular",VLOOKUP(C294,'PRECIO TERMINAL PEMEX'!$B$4:$E$35,2,0),IF(G294="Premium",VLOOKUP(C294,'PRECIO TERMINAL PEMEX'!$B$4:$E$35,3,0),IF(G294="Diesel",VLOOKUP(C294,'PRECIO TERMINAL PEMEX'!$B$4:$E$35,4,0),"Seleccione Producto"))),"-")</f>
        <v>Seleccione Producto</v>
      </c>
      <c r="L294" s="93" t="str">
        <f>+IFERROR(IF(F294="VHSA",VLOOKUP(B294,Listas!$C$4:$F$17,2,0),IF(F294="DOS BOCAS",VLOOKUP(B294,Listas!$C$4:$F$17,3,0),IF(F294="GLENCORE",VLOOKUP(B294,Listas!$C$4:$F$17,4,0),"Seleccione TAR"))),"-")</f>
        <v>Seleccione TAR</v>
      </c>
      <c r="M294" s="19" t="str">
        <f>+IFERROR(IF(G294="Regular",VLOOKUP(C294,'DESCUENTO PROVEEDORES'!$B$4:$E$35,2,0),IF(G294="Premium",VLOOKUP(C294,'DESCUENTO PROVEEDORES'!$B$4:$E$35,3,0),IF(G294="Diesel",VLOOKUP(C294,'DESCUENTO PROVEEDORES'!$B$4:$E$35,4,0),"Seleccione Proveedor"))),"-")</f>
        <v>Seleccione Proveedor</v>
      </c>
      <c r="N294" s="20" t="e">
        <f>((((K294-H294)/1.16)-M294))</f>
        <v>#VALUE!</v>
      </c>
      <c r="O294" s="21" t="e">
        <f>((N294*16%)+N294)+H294+L294</f>
        <v>#VALUE!</v>
      </c>
      <c r="P294" s="21" t="e">
        <f>(((J294-O294)-H294)/1.16)+H294</f>
        <v>#VALUE!</v>
      </c>
      <c r="Q294" s="44"/>
      <c r="R294" s="24"/>
      <c r="S294" s="23" t="e">
        <f t="shared" si="12"/>
        <v>#DIV/0!</v>
      </c>
      <c r="T294" s="23" t="e">
        <f t="shared" si="13"/>
        <v>#DIV/0!</v>
      </c>
      <c r="U294" s="22" t="e">
        <f t="shared" si="14"/>
        <v>#DIV/0!</v>
      </c>
      <c r="V294" s="44"/>
      <c r="W294" s="44"/>
      <c r="X294" s="44"/>
      <c r="Y294" s="44"/>
      <c r="Z294" s="44"/>
    </row>
    <row r="295" spans="1:26" ht="15.75" customHeight="1">
      <c r="A295" s="44"/>
      <c r="B295" s="14"/>
      <c r="C295" s="53"/>
      <c r="D295" s="15"/>
      <c r="E295" s="89"/>
      <c r="F295" s="16"/>
      <c r="G295" s="16"/>
      <c r="H295" s="90" t="str">
        <f>IF(G295="Regular",Listas!$K$16,IF(G295="Premium",Listas!$K$17,IF(G295="Diesel",Listas!$K$18,"-")))</f>
        <v>-</v>
      </c>
      <c r="I295" s="17"/>
      <c r="J295" s="18"/>
      <c r="K295" s="19" t="str">
        <f>+IFERROR(IF(G295="Regular",VLOOKUP(C295,'PRECIO TERMINAL PEMEX'!$B$4:$E$35,2,0),IF(G295="Premium",VLOOKUP(C295,'PRECIO TERMINAL PEMEX'!$B$4:$E$35,3,0),IF(G295="Diesel",VLOOKUP(C295,'PRECIO TERMINAL PEMEX'!$B$4:$E$35,4,0),"Seleccione Producto"))),"-")</f>
        <v>Seleccione Producto</v>
      </c>
      <c r="L295" s="93" t="str">
        <f>+IFERROR(IF(F295="VHSA",VLOOKUP(B295,Listas!$C$4:$F$17,2,0),IF(F295="DOS BOCAS",VLOOKUP(B295,Listas!$C$4:$F$17,3,0),IF(F295="GLENCORE",VLOOKUP(B295,Listas!$C$4:$F$17,4,0),"Seleccione TAR"))),"-")</f>
        <v>Seleccione TAR</v>
      </c>
      <c r="M295" s="19" t="str">
        <f>+IFERROR(IF(G295="Regular",VLOOKUP(C295,'DESCUENTO PROVEEDORES'!$B$4:$E$35,2,0),IF(G295="Premium",VLOOKUP(C295,'DESCUENTO PROVEEDORES'!$B$4:$E$35,3,0),IF(G295="Diesel",VLOOKUP(C295,'DESCUENTO PROVEEDORES'!$B$4:$E$35,4,0),"Seleccione Proveedor"))),"-")</f>
        <v>Seleccione Proveedor</v>
      </c>
      <c r="N295" s="20" t="e">
        <f>((((K295-H295)/1.16)-M295))</f>
        <v>#VALUE!</v>
      </c>
      <c r="O295" s="21" t="e">
        <f>((N295*16%)+N295)+H295+L295</f>
        <v>#VALUE!</v>
      </c>
      <c r="P295" s="21" t="e">
        <f>(((J295-O295)-H295)/1.16)+H295</f>
        <v>#VALUE!</v>
      </c>
      <c r="Q295" s="44"/>
      <c r="R295" s="24"/>
      <c r="S295" s="23" t="e">
        <f t="shared" si="12"/>
        <v>#DIV/0!</v>
      </c>
      <c r="T295" s="23" t="e">
        <f t="shared" si="13"/>
        <v>#DIV/0!</v>
      </c>
      <c r="U295" s="22" t="e">
        <f t="shared" si="14"/>
        <v>#DIV/0!</v>
      </c>
      <c r="V295" s="44"/>
      <c r="W295" s="44"/>
      <c r="X295" s="44"/>
      <c r="Y295" s="44"/>
      <c r="Z295" s="44"/>
    </row>
    <row r="296" spans="1:26" ht="15.75" customHeight="1">
      <c r="A296" s="44"/>
      <c r="B296" s="14"/>
      <c r="C296" s="53"/>
      <c r="D296" s="15"/>
      <c r="E296" s="89"/>
      <c r="F296" s="16"/>
      <c r="G296" s="16"/>
      <c r="H296" s="90" t="str">
        <f>IF(G296="Regular",Listas!$K$16,IF(G296="Premium",Listas!$K$17,IF(G296="Diesel",Listas!$K$18,"-")))</f>
        <v>-</v>
      </c>
      <c r="I296" s="17"/>
      <c r="J296" s="18"/>
      <c r="K296" s="19" t="str">
        <f>+IFERROR(IF(G296="Regular",VLOOKUP(C296,'PRECIO TERMINAL PEMEX'!$B$4:$E$35,2,0),IF(G296="Premium",VLOOKUP(C296,'PRECIO TERMINAL PEMEX'!$B$4:$E$35,3,0),IF(G296="Diesel",VLOOKUP(C296,'PRECIO TERMINAL PEMEX'!$B$4:$E$35,4,0),"Seleccione Producto"))),"-")</f>
        <v>Seleccione Producto</v>
      </c>
      <c r="L296" s="93" t="str">
        <f>+IFERROR(IF(F296="VHSA",VLOOKUP(B296,Listas!$C$4:$F$17,2,0),IF(F296="DOS BOCAS",VLOOKUP(B296,Listas!$C$4:$F$17,3,0),IF(F296="GLENCORE",VLOOKUP(B296,Listas!$C$4:$F$17,4,0),"Seleccione TAR"))),"-")</f>
        <v>Seleccione TAR</v>
      </c>
      <c r="M296" s="19" t="str">
        <f>+IFERROR(IF(G296="Regular",VLOOKUP(C296,'DESCUENTO PROVEEDORES'!$B$4:$E$35,2,0),IF(G296="Premium",VLOOKUP(C296,'DESCUENTO PROVEEDORES'!$B$4:$E$35,3,0),IF(G296="Diesel",VLOOKUP(C296,'DESCUENTO PROVEEDORES'!$B$4:$E$35,4,0),"Seleccione Proveedor"))),"-")</f>
        <v>Seleccione Proveedor</v>
      </c>
      <c r="N296" s="20" t="e">
        <f>((((K296-H296)/1.16)-M296))</f>
        <v>#VALUE!</v>
      </c>
      <c r="O296" s="21" t="e">
        <f>((N296*16%)+N296)+H296+L296</f>
        <v>#VALUE!</v>
      </c>
      <c r="P296" s="21" t="e">
        <f>(((J296-O296)-H296)/1.16)+H296</f>
        <v>#VALUE!</v>
      </c>
      <c r="Q296" s="44"/>
      <c r="R296" s="24"/>
      <c r="S296" s="23" t="e">
        <f t="shared" si="12"/>
        <v>#DIV/0!</v>
      </c>
      <c r="T296" s="23" t="e">
        <f t="shared" si="13"/>
        <v>#DIV/0!</v>
      </c>
      <c r="U296" s="22" t="e">
        <f t="shared" si="14"/>
        <v>#DIV/0!</v>
      </c>
      <c r="V296" s="44"/>
      <c r="W296" s="44"/>
      <c r="X296" s="44"/>
      <c r="Y296" s="44"/>
      <c r="Z296" s="44"/>
    </row>
    <row r="297" spans="1:26" ht="15.75" customHeight="1">
      <c r="A297" s="44"/>
      <c r="B297" s="14"/>
      <c r="C297" s="53"/>
      <c r="D297" s="15"/>
      <c r="E297" s="89"/>
      <c r="F297" s="16"/>
      <c r="G297" s="16"/>
      <c r="H297" s="90" t="str">
        <f>IF(G297="Regular",Listas!$K$16,IF(G297="Premium",Listas!$K$17,IF(G297="Diesel",Listas!$K$18,"-")))</f>
        <v>-</v>
      </c>
      <c r="I297" s="17"/>
      <c r="J297" s="18"/>
      <c r="K297" s="19" t="str">
        <f>+IFERROR(IF(G297="Regular",VLOOKUP(C297,'PRECIO TERMINAL PEMEX'!$B$4:$E$35,2,0),IF(G297="Premium",VLOOKUP(C297,'PRECIO TERMINAL PEMEX'!$B$4:$E$35,3,0),IF(G297="Diesel",VLOOKUP(C297,'PRECIO TERMINAL PEMEX'!$B$4:$E$35,4,0),"Seleccione Producto"))),"-")</f>
        <v>Seleccione Producto</v>
      </c>
      <c r="L297" s="93" t="str">
        <f>+IFERROR(IF(F297="VHSA",VLOOKUP(B297,Listas!$C$4:$F$17,2,0),IF(F297="DOS BOCAS",VLOOKUP(B297,Listas!$C$4:$F$17,3,0),IF(F297="GLENCORE",VLOOKUP(B297,Listas!$C$4:$F$17,4,0),"Seleccione TAR"))),"-")</f>
        <v>Seleccione TAR</v>
      </c>
      <c r="M297" s="19" t="str">
        <f>+IFERROR(IF(G297="Regular",VLOOKUP(C297,'DESCUENTO PROVEEDORES'!$B$4:$E$35,2,0),IF(G297="Premium",VLOOKUP(C297,'DESCUENTO PROVEEDORES'!$B$4:$E$35,3,0),IF(G297="Diesel",VLOOKUP(C297,'DESCUENTO PROVEEDORES'!$B$4:$E$35,4,0),"Seleccione Proveedor"))),"-")</f>
        <v>Seleccione Proveedor</v>
      </c>
      <c r="N297" s="20" t="e">
        <f>((((K297-H297)/1.16)-M297))</f>
        <v>#VALUE!</v>
      </c>
      <c r="O297" s="21" t="e">
        <f>((N297*16%)+N297)+H297+L297</f>
        <v>#VALUE!</v>
      </c>
      <c r="P297" s="21" t="e">
        <f>(((J297-O297)-H297)/1.16)+H297</f>
        <v>#VALUE!</v>
      </c>
      <c r="Q297" s="44"/>
      <c r="R297" s="24"/>
      <c r="S297" s="23" t="e">
        <f t="shared" si="12"/>
        <v>#DIV/0!</v>
      </c>
      <c r="T297" s="23" t="e">
        <f t="shared" si="13"/>
        <v>#DIV/0!</v>
      </c>
      <c r="U297" s="22" t="e">
        <f t="shared" si="14"/>
        <v>#DIV/0!</v>
      </c>
      <c r="V297" s="44"/>
      <c r="W297" s="44"/>
      <c r="X297" s="44"/>
      <c r="Y297" s="44"/>
      <c r="Z297" s="44"/>
    </row>
    <row r="298" spans="1:26" ht="15.75" customHeight="1">
      <c r="A298" s="44"/>
      <c r="B298" s="14"/>
      <c r="C298" s="53"/>
      <c r="D298" s="15"/>
      <c r="E298" s="89"/>
      <c r="F298" s="16"/>
      <c r="G298" s="16"/>
      <c r="H298" s="90" t="str">
        <f>IF(G298="Regular",Listas!$K$16,IF(G298="Premium",Listas!$K$17,IF(G298="Diesel",Listas!$K$18,"-")))</f>
        <v>-</v>
      </c>
      <c r="I298" s="17"/>
      <c r="J298" s="18"/>
      <c r="K298" s="19" t="str">
        <f>+IFERROR(IF(G298="Regular",VLOOKUP(C298,'PRECIO TERMINAL PEMEX'!$B$4:$E$35,2,0),IF(G298="Premium",VLOOKUP(C298,'PRECIO TERMINAL PEMEX'!$B$4:$E$35,3,0),IF(G298="Diesel",VLOOKUP(C298,'PRECIO TERMINAL PEMEX'!$B$4:$E$35,4,0),"Seleccione Producto"))),"-")</f>
        <v>Seleccione Producto</v>
      </c>
      <c r="L298" s="93" t="str">
        <f>+IFERROR(IF(F298="VHSA",VLOOKUP(B298,Listas!$C$4:$F$17,2,0),IF(F298="DOS BOCAS",VLOOKUP(B298,Listas!$C$4:$F$17,3,0),IF(F298="GLENCORE",VLOOKUP(B298,Listas!$C$4:$F$17,4,0),"Seleccione TAR"))),"-")</f>
        <v>Seleccione TAR</v>
      </c>
      <c r="M298" s="19" t="str">
        <f>+IFERROR(IF(G298="Regular",VLOOKUP(C298,'DESCUENTO PROVEEDORES'!$B$4:$E$35,2,0),IF(G298="Premium",VLOOKUP(C298,'DESCUENTO PROVEEDORES'!$B$4:$E$35,3,0),IF(G298="Diesel",VLOOKUP(C298,'DESCUENTO PROVEEDORES'!$B$4:$E$35,4,0),"Seleccione Proveedor"))),"-")</f>
        <v>Seleccione Proveedor</v>
      </c>
      <c r="N298" s="20" t="e">
        <f>((((K298-H298)/1.16)-M298))</f>
        <v>#VALUE!</v>
      </c>
      <c r="O298" s="21" t="e">
        <f>((N298*16%)+N298)+H298+L298</f>
        <v>#VALUE!</v>
      </c>
      <c r="P298" s="21" t="e">
        <f>(((J298-O298)-H298)/1.16)+H298</f>
        <v>#VALUE!</v>
      </c>
      <c r="Q298" s="44"/>
      <c r="R298" s="24"/>
      <c r="S298" s="23" t="e">
        <f t="shared" si="12"/>
        <v>#DIV/0!</v>
      </c>
      <c r="T298" s="23" t="e">
        <f t="shared" si="13"/>
        <v>#DIV/0!</v>
      </c>
      <c r="U298" s="22" t="e">
        <f t="shared" si="14"/>
        <v>#DIV/0!</v>
      </c>
      <c r="V298" s="44"/>
      <c r="W298" s="44"/>
      <c r="X298" s="44"/>
      <c r="Y298" s="44"/>
      <c r="Z298" s="44"/>
    </row>
    <row r="299" spans="1:26" ht="15.75" customHeight="1">
      <c r="A299" s="44"/>
      <c r="B299" s="14"/>
      <c r="C299" s="53"/>
      <c r="D299" s="15"/>
      <c r="E299" s="89"/>
      <c r="F299" s="16"/>
      <c r="G299" s="16"/>
      <c r="H299" s="90" t="str">
        <f>IF(G299="Regular",Listas!$K$16,IF(G299="Premium",Listas!$K$17,IF(G299="Diesel",Listas!$K$18,"-")))</f>
        <v>-</v>
      </c>
      <c r="I299" s="17"/>
      <c r="J299" s="18"/>
      <c r="K299" s="19" t="str">
        <f>+IFERROR(IF(G299="Regular",VLOOKUP(C299,'PRECIO TERMINAL PEMEX'!$B$4:$E$35,2,0),IF(G299="Premium",VLOOKUP(C299,'PRECIO TERMINAL PEMEX'!$B$4:$E$35,3,0),IF(G299="Diesel",VLOOKUP(C299,'PRECIO TERMINAL PEMEX'!$B$4:$E$35,4,0),"Seleccione Producto"))),"-")</f>
        <v>Seleccione Producto</v>
      </c>
      <c r="L299" s="93" t="str">
        <f>+IFERROR(IF(F299="VHSA",VLOOKUP(B299,Listas!$C$4:$F$17,2,0),IF(F299="DOS BOCAS",VLOOKUP(B299,Listas!$C$4:$F$17,3,0),IF(F299="GLENCORE",VLOOKUP(B299,Listas!$C$4:$F$17,4,0),"Seleccione TAR"))),"-")</f>
        <v>Seleccione TAR</v>
      </c>
      <c r="M299" s="19" t="str">
        <f>+IFERROR(IF(G299="Regular",VLOOKUP(C299,'DESCUENTO PROVEEDORES'!$B$4:$E$35,2,0),IF(G299="Premium",VLOOKUP(C299,'DESCUENTO PROVEEDORES'!$B$4:$E$35,3,0),IF(G299="Diesel",VLOOKUP(C299,'DESCUENTO PROVEEDORES'!$B$4:$E$35,4,0),"Seleccione Proveedor"))),"-")</f>
        <v>Seleccione Proveedor</v>
      </c>
      <c r="N299" s="20" t="e">
        <f>((((K299-H299)/1.16)-M299))</f>
        <v>#VALUE!</v>
      </c>
      <c r="O299" s="21" t="e">
        <f>((N299*16%)+N299)+H299+L299</f>
        <v>#VALUE!</v>
      </c>
      <c r="P299" s="21" t="e">
        <f>(((J299-O299)-H299)/1.16)+H299</f>
        <v>#VALUE!</v>
      </c>
      <c r="Q299" s="44"/>
      <c r="R299" s="24"/>
      <c r="S299" s="23" t="e">
        <f t="shared" si="12"/>
        <v>#DIV/0!</v>
      </c>
      <c r="T299" s="23" t="e">
        <f t="shared" si="13"/>
        <v>#DIV/0!</v>
      </c>
      <c r="U299" s="22" t="e">
        <f t="shared" si="14"/>
        <v>#DIV/0!</v>
      </c>
      <c r="V299" s="44"/>
      <c r="W299" s="44"/>
      <c r="X299" s="44"/>
      <c r="Y299" s="44"/>
      <c r="Z299" s="44"/>
    </row>
    <row r="300" spans="1:26" ht="15.75" customHeight="1">
      <c r="A300" s="44"/>
      <c r="B300" s="14"/>
      <c r="C300" s="53"/>
      <c r="D300" s="15"/>
      <c r="E300" s="89"/>
      <c r="F300" s="16"/>
      <c r="G300" s="16"/>
      <c r="H300" s="90" t="str">
        <f>IF(G300="Regular",Listas!$K$16,IF(G300="Premium",Listas!$K$17,IF(G300="Diesel",Listas!$K$18,"-")))</f>
        <v>-</v>
      </c>
      <c r="I300" s="17"/>
      <c r="J300" s="18"/>
      <c r="K300" s="19" t="str">
        <f>+IFERROR(IF(G300="Regular",VLOOKUP(C300,'PRECIO TERMINAL PEMEX'!$B$4:$E$35,2,0),IF(G300="Premium",VLOOKUP(C300,'PRECIO TERMINAL PEMEX'!$B$4:$E$35,3,0),IF(G300="Diesel",VLOOKUP(C300,'PRECIO TERMINAL PEMEX'!$B$4:$E$35,4,0),"Seleccione Producto"))),"-")</f>
        <v>Seleccione Producto</v>
      </c>
      <c r="L300" s="93" t="str">
        <f>+IFERROR(IF(F300="VHSA",VLOOKUP(B300,Listas!$C$4:$F$17,2,0),IF(F300="DOS BOCAS",VLOOKUP(B300,Listas!$C$4:$F$17,3,0),IF(F300="GLENCORE",VLOOKUP(B300,Listas!$C$4:$F$17,4,0),"Seleccione TAR"))),"-")</f>
        <v>Seleccione TAR</v>
      </c>
      <c r="M300" s="19" t="str">
        <f>+IFERROR(IF(G300="Regular",VLOOKUP(C300,'DESCUENTO PROVEEDORES'!$B$4:$E$35,2,0),IF(G300="Premium",VLOOKUP(C300,'DESCUENTO PROVEEDORES'!$B$4:$E$35,3,0),IF(G300="Diesel",VLOOKUP(C300,'DESCUENTO PROVEEDORES'!$B$4:$E$35,4,0),"Seleccione Proveedor"))),"-")</f>
        <v>Seleccione Proveedor</v>
      </c>
      <c r="N300" s="20" t="e">
        <f>((((K300-H300)/1.16)-M300))</f>
        <v>#VALUE!</v>
      </c>
      <c r="O300" s="21" t="e">
        <f>((N300*16%)+N300)+H300+L300</f>
        <v>#VALUE!</v>
      </c>
      <c r="P300" s="21" t="e">
        <f>(((J300-O300)-H300)/1.16)+H300</f>
        <v>#VALUE!</v>
      </c>
      <c r="Q300" s="44"/>
      <c r="R300" s="24"/>
      <c r="S300" s="23" t="e">
        <f t="shared" si="12"/>
        <v>#DIV/0!</v>
      </c>
      <c r="T300" s="23" t="e">
        <f t="shared" si="13"/>
        <v>#DIV/0!</v>
      </c>
      <c r="U300" s="22" t="e">
        <f t="shared" si="14"/>
        <v>#DIV/0!</v>
      </c>
      <c r="V300" s="44"/>
      <c r="W300" s="44"/>
      <c r="X300" s="44"/>
      <c r="Y300" s="44"/>
      <c r="Z300" s="44"/>
    </row>
    <row r="301" spans="1:26" ht="15.75" customHeight="1">
      <c r="A301" s="44"/>
      <c r="B301" s="14"/>
      <c r="C301" s="53"/>
      <c r="D301" s="15"/>
      <c r="E301" s="89"/>
      <c r="F301" s="16"/>
      <c r="G301" s="16"/>
      <c r="H301" s="90" t="str">
        <f>IF(G301="Regular",Listas!$K$16,IF(G301="Premium",Listas!$K$17,IF(G301="Diesel",Listas!$K$18,"-")))</f>
        <v>-</v>
      </c>
      <c r="I301" s="17"/>
      <c r="J301" s="18"/>
      <c r="K301" s="19" t="str">
        <f>+IFERROR(IF(G301="Regular",VLOOKUP(C301,'PRECIO TERMINAL PEMEX'!$B$4:$E$35,2,0),IF(G301="Premium",VLOOKUP(C301,'PRECIO TERMINAL PEMEX'!$B$4:$E$35,3,0),IF(G301="Diesel",VLOOKUP(C301,'PRECIO TERMINAL PEMEX'!$B$4:$E$35,4,0),"Seleccione Producto"))),"-")</f>
        <v>Seleccione Producto</v>
      </c>
      <c r="L301" s="93" t="str">
        <f>+IFERROR(IF(F301="VHSA",VLOOKUP(B301,Listas!$C$4:$F$17,2,0),IF(F301="DOS BOCAS",VLOOKUP(B301,Listas!$C$4:$F$17,3,0),IF(F301="GLENCORE",VLOOKUP(B301,Listas!$C$4:$F$17,4,0),"Seleccione TAR"))),"-")</f>
        <v>Seleccione TAR</v>
      </c>
      <c r="M301" s="19" t="str">
        <f>+IFERROR(IF(G301="Regular",VLOOKUP(C301,'DESCUENTO PROVEEDORES'!$B$4:$E$35,2,0),IF(G301="Premium",VLOOKUP(C301,'DESCUENTO PROVEEDORES'!$B$4:$E$35,3,0),IF(G301="Diesel",VLOOKUP(C301,'DESCUENTO PROVEEDORES'!$B$4:$E$35,4,0),"Seleccione Proveedor"))),"-")</f>
        <v>Seleccione Proveedor</v>
      </c>
      <c r="N301" s="20" t="e">
        <f>((((K301-H301)/1.16)-M301))</f>
        <v>#VALUE!</v>
      </c>
      <c r="O301" s="21" t="e">
        <f>((N301*16%)+N301)+H301+L301</f>
        <v>#VALUE!</v>
      </c>
      <c r="P301" s="21" t="e">
        <f>(((J301-O301)-H301)/1.16)+H301</f>
        <v>#VALUE!</v>
      </c>
      <c r="Q301" s="44"/>
      <c r="R301" s="24"/>
      <c r="S301" s="23" t="e">
        <f t="shared" si="12"/>
        <v>#DIV/0!</v>
      </c>
      <c r="T301" s="23" t="e">
        <f t="shared" si="13"/>
        <v>#DIV/0!</v>
      </c>
      <c r="U301" s="22" t="e">
        <f t="shared" si="14"/>
        <v>#DIV/0!</v>
      </c>
      <c r="V301" s="44"/>
      <c r="W301" s="44"/>
      <c r="X301" s="44"/>
      <c r="Y301" s="44"/>
      <c r="Z301" s="44"/>
    </row>
    <row r="302" spans="1:26" ht="15.75" customHeight="1">
      <c r="A302" s="44" t="s">
        <v>37</v>
      </c>
      <c r="B302" s="14"/>
      <c r="C302" s="53"/>
      <c r="D302" s="15"/>
      <c r="E302" s="89"/>
      <c r="F302" s="16"/>
      <c r="G302" s="16"/>
      <c r="H302" s="90" t="str">
        <f>IF(G302="Regular",Listas!$K$16,IF(G302="Premium",Listas!$K$17,IF(G302="Diesel",Listas!$K$18,"-")))</f>
        <v>-</v>
      </c>
      <c r="I302" s="17"/>
      <c r="J302" s="18"/>
      <c r="K302" s="19" t="str">
        <f>+IFERROR(IF(G302="Regular",VLOOKUP(C302,'PRECIO TERMINAL PEMEX'!$B$4:$E$35,2,0),IF(G302="Premium",VLOOKUP(C302,'PRECIO TERMINAL PEMEX'!$B$4:$E$35,3,0),IF(G302="Diesel",VLOOKUP(C302,'PRECIO TERMINAL PEMEX'!$B$4:$E$35,4,0),"Seleccione Producto"))),"-")</f>
        <v>Seleccione Producto</v>
      </c>
      <c r="L302" s="93" t="str">
        <f>+IFERROR(IF(F302="VHSA",VLOOKUP(B302,Listas!$C$4:$F$17,2,0),IF(F302="DOS BOCAS",VLOOKUP(B302,Listas!$C$4:$F$17,3,0),IF(F302="GLENCORE",VLOOKUP(B302,Listas!$C$4:$F$17,4,0),"Seleccione TAR"))),"-")</f>
        <v>Seleccione TAR</v>
      </c>
      <c r="M302" s="19" t="str">
        <f>+IFERROR(IF(G302="Regular",VLOOKUP(C302,'DESCUENTO PROVEEDORES'!$B$4:$E$35,2,0),IF(G302="Premium",VLOOKUP(C302,'DESCUENTO PROVEEDORES'!$B$4:$E$35,3,0),IF(G302="Diesel",VLOOKUP(C302,'DESCUENTO PROVEEDORES'!$B$4:$E$35,4,0),"Seleccione Proveedor"))),"-")</f>
        <v>Seleccione Proveedor</v>
      </c>
      <c r="N302" s="20" t="e">
        <f>((((K302-H302)/1.16)-M302))</f>
        <v>#VALUE!</v>
      </c>
      <c r="O302" s="21" t="e">
        <f>((N302*16%)+N302)+H302+L302</f>
        <v>#VALUE!</v>
      </c>
      <c r="P302" s="21" t="e">
        <f>(((J302-O302)-H302)/1.16)+H302</f>
        <v>#VALUE!</v>
      </c>
      <c r="Q302" s="44"/>
      <c r="R302" s="24"/>
      <c r="S302" s="23" t="e">
        <f t="shared" si="12"/>
        <v>#DIV/0!</v>
      </c>
      <c r="T302" s="23" t="e">
        <f t="shared" si="13"/>
        <v>#DIV/0!</v>
      </c>
      <c r="U302" s="22" t="e">
        <f t="shared" si="14"/>
        <v>#DIV/0!</v>
      </c>
      <c r="V302" s="44"/>
      <c r="W302" s="44"/>
      <c r="X302" s="44"/>
      <c r="Y302" s="44"/>
      <c r="Z302" s="44"/>
    </row>
    <row r="303" spans="1:26" ht="15.75" customHeight="1">
      <c r="A303" s="44"/>
      <c r="B303" s="14"/>
      <c r="C303" s="53"/>
      <c r="D303" s="15"/>
      <c r="E303" s="89"/>
      <c r="F303" s="16"/>
      <c r="G303" s="16"/>
      <c r="H303" s="90" t="str">
        <f>IF(G303="Regular",Listas!$K$16,IF(G303="Premium",Listas!$K$17,IF(G303="Diesel",Listas!$K$18,"-")))</f>
        <v>-</v>
      </c>
      <c r="I303" s="17"/>
      <c r="J303" s="18"/>
      <c r="K303" s="19" t="str">
        <f>+IFERROR(IF(G303="Regular",VLOOKUP(C303,'PRECIO TERMINAL PEMEX'!$B$4:$E$35,2,0),IF(G303="Premium",VLOOKUP(C303,'PRECIO TERMINAL PEMEX'!$B$4:$E$35,3,0),IF(G303="Diesel",VLOOKUP(C303,'PRECIO TERMINAL PEMEX'!$B$4:$E$35,4,0),"Seleccione Producto"))),"-")</f>
        <v>Seleccione Producto</v>
      </c>
      <c r="L303" s="93" t="str">
        <f>+IFERROR(IF(F303="VHSA",VLOOKUP(B303,Listas!$C$4:$F$17,2,0),IF(F303="DOS BOCAS",VLOOKUP(B303,Listas!$C$4:$F$17,3,0),IF(F303="GLENCORE",VLOOKUP(B303,Listas!$C$4:$F$17,4,0),"Seleccione TAR"))),"-")</f>
        <v>Seleccione TAR</v>
      </c>
      <c r="M303" s="19" t="str">
        <f>+IFERROR(IF(G303="Regular",VLOOKUP(C303,'DESCUENTO PROVEEDORES'!$B$4:$E$35,2,0),IF(G303="Premium",VLOOKUP(C303,'DESCUENTO PROVEEDORES'!$B$4:$E$35,3,0),IF(G303="Diesel",VLOOKUP(C303,'DESCUENTO PROVEEDORES'!$B$4:$E$35,4,0),"Seleccione Proveedor"))),"-")</f>
        <v>Seleccione Proveedor</v>
      </c>
      <c r="N303" s="20" t="e">
        <f>((((K303-H303)/1.16)-M303))</f>
        <v>#VALUE!</v>
      </c>
      <c r="O303" s="21" t="e">
        <f>((N303*16%)+N303)+H303+L303</f>
        <v>#VALUE!</v>
      </c>
      <c r="P303" s="21" t="e">
        <f>(((J303-O303)-H303)/1.16)+H303</f>
        <v>#VALUE!</v>
      </c>
      <c r="Q303" s="44"/>
      <c r="R303" s="24"/>
      <c r="S303" s="23" t="e">
        <f t="shared" si="12"/>
        <v>#DIV/0!</v>
      </c>
      <c r="T303" s="23" t="e">
        <f t="shared" si="13"/>
        <v>#DIV/0!</v>
      </c>
      <c r="U303" s="22" t="e">
        <f t="shared" si="14"/>
        <v>#DIV/0!</v>
      </c>
      <c r="V303" s="44"/>
      <c r="W303" s="44"/>
      <c r="X303" s="44"/>
      <c r="Y303" s="44"/>
      <c r="Z303" s="44"/>
    </row>
    <row r="304" spans="1:26" ht="15.75" customHeight="1">
      <c r="A304" s="44"/>
      <c r="B304" s="14"/>
      <c r="C304" s="53"/>
      <c r="D304" s="15"/>
      <c r="E304" s="89"/>
      <c r="F304" s="16"/>
      <c r="G304" s="16"/>
      <c r="H304" s="90" t="str">
        <f>IF(G304="Regular",Listas!$K$16,IF(G304="Premium",Listas!$K$17,IF(G304="Diesel",Listas!$K$18,"-")))</f>
        <v>-</v>
      </c>
      <c r="I304" s="17"/>
      <c r="J304" s="18"/>
      <c r="K304" s="19" t="str">
        <f>+IFERROR(IF(G304="Regular",VLOOKUP(C304,'PRECIO TERMINAL PEMEX'!$B$4:$E$35,2,0),IF(G304="Premium",VLOOKUP(C304,'PRECIO TERMINAL PEMEX'!$B$4:$E$35,3,0),IF(G304="Diesel",VLOOKUP(C304,'PRECIO TERMINAL PEMEX'!$B$4:$E$35,4,0),"Seleccione Producto"))),"-")</f>
        <v>Seleccione Producto</v>
      </c>
      <c r="L304" s="93" t="str">
        <f>+IFERROR(IF(F304="VHSA",VLOOKUP(B304,Listas!$C$4:$F$17,2,0),IF(F304="DOS BOCAS",VLOOKUP(B304,Listas!$C$4:$F$17,3,0),IF(F304="GLENCORE",VLOOKUP(B304,Listas!$C$4:$F$17,4,0),"Seleccione TAR"))),"-")</f>
        <v>Seleccione TAR</v>
      </c>
      <c r="M304" s="19" t="str">
        <f>+IFERROR(IF(G304="Regular",VLOOKUP(C304,'DESCUENTO PROVEEDORES'!$B$4:$E$35,2,0),IF(G304="Premium",VLOOKUP(C304,'DESCUENTO PROVEEDORES'!$B$4:$E$35,3,0),IF(G304="Diesel",VLOOKUP(C304,'DESCUENTO PROVEEDORES'!$B$4:$E$35,4,0),"Seleccione Proveedor"))),"-")</f>
        <v>Seleccione Proveedor</v>
      </c>
      <c r="N304" s="20" t="e">
        <f>((((K304-H304)/1.16)-M304))</f>
        <v>#VALUE!</v>
      </c>
      <c r="O304" s="21" t="e">
        <f>((N304*16%)+N304)+H304+L304</f>
        <v>#VALUE!</v>
      </c>
      <c r="P304" s="21" t="e">
        <f>(((J304-O304)-H304)/1.16)+H304</f>
        <v>#VALUE!</v>
      </c>
      <c r="Q304" s="44"/>
      <c r="R304" s="24"/>
      <c r="S304" s="23" t="e">
        <f t="shared" si="12"/>
        <v>#DIV/0!</v>
      </c>
      <c r="T304" s="23" t="e">
        <f t="shared" si="13"/>
        <v>#DIV/0!</v>
      </c>
      <c r="U304" s="22" t="e">
        <f t="shared" si="14"/>
        <v>#DIV/0!</v>
      </c>
      <c r="V304" s="44"/>
      <c r="W304" s="44"/>
      <c r="X304" s="44"/>
      <c r="Y304" s="44"/>
      <c r="Z304" s="44"/>
    </row>
    <row r="305" spans="1:26" ht="15.75" customHeight="1">
      <c r="A305" s="44"/>
      <c r="B305" s="14"/>
      <c r="C305" s="53"/>
      <c r="D305" s="15"/>
      <c r="E305" s="89"/>
      <c r="F305" s="16"/>
      <c r="G305" s="16"/>
      <c r="H305" s="90" t="str">
        <f>IF(G305="Regular",Listas!$K$16,IF(G305="Premium",Listas!$K$17,IF(G305="Diesel",Listas!$K$18,"-")))</f>
        <v>-</v>
      </c>
      <c r="I305" s="17"/>
      <c r="J305" s="18"/>
      <c r="K305" s="19" t="str">
        <f>+IFERROR(IF(G305="Regular",VLOOKUP(C305,'PRECIO TERMINAL PEMEX'!$B$4:$E$35,2,0),IF(G305="Premium",VLOOKUP(C305,'PRECIO TERMINAL PEMEX'!$B$4:$E$35,3,0),IF(G305="Diesel",VLOOKUP(C305,'PRECIO TERMINAL PEMEX'!$B$4:$E$35,4,0),"Seleccione Producto"))),"-")</f>
        <v>Seleccione Producto</v>
      </c>
      <c r="L305" s="93" t="str">
        <f>+IFERROR(IF(F305="VHSA",VLOOKUP(B305,Listas!$C$4:$F$17,2,0),IF(F305="DOS BOCAS",VLOOKUP(B305,Listas!$C$4:$F$17,3,0),IF(F305="GLENCORE",VLOOKUP(B305,Listas!$C$4:$F$17,4,0),"Seleccione TAR"))),"-")</f>
        <v>Seleccione TAR</v>
      </c>
      <c r="M305" s="19" t="str">
        <f>+IFERROR(IF(G305="Regular",VLOOKUP(C305,'DESCUENTO PROVEEDORES'!$B$4:$E$35,2,0),IF(G305="Premium",VLOOKUP(C305,'DESCUENTO PROVEEDORES'!$B$4:$E$35,3,0),IF(G305="Diesel",VLOOKUP(C305,'DESCUENTO PROVEEDORES'!$B$4:$E$35,4,0),"Seleccione Proveedor"))),"-")</f>
        <v>Seleccione Proveedor</v>
      </c>
      <c r="N305" s="20" t="e">
        <f>((((K305-H305)/1.16)-M305))</f>
        <v>#VALUE!</v>
      </c>
      <c r="O305" s="21" t="e">
        <f>((N305*16%)+N305)+H305+L305</f>
        <v>#VALUE!</v>
      </c>
      <c r="P305" s="21" t="e">
        <f>(((J305-O305)-H305)/1.16)+H305</f>
        <v>#VALUE!</v>
      </c>
      <c r="Q305" s="44"/>
      <c r="R305" s="24"/>
      <c r="S305" s="23" t="e">
        <f t="shared" si="12"/>
        <v>#DIV/0!</v>
      </c>
      <c r="T305" s="23" t="e">
        <f t="shared" si="13"/>
        <v>#DIV/0!</v>
      </c>
      <c r="U305" s="22" t="e">
        <f t="shared" si="14"/>
        <v>#DIV/0!</v>
      </c>
      <c r="V305" s="44"/>
      <c r="W305" s="44"/>
      <c r="X305" s="44"/>
      <c r="Y305" s="44"/>
      <c r="Z305" s="44"/>
    </row>
    <row r="306" spans="1:26" ht="15.75" customHeight="1">
      <c r="A306" s="44"/>
      <c r="B306" s="14"/>
      <c r="C306" s="53"/>
      <c r="D306" s="15"/>
      <c r="E306" s="89"/>
      <c r="F306" s="16"/>
      <c r="G306" s="16"/>
      <c r="H306" s="90" t="str">
        <f>IF(G306="Regular",Listas!$K$16,IF(G306="Premium",Listas!$K$17,IF(G306="Diesel",Listas!$K$18,"-")))</f>
        <v>-</v>
      </c>
      <c r="I306" s="17"/>
      <c r="J306" s="18"/>
      <c r="K306" s="19" t="str">
        <f>+IFERROR(IF(G306="Regular",VLOOKUP(C306,'PRECIO TERMINAL PEMEX'!$B$4:$E$35,2,0),IF(G306="Premium",VLOOKUP(C306,'PRECIO TERMINAL PEMEX'!$B$4:$E$35,3,0),IF(G306="Diesel",VLOOKUP(C306,'PRECIO TERMINAL PEMEX'!$B$4:$E$35,4,0),"Seleccione Producto"))),"-")</f>
        <v>Seleccione Producto</v>
      </c>
      <c r="L306" s="93" t="str">
        <f>+IFERROR(IF(F306="VHSA",VLOOKUP(B306,Listas!$C$4:$F$17,2,0),IF(F306="DOS BOCAS",VLOOKUP(B306,Listas!$C$4:$F$17,3,0),IF(F306="GLENCORE",VLOOKUP(B306,Listas!$C$4:$F$17,4,0),"Seleccione TAR"))),"-")</f>
        <v>Seleccione TAR</v>
      </c>
      <c r="M306" s="19" t="str">
        <f>+IFERROR(IF(G306="Regular",VLOOKUP(C306,'DESCUENTO PROVEEDORES'!$B$4:$E$35,2,0),IF(G306="Premium",VLOOKUP(C306,'DESCUENTO PROVEEDORES'!$B$4:$E$35,3,0),IF(G306="Diesel",VLOOKUP(C306,'DESCUENTO PROVEEDORES'!$B$4:$E$35,4,0),"Seleccione Proveedor"))),"-")</f>
        <v>Seleccione Proveedor</v>
      </c>
      <c r="N306" s="20" t="e">
        <f>((((K306-H306)/1.16)-M306))</f>
        <v>#VALUE!</v>
      </c>
      <c r="O306" s="21" t="e">
        <f>((N306*16%)+N306)+H306+L306</f>
        <v>#VALUE!</v>
      </c>
      <c r="P306" s="21" t="e">
        <f>(((J306-O306)-H306)/1.16)+H306</f>
        <v>#VALUE!</v>
      </c>
      <c r="Q306" s="44"/>
      <c r="R306" s="24"/>
      <c r="S306" s="23" t="e">
        <f t="shared" si="12"/>
        <v>#DIV/0!</v>
      </c>
      <c r="T306" s="23" t="e">
        <f t="shared" si="13"/>
        <v>#DIV/0!</v>
      </c>
      <c r="U306" s="22" t="e">
        <f t="shared" si="14"/>
        <v>#DIV/0!</v>
      </c>
      <c r="V306" s="44"/>
      <c r="W306" s="44"/>
      <c r="X306" s="44"/>
      <c r="Y306" s="44"/>
      <c r="Z306" s="44"/>
    </row>
    <row r="307" spans="1:26" ht="15.75" customHeight="1">
      <c r="A307" s="44"/>
      <c r="B307" s="14"/>
      <c r="C307" s="53"/>
      <c r="D307" s="15"/>
      <c r="E307" s="89"/>
      <c r="F307" s="16"/>
      <c r="G307" s="16"/>
      <c r="H307" s="90" t="str">
        <f>IF(G307="Regular",Listas!$K$16,IF(G307="Premium",Listas!$K$17,IF(G307="Diesel",Listas!$K$18,"-")))</f>
        <v>-</v>
      </c>
      <c r="I307" s="17"/>
      <c r="J307" s="18"/>
      <c r="K307" s="19" t="str">
        <f>+IFERROR(IF(G307="Regular",VLOOKUP(C307,'PRECIO TERMINAL PEMEX'!$B$4:$E$35,2,0),IF(G307="Premium",VLOOKUP(C307,'PRECIO TERMINAL PEMEX'!$B$4:$E$35,3,0),IF(G307="Diesel",VLOOKUP(C307,'PRECIO TERMINAL PEMEX'!$B$4:$E$35,4,0),"Seleccione Producto"))),"-")</f>
        <v>Seleccione Producto</v>
      </c>
      <c r="L307" s="93" t="str">
        <f>+IFERROR(IF(F307="VHSA",VLOOKUP(B307,Listas!$C$4:$F$17,2,0),IF(F307="DOS BOCAS",VLOOKUP(B307,Listas!$C$4:$F$17,3,0),IF(F307="GLENCORE",VLOOKUP(B307,Listas!$C$4:$F$17,4,0),"Seleccione TAR"))),"-")</f>
        <v>Seleccione TAR</v>
      </c>
      <c r="M307" s="19" t="str">
        <f>+IFERROR(IF(G307="Regular",VLOOKUP(C307,'DESCUENTO PROVEEDORES'!$B$4:$E$35,2,0),IF(G307="Premium",VLOOKUP(C307,'DESCUENTO PROVEEDORES'!$B$4:$E$35,3,0),IF(G307="Diesel",VLOOKUP(C307,'DESCUENTO PROVEEDORES'!$B$4:$E$35,4,0),"Seleccione Proveedor"))),"-")</f>
        <v>Seleccione Proveedor</v>
      </c>
      <c r="N307" s="20" t="e">
        <f>((((K307-H307)/1.16)-M307))</f>
        <v>#VALUE!</v>
      </c>
      <c r="O307" s="21" t="e">
        <f>((N307*16%)+N307)+H307+L307</f>
        <v>#VALUE!</v>
      </c>
      <c r="P307" s="21" t="e">
        <f>(((J307-O307)-H307)/1.16)+H307</f>
        <v>#VALUE!</v>
      </c>
      <c r="Q307" s="44"/>
      <c r="R307" s="24"/>
      <c r="S307" s="23" t="e">
        <f t="shared" si="12"/>
        <v>#DIV/0!</v>
      </c>
      <c r="T307" s="23" t="e">
        <f t="shared" si="13"/>
        <v>#DIV/0!</v>
      </c>
      <c r="U307" s="22" t="e">
        <f t="shared" si="14"/>
        <v>#DIV/0!</v>
      </c>
      <c r="V307" s="44"/>
      <c r="W307" s="44"/>
      <c r="X307" s="44"/>
      <c r="Y307" s="44"/>
      <c r="Z307" s="44"/>
    </row>
    <row r="308" spans="1:26" ht="15.75" customHeight="1">
      <c r="A308" s="44"/>
      <c r="B308" s="14"/>
      <c r="C308" s="53"/>
      <c r="D308" s="15"/>
      <c r="E308" s="89"/>
      <c r="F308" s="16"/>
      <c r="G308" s="16"/>
      <c r="H308" s="90" t="str">
        <f>IF(G308="Regular",Listas!$K$16,IF(G308="Premium",Listas!$K$17,IF(G308="Diesel",Listas!$K$18,"-")))</f>
        <v>-</v>
      </c>
      <c r="I308" s="17"/>
      <c r="J308" s="18"/>
      <c r="K308" s="19" t="str">
        <f>+IFERROR(IF(G308="Regular",VLOOKUP(C308,'PRECIO TERMINAL PEMEX'!$B$4:$E$35,2,0),IF(G308="Premium",VLOOKUP(C308,'PRECIO TERMINAL PEMEX'!$B$4:$E$35,3,0),IF(G308="Diesel",VLOOKUP(C308,'PRECIO TERMINAL PEMEX'!$B$4:$E$35,4,0),"Seleccione Producto"))),"-")</f>
        <v>Seleccione Producto</v>
      </c>
      <c r="L308" s="93" t="str">
        <f>+IFERROR(IF(F308="VHSA",VLOOKUP(B308,Listas!$C$4:$F$17,2,0),IF(F308="DOS BOCAS",VLOOKUP(B308,Listas!$C$4:$F$17,3,0),IF(F308="GLENCORE",VLOOKUP(B308,Listas!$C$4:$F$17,4,0),"Seleccione TAR"))),"-")</f>
        <v>Seleccione TAR</v>
      </c>
      <c r="M308" s="19" t="str">
        <f>+IFERROR(IF(G308="Regular",VLOOKUP(C308,'DESCUENTO PROVEEDORES'!$B$4:$E$35,2,0),IF(G308="Premium",VLOOKUP(C308,'DESCUENTO PROVEEDORES'!$B$4:$E$35,3,0),IF(G308="Diesel",VLOOKUP(C308,'DESCUENTO PROVEEDORES'!$B$4:$E$35,4,0),"Seleccione Proveedor"))),"-")</f>
        <v>Seleccione Proveedor</v>
      </c>
      <c r="N308" s="20" t="e">
        <f>((((K308-H308)/1.16)-M308))</f>
        <v>#VALUE!</v>
      </c>
      <c r="O308" s="21" t="e">
        <f>((N308*16%)+N308)+H308+L308</f>
        <v>#VALUE!</v>
      </c>
      <c r="P308" s="21" t="e">
        <f>(((J308-O308)-H308)/1.16)+H308</f>
        <v>#VALUE!</v>
      </c>
      <c r="Q308" s="44"/>
      <c r="R308" s="24"/>
      <c r="S308" s="23" t="e">
        <f t="shared" si="12"/>
        <v>#DIV/0!</v>
      </c>
      <c r="T308" s="23" t="e">
        <f t="shared" si="13"/>
        <v>#DIV/0!</v>
      </c>
      <c r="U308" s="22" t="e">
        <f t="shared" si="14"/>
        <v>#DIV/0!</v>
      </c>
      <c r="V308" s="44"/>
      <c r="W308" s="44"/>
      <c r="X308" s="44"/>
      <c r="Y308" s="44"/>
      <c r="Z308" s="44"/>
    </row>
    <row r="309" spans="1:26" ht="15.75" customHeight="1">
      <c r="A309" s="44"/>
      <c r="B309" s="14"/>
      <c r="C309" s="53"/>
      <c r="D309" s="15"/>
      <c r="E309" s="89"/>
      <c r="F309" s="16"/>
      <c r="G309" s="16"/>
      <c r="H309" s="90" t="str">
        <f>IF(G309="Regular",Listas!$K$16,IF(G309="Premium",Listas!$K$17,IF(G309="Diesel",Listas!$K$18,"-")))</f>
        <v>-</v>
      </c>
      <c r="I309" s="17"/>
      <c r="J309" s="18"/>
      <c r="K309" s="19" t="str">
        <f>+IFERROR(IF(G309="Regular",VLOOKUP(C309,'PRECIO TERMINAL PEMEX'!$B$4:$E$35,2,0),IF(G309="Premium",VLOOKUP(C309,'PRECIO TERMINAL PEMEX'!$B$4:$E$35,3,0),IF(G309="Diesel",VLOOKUP(C309,'PRECIO TERMINAL PEMEX'!$B$4:$E$35,4,0),"Seleccione Producto"))),"-")</f>
        <v>Seleccione Producto</v>
      </c>
      <c r="L309" s="93" t="str">
        <f>+IFERROR(IF(F309="VHSA",VLOOKUP(B309,Listas!$C$4:$F$17,2,0),IF(F309="DOS BOCAS",VLOOKUP(B309,Listas!$C$4:$F$17,3,0),IF(F309="GLENCORE",VLOOKUP(B309,Listas!$C$4:$F$17,4,0),"Seleccione TAR"))),"-")</f>
        <v>Seleccione TAR</v>
      </c>
      <c r="M309" s="19" t="str">
        <f>+IFERROR(IF(G309="Regular",VLOOKUP(C309,'DESCUENTO PROVEEDORES'!$B$4:$E$35,2,0),IF(G309="Premium",VLOOKUP(C309,'DESCUENTO PROVEEDORES'!$B$4:$E$35,3,0),IF(G309="Diesel",VLOOKUP(C309,'DESCUENTO PROVEEDORES'!$B$4:$E$35,4,0),"Seleccione Proveedor"))),"-")</f>
        <v>Seleccione Proveedor</v>
      </c>
      <c r="N309" s="20" t="e">
        <f>((((K309-H309)/1.16)-M309))</f>
        <v>#VALUE!</v>
      </c>
      <c r="O309" s="21" t="e">
        <f>((N309*16%)+N309)+H309+L309</f>
        <v>#VALUE!</v>
      </c>
      <c r="P309" s="21" t="e">
        <f>(((J309-O309)-H309)/1.16)+H309</f>
        <v>#VALUE!</v>
      </c>
      <c r="Q309" s="44"/>
      <c r="R309" s="24"/>
      <c r="S309" s="23" t="e">
        <f t="shared" si="12"/>
        <v>#DIV/0!</v>
      </c>
      <c r="T309" s="23" t="e">
        <f t="shared" si="13"/>
        <v>#DIV/0!</v>
      </c>
      <c r="U309" s="22" t="e">
        <f t="shared" si="14"/>
        <v>#DIV/0!</v>
      </c>
      <c r="V309" s="44"/>
      <c r="W309" s="44"/>
      <c r="X309" s="44"/>
      <c r="Y309" s="44"/>
      <c r="Z309" s="44"/>
    </row>
    <row r="310" spans="1:26" ht="15.75" customHeight="1">
      <c r="A310" s="44"/>
      <c r="B310" s="14"/>
      <c r="C310" s="53"/>
      <c r="D310" s="15"/>
      <c r="E310" s="89"/>
      <c r="F310" s="16"/>
      <c r="G310" s="16"/>
      <c r="H310" s="90" t="str">
        <f>IF(G310="Regular",Listas!$K$16,IF(G310="Premium",Listas!$K$17,IF(G310="Diesel",Listas!$K$18,"-")))</f>
        <v>-</v>
      </c>
      <c r="I310" s="17"/>
      <c r="J310" s="18"/>
      <c r="K310" s="19" t="str">
        <f>+IFERROR(IF(G310="Regular",VLOOKUP(C310,'PRECIO TERMINAL PEMEX'!$B$4:$E$35,2,0),IF(G310="Premium",VLOOKUP(C310,'PRECIO TERMINAL PEMEX'!$B$4:$E$35,3,0),IF(G310="Diesel",VLOOKUP(C310,'PRECIO TERMINAL PEMEX'!$B$4:$E$35,4,0),"Seleccione Producto"))),"-")</f>
        <v>Seleccione Producto</v>
      </c>
      <c r="L310" s="93" t="str">
        <f>+IFERROR(IF(F310="VHSA",VLOOKUP(B310,Listas!$C$4:$F$17,2,0),IF(F310="DOS BOCAS",VLOOKUP(B310,Listas!$C$4:$F$17,3,0),IF(F310="GLENCORE",VLOOKUP(B310,Listas!$C$4:$F$17,4,0),"Seleccione TAR"))),"-")</f>
        <v>Seleccione TAR</v>
      </c>
      <c r="M310" s="19" t="str">
        <f>+IFERROR(IF(G310="Regular",VLOOKUP(C310,'DESCUENTO PROVEEDORES'!$B$4:$E$35,2,0),IF(G310="Premium",VLOOKUP(C310,'DESCUENTO PROVEEDORES'!$B$4:$E$35,3,0),IF(G310="Diesel",VLOOKUP(C310,'DESCUENTO PROVEEDORES'!$B$4:$E$35,4,0),"Seleccione Proveedor"))),"-")</f>
        <v>Seleccione Proveedor</v>
      </c>
      <c r="N310" s="20" t="e">
        <f>((((K310-H310)/1.16)-M310))</f>
        <v>#VALUE!</v>
      </c>
      <c r="O310" s="21" t="e">
        <f>((N310*16%)+N310)+H310+L310</f>
        <v>#VALUE!</v>
      </c>
      <c r="P310" s="21" t="e">
        <f>(((J310-O310)-H310)/1.16)+H310</f>
        <v>#VALUE!</v>
      </c>
      <c r="Q310" s="44"/>
      <c r="R310" s="24"/>
      <c r="S310" s="23" t="e">
        <f t="shared" si="12"/>
        <v>#DIV/0!</v>
      </c>
      <c r="T310" s="23" t="e">
        <f t="shared" si="13"/>
        <v>#DIV/0!</v>
      </c>
      <c r="U310" s="22" t="e">
        <f t="shared" si="14"/>
        <v>#DIV/0!</v>
      </c>
      <c r="V310" s="44"/>
      <c r="W310" s="44"/>
      <c r="X310" s="44"/>
      <c r="Y310" s="44"/>
      <c r="Z310" s="44"/>
    </row>
    <row r="311" spans="1:26" ht="15.75" customHeight="1">
      <c r="A311" s="44"/>
      <c r="B311" s="14"/>
      <c r="C311" s="53"/>
      <c r="D311" s="15"/>
      <c r="E311" s="89"/>
      <c r="F311" s="16"/>
      <c r="G311" s="16"/>
      <c r="H311" s="90" t="str">
        <f>IF(G311="Regular",Listas!$K$16,IF(G311="Premium",Listas!$K$17,IF(G311="Diesel",Listas!$K$18,"-")))</f>
        <v>-</v>
      </c>
      <c r="I311" s="17"/>
      <c r="J311" s="18"/>
      <c r="K311" s="19" t="str">
        <f>+IFERROR(IF(G311="Regular",VLOOKUP(C311,'PRECIO TERMINAL PEMEX'!$B$4:$E$35,2,0),IF(G311="Premium",VLOOKUP(C311,'PRECIO TERMINAL PEMEX'!$B$4:$E$35,3,0),IF(G311="Diesel",VLOOKUP(C311,'PRECIO TERMINAL PEMEX'!$B$4:$E$35,4,0),"Seleccione Producto"))),"-")</f>
        <v>Seleccione Producto</v>
      </c>
      <c r="L311" s="93" t="str">
        <f>+IFERROR(IF(F311="VHSA",VLOOKUP(B311,Listas!$C$4:$F$17,2,0),IF(F311="DOS BOCAS",VLOOKUP(B311,Listas!$C$4:$F$17,3,0),IF(F311="GLENCORE",VLOOKUP(B311,Listas!$C$4:$F$17,4,0),"Seleccione TAR"))),"-")</f>
        <v>Seleccione TAR</v>
      </c>
      <c r="M311" s="19" t="str">
        <f>+IFERROR(IF(G311="Regular",VLOOKUP(C311,'DESCUENTO PROVEEDORES'!$B$4:$E$35,2,0),IF(G311="Premium",VLOOKUP(C311,'DESCUENTO PROVEEDORES'!$B$4:$E$35,3,0),IF(G311="Diesel",VLOOKUP(C311,'DESCUENTO PROVEEDORES'!$B$4:$E$35,4,0),"Seleccione Proveedor"))),"-")</f>
        <v>Seleccione Proveedor</v>
      </c>
      <c r="N311" s="20" t="e">
        <f>((((K311-H311)/1.16)-M311))</f>
        <v>#VALUE!</v>
      </c>
      <c r="O311" s="21" t="e">
        <f>((N311*16%)+N311)+H311+L311</f>
        <v>#VALUE!</v>
      </c>
      <c r="P311" s="21" t="e">
        <f>(((J311-O311)-H311)/1.16)+H311</f>
        <v>#VALUE!</v>
      </c>
      <c r="Q311" s="44"/>
      <c r="R311" s="24"/>
      <c r="S311" s="23" t="e">
        <f t="shared" si="12"/>
        <v>#DIV/0!</v>
      </c>
      <c r="T311" s="23" t="e">
        <f t="shared" si="13"/>
        <v>#DIV/0!</v>
      </c>
      <c r="U311" s="22" t="e">
        <f t="shared" si="14"/>
        <v>#DIV/0!</v>
      </c>
      <c r="V311" s="44"/>
      <c r="W311" s="44"/>
      <c r="X311" s="44"/>
      <c r="Y311" s="44"/>
      <c r="Z311" s="44"/>
    </row>
    <row r="312" spans="1:26" ht="15.75" customHeight="1">
      <c r="A312" s="44"/>
      <c r="B312" s="14"/>
      <c r="C312" s="53"/>
      <c r="D312" s="15"/>
      <c r="E312" s="89"/>
      <c r="F312" s="16"/>
      <c r="G312" s="16"/>
      <c r="H312" s="90" t="str">
        <f>IF(G312="Regular",Listas!$K$16,IF(G312="Premium",Listas!$K$17,IF(G312="Diesel",Listas!$K$18,"-")))</f>
        <v>-</v>
      </c>
      <c r="I312" s="17"/>
      <c r="J312" s="18"/>
      <c r="K312" s="19" t="str">
        <f>+IFERROR(IF(G312="Regular",VLOOKUP(C312,'PRECIO TERMINAL PEMEX'!$B$4:$E$35,2,0),IF(G312="Premium",VLOOKUP(C312,'PRECIO TERMINAL PEMEX'!$B$4:$E$35,3,0),IF(G312="Diesel",VLOOKUP(C312,'PRECIO TERMINAL PEMEX'!$B$4:$E$35,4,0),"Seleccione Producto"))),"-")</f>
        <v>Seleccione Producto</v>
      </c>
      <c r="L312" s="93" t="str">
        <f>+IFERROR(IF(F312="VHSA",VLOOKUP(B312,Listas!$C$4:$F$17,2,0),IF(F312="DOS BOCAS",VLOOKUP(B312,Listas!$C$4:$F$17,3,0),IF(F312="GLENCORE",VLOOKUP(B312,Listas!$C$4:$F$17,4,0),"Seleccione TAR"))),"-")</f>
        <v>Seleccione TAR</v>
      </c>
      <c r="M312" s="19" t="str">
        <f>+IFERROR(IF(G312="Regular",VLOOKUP(C312,'DESCUENTO PROVEEDORES'!$B$4:$E$35,2,0),IF(G312="Premium",VLOOKUP(C312,'DESCUENTO PROVEEDORES'!$B$4:$E$35,3,0),IF(G312="Diesel",VLOOKUP(C312,'DESCUENTO PROVEEDORES'!$B$4:$E$35,4,0),"Seleccione Proveedor"))),"-")</f>
        <v>Seleccione Proveedor</v>
      </c>
      <c r="N312" s="20" t="e">
        <f>((((K312-H312)/1.16)-M312))</f>
        <v>#VALUE!</v>
      </c>
      <c r="O312" s="21" t="e">
        <f>((N312*16%)+N312)+H312+L312</f>
        <v>#VALUE!</v>
      </c>
      <c r="P312" s="21" t="e">
        <f>(((J312-O312)-H312)/1.16)+H312</f>
        <v>#VALUE!</v>
      </c>
      <c r="Q312" s="44"/>
      <c r="R312" s="24"/>
      <c r="S312" s="23" t="e">
        <f t="shared" si="12"/>
        <v>#DIV/0!</v>
      </c>
      <c r="T312" s="23" t="e">
        <f t="shared" si="13"/>
        <v>#DIV/0!</v>
      </c>
      <c r="U312" s="22" t="e">
        <f t="shared" si="14"/>
        <v>#DIV/0!</v>
      </c>
      <c r="V312" s="44"/>
      <c r="W312" s="44"/>
      <c r="X312" s="44"/>
      <c r="Y312" s="44"/>
      <c r="Z312" s="44"/>
    </row>
    <row r="313" spans="1:26" ht="15.75" customHeight="1">
      <c r="A313" s="44"/>
      <c r="B313" s="14"/>
      <c r="C313" s="53"/>
      <c r="D313" s="15"/>
      <c r="E313" s="89"/>
      <c r="F313" s="16"/>
      <c r="G313" s="16"/>
      <c r="H313" s="90" t="str">
        <f>IF(G313="Regular",Listas!$K$16,IF(G313="Premium",Listas!$K$17,IF(G313="Diesel",Listas!$K$18,"-")))</f>
        <v>-</v>
      </c>
      <c r="I313" s="17"/>
      <c r="J313" s="18"/>
      <c r="K313" s="19" t="str">
        <f>+IFERROR(IF(G313="Regular",VLOOKUP(C313,'PRECIO TERMINAL PEMEX'!$B$4:$E$35,2,0),IF(G313="Premium",VLOOKUP(C313,'PRECIO TERMINAL PEMEX'!$B$4:$E$35,3,0),IF(G313="Diesel",VLOOKUP(C313,'PRECIO TERMINAL PEMEX'!$B$4:$E$35,4,0),"Seleccione Producto"))),"-")</f>
        <v>Seleccione Producto</v>
      </c>
      <c r="L313" s="93" t="str">
        <f>+IFERROR(IF(F313="VHSA",VLOOKUP(B313,Listas!$C$4:$F$17,2,0),IF(F313="DOS BOCAS",VLOOKUP(B313,Listas!$C$4:$F$17,3,0),IF(F313="GLENCORE",VLOOKUP(B313,Listas!$C$4:$F$17,4,0),"Seleccione TAR"))),"-")</f>
        <v>Seleccione TAR</v>
      </c>
      <c r="M313" s="19" t="str">
        <f>+IFERROR(IF(G313="Regular",VLOOKUP(C313,'DESCUENTO PROVEEDORES'!$B$4:$E$35,2,0),IF(G313="Premium",VLOOKUP(C313,'DESCUENTO PROVEEDORES'!$B$4:$E$35,3,0),IF(G313="Diesel",VLOOKUP(C313,'DESCUENTO PROVEEDORES'!$B$4:$E$35,4,0),"Seleccione Proveedor"))),"-")</f>
        <v>Seleccione Proveedor</v>
      </c>
      <c r="N313" s="20" t="e">
        <f>((((K313-H313)/1.16)-M313))</f>
        <v>#VALUE!</v>
      </c>
      <c r="O313" s="21" t="e">
        <f>((N313*16%)+N313)+H313+L313</f>
        <v>#VALUE!</v>
      </c>
      <c r="P313" s="21" t="e">
        <f>(((J313-O313)-H313)/1.16)+H313</f>
        <v>#VALUE!</v>
      </c>
      <c r="Q313" s="44"/>
      <c r="R313" s="24"/>
      <c r="S313" s="23" t="e">
        <f t="shared" si="12"/>
        <v>#DIV/0!</v>
      </c>
      <c r="T313" s="23" t="e">
        <f t="shared" si="13"/>
        <v>#DIV/0!</v>
      </c>
      <c r="U313" s="22" t="e">
        <f t="shared" si="14"/>
        <v>#DIV/0!</v>
      </c>
      <c r="V313" s="44"/>
      <c r="W313" s="44"/>
      <c r="X313" s="44"/>
      <c r="Y313" s="44"/>
      <c r="Z313" s="44"/>
    </row>
    <row r="314" spans="1:26" ht="15.75" customHeight="1">
      <c r="A314" s="44"/>
      <c r="B314" s="14"/>
      <c r="C314" s="53"/>
      <c r="D314" s="15"/>
      <c r="E314" s="89"/>
      <c r="F314" s="16"/>
      <c r="G314" s="16"/>
      <c r="H314" s="90" t="str">
        <f>IF(G314="Regular",Listas!$K$16,IF(G314="Premium",Listas!$K$17,IF(G314="Diesel",Listas!$K$18,"-")))</f>
        <v>-</v>
      </c>
      <c r="I314" s="17"/>
      <c r="J314" s="18"/>
      <c r="K314" s="19" t="str">
        <f>+IFERROR(IF(G314="Regular",VLOOKUP(C314,'PRECIO TERMINAL PEMEX'!$B$4:$E$35,2,0),IF(G314="Premium",VLOOKUP(C314,'PRECIO TERMINAL PEMEX'!$B$4:$E$35,3,0),IF(G314="Diesel",VLOOKUP(C314,'PRECIO TERMINAL PEMEX'!$B$4:$E$35,4,0),"Seleccione Producto"))),"-")</f>
        <v>Seleccione Producto</v>
      </c>
      <c r="L314" s="93" t="str">
        <f>+IFERROR(IF(F314="VHSA",VLOOKUP(B314,Listas!$C$4:$F$17,2,0),IF(F314="DOS BOCAS",VLOOKUP(B314,Listas!$C$4:$F$17,3,0),IF(F314="GLENCORE",VLOOKUP(B314,Listas!$C$4:$F$17,4,0),"Seleccione TAR"))),"-")</f>
        <v>Seleccione TAR</v>
      </c>
      <c r="M314" s="19" t="str">
        <f>+IFERROR(IF(G314="Regular",VLOOKUP(C314,'DESCUENTO PROVEEDORES'!$B$4:$E$35,2,0),IF(G314="Premium",VLOOKUP(C314,'DESCUENTO PROVEEDORES'!$B$4:$E$35,3,0),IF(G314="Diesel",VLOOKUP(C314,'DESCUENTO PROVEEDORES'!$B$4:$E$35,4,0),"Seleccione Proveedor"))),"-")</f>
        <v>Seleccione Proveedor</v>
      </c>
      <c r="N314" s="20" t="e">
        <f>((((K314-H314)/1.16)-M314))</f>
        <v>#VALUE!</v>
      </c>
      <c r="O314" s="21" t="e">
        <f>((N314*16%)+N314)+H314+L314</f>
        <v>#VALUE!</v>
      </c>
      <c r="P314" s="21" t="e">
        <f>(((J314-O314)-H314)/1.16)+H314</f>
        <v>#VALUE!</v>
      </c>
      <c r="Q314" s="44"/>
      <c r="R314" s="24"/>
      <c r="S314" s="23" t="e">
        <f t="shared" si="12"/>
        <v>#DIV/0!</v>
      </c>
      <c r="T314" s="23" t="e">
        <f t="shared" si="13"/>
        <v>#DIV/0!</v>
      </c>
      <c r="U314" s="22" t="e">
        <f t="shared" si="14"/>
        <v>#DIV/0!</v>
      </c>
      <c r="V314" s="44"/>
      <c r="W314" s="44"/>
      <c r="X314" s="44"/>
      <c r="Y314" s="44"/>
      <c r="Z314" s="44"/>
    </row>
    <row r="315" spans="1:26" ht="15.75" customHeight="1">
      <c r="A315" s="44"/>
      <c r="B315" s="14"/>
      <c r="C315" s="53"/>
      <c r="D315" s="15"/>
      <c r="E315" s="89"/>
      <c r="F315" s="16"/>
      <c r="G315" s="16"/>
      <c r="H315" s="90" t="str">
        <f>IF(G315="Regular",Listas!$K$16,IF(G315="Premium",Listas!$K$17,IF(G315="Diesel",Listas!$K$18,"-")))</f>
        <v>-</v>
      </c>
      <c r="I315" s="17"/>
      <c r="J315" s="18"/>
      <c r="K315" s="19" t="str">
        <f>+IFERROR(IF(G315="Regular",VLOOKUP(C315,'PRECIO TERMINAL PEMEX'!$B$4:$E$35,2,0),IF(G315="Premium",VLOOKUP(C315,'PRECIO TERMINAL PEMEX'!$B$4:$E$35,3,0),IF(G315="Diesel",VLOOKUP(C315,'PRECIO TERMINAL PEMEX'!$B$4:$E$35,4,0),"Seleccione Producto"))),"-")</f>
        <v>Seleccione Producto</v>
      </c>
      <c r="L315" s="93" t="str">
        <f>+IFERROR(IF(F315="VHSA",VLOOKUP(B315,Listas!$C$4:$F$17,2,0),IF(F315="DOS BOCAS",VLOOKUP(B315,Listas!$C$4:$F$17,3,0),IF(F315="GLENCORE",VLOOKUP(B315,Listas!$C$4:$F$17,4,0),"Seleccione TAR"))),"-")</f>
        <v>Seleccione TAR</v>
      </c>
      <c r="M315" s="19" t="str">
        <f>+IFERROR(IF(G315="Regular",VLOOKUP(C315,'DESCUENTO PROVEEDORES'!$B$4:$E$35,2,0),IF(G315="Premium",VLOOKUP(C315,'DESCUENTO PROVEEDORES'!$B$4:$E$35,3,0),IF(G315="Diesel",VLOOKUP(C315,'DESCUENTO PROVEEDORES'!$B$4:$E$35,4,0),"Seleccione Proveedor"))),"-")</f>
        <v>Seleccione Proveedor</v>
      </c>
      <c r="N315" s="20" t="e">
        <f>((((K315-H315)/1.16)-M315))</f>
        <v>#VALUE!</v>
      </c>
      <c r="O315" s="21" t="e">
        <f>((N315*16%)+N315)+H315+L315</f>
        <v>#VALUE!</v>
      </c>
      <c r="P315" s="21" t="e">
        <f>(((J315-O315)-H315)/1.16)+H315</f>
        <v>#VALUE!</v>
      </c>
      <c r="Q315" s="44"/>
      <c r="R315" s="24"/>
      <c r="S315" s="23" t="e">
        <f t="shared" si="12"/>
        <v>#DIV/0!</v>
      </c>
      <c r="T315" s="23" t="e">
        <f t="shared" si="13"/>
        <v>#DIV/0!</v>
      </c>
      <c r="U315" s="22" t="e">
        <f t="shared" si="14"/>
        <v>#DIV/0!</v>
      </c>
      <c r="V315" s="44"/>
      <c r="W315" s="44"/>
      <c r="X315" s="44"/>
      <c r="Y315" s="44"/>
      <c r="Z315" s="44"/>
    </row>
    <row r="316" spans="1:26" ht="15.75" customHeight="1">
      <c r="A316" s="44"/>
      <c r="B316" s="14"/>
      <c r="C316" s="53"/>
      <c r="D316" s="15"/>
      <c r="E316" s="89"/>
      <c r="F316" s="16"/>
      <c r="G316" s="16"/>
      <c r="H316" s="90" t="str">
        <f>IF(G316="Regular",Listas!$K$16,IF(G316="Premium",Listas!$K$17,IF(G316="Diesel",Listas!$K$18,"-")))</f>
        <v>-</v>
      </c>
      <c r="I316" s="17"/>
      <c r="J316" s="18"/>
      <c r="K316" s="19" t="str">
        <f>+IFERROR(IF(G316="Regular",VLOOKUP(C316,'PRECIO TERMINAL PEMEX'!$B$4:$E$35,2,0),IF(G316="Premium",VLOOKUP(C316,'PRECIO TERMINAL PEMEX'!$B$4:$E$35,3,0),IF(G316="Diesel",VLOOKUP(C316,'PRECIO TERMINAL PEMEX'!$B$4:$E$35,4,0),"Seleccione Producto"))),"-")</f>
        <v>Seleccione Producto</v>
      </c>
      <c r="L316" s="93" t="str">
        <f>+IFERROR(IF(F316="VHSA",VLOOKUP(B316,Listas!$C$4:$F$17,2,0),IF(F316="DOS BOCAS",VLOOKUP(B316,Listas!$C$4:$F$17,3,0),IF(F316="GLENCORE",VLOOKUP(B316,Listas!$C$4:$F$17,4,0),"Seleccione TAR"))),"-")</f>
        <v>Seleccione TAR</v>
      </c>
      <c r="M316" s="19" t="str">
        <f>+IFERROR(IF(G316="Regular",VLOOKUP(C316,'DESCUENTO PROVEEDORES'!$B$4:$E$35,2,0),IF(G316="Premium",VLOOKUP(C316,'DESCUENTO PROVEEDORES'!$B$4:$E$35,3,0),IF(G316="Diesel",VLOOKUP(C316,'DESCUENTO PROVEEDORES'!$B$4:$E$35,4,0),"Seleccione Proveedor"))),"-")</f>
        <v>Seleccione Proveedor</v>
      </c>
      <c r="N316" s="20" t="e">
        <f>((((K316-H316)/1.16)-M316))</f>
        <v>#VALUE!</v>
      </c>
      <c r="O316" s="21" t="e">
        <f>((N316*16%)+N316)+H316+L316</f>
        <v>#VALUE!</v>
      </c>
      <c r="P316" s="21" t="e">
        <f>(((J316-O316)-H316)/1.16)+H316</f>
        <v>#VALUE!</v>
      </c>
      <c r="Q316" s="44"/>
      <c r="R316" s="24"/>
      <c r="S316" s="23" t="e">
        <f t="shared" si="12"/>
        <v>#DIV/0!</v>
      </c>
      <c r="T316" s="23" t="e">
        <f t="shared" si="13"/>
        <v>#DIV/0!</v>
      </c>
      <c r="U316" s="22" t="e">
        <f t="shared" si="14"/>
        <v>#DIV/0!</v>
      </c>
      <c r="V316" s="44"/>
      <c r="W316" s="44"/>
      <c r="X316" s="44"/>
      <c r="Y316" s="44"/>
      <c r="Z316" s="44"/>
    </row>
    <row r="317" spans="1:26" ht="15.75" customHeight="1">
      <c r="A317" s="44"/>
      <c r="B317" s="14"/>
      <c r="C317" s="53"/>
      <c r="D317" s="15"/>
      <c r="E317" s="89"/>
      <c r="F317" s="16"/>
      <c r="G317" s="16"/>
      <c r="H317" s="90" t="str">
        <f>IF(G317="Regular",Listas!$K$16,IF(G317="Premium",Listas!$K$17,IF(G317="Diesel",Listas!$K$18,"-")))</f>
        <v>-</v>
      </c>
      <c r="I317" s="17"/>
      <c r="J317" s="18"/>
      <c r="K317" s="19" t="str">
        <f>+IFERROR(IF(G317="Regular",VLOOKUP(C317,'PRECIO TERMINAL PEMEX'!$B$4:$E$35,2,0),IF(G317="Premium",VLOOKUP(C317,'PRECIO TERMINAL PEMEX'!$B$4:$E$35,3,0),IF(G317="Diesel",VLOOKUP(C317,'PRECIO TERMINAL PEMEX'!$B$4:$E$35,4,0),"Seleccione Producto"))),"-")</f>
        <v>Seleccione Producto</v>
      </c>
      <c r="L317" s="93" t="str">
        <f>+IFERROR(IF(F317="VHSA",VLOOKUP(B317,Listas!$C$4:$F$17,2,0),IF(F317="DOS BOCAS",VLOOKUP(B317,Listas!$C$4:$F$17,3,0),IF(F317="GLENCORE",VLOOKUP(B317,Listas!$C$4:$F$17,4,0),"Seleccione TAR"))),"-")</f>
        <v>Seleccione TAR</v>
      </c>
      <c r="M317" s="19" t="str">
        <f>+IFERROR(IF(G317="Regular",VLOOKUP(C317,'DESCUENTO PROVEEDORES'!$B$4:$E$35,2,0),IF(G317="Premium",VLOOKUP(C317,'DESCUENTO PROVEEDORES'!$B$4:$E$35,3,0),IF(G317="Diesel",VLOOKUP(C317,'DESCUENTO PROVEEDORES'!$B$4:$E$35,4,0),"Seleccione Proveedor"))),"-")</f>
        <v>Seleccione Proveedor</v>
      </c>
      <c r="N317" s="20" t="e">
        <f>((((K317-H317)/1.16)-M317))</f>
        <v>#VALUE!</v>
      </c>
      <c r="O317" s="21" t="e">
        <f>((N317*16%)+N317)+H317+L317</f>
        <v>#VALUE!</v>
      </c>
      <c r="P317" s="21" t="e">
        <f>(((J317-O317)-H317)/1.16)+H317</f>
        <v>#VALUE!</v>
      </c>
      <c r="Q317" s="44"/>
      <c r="R317" s="24"/>
      <c r="S317" s="23" t="e">
        <f t="shared" si="12"/>
        <v>#DIV/0!</v>
      </c>
      <c r="T317" s="23" t="e">
        <f t="shared" si="13"/>
        <v>#DIV/0!</v>
      </c>
      <c r="U317" s="22" t="e">
        <f t="shared" si="14"/>
        <v>#DIV/0!</v>
      </c>
      <c r="V317" s="44"/>
      <c r="W317" s="44"/>
      <c r="X317" s="44"/>
      <c r="Y317" s="44"/>
      <c r="Z317" s="44"/>
    </row>
    <row r="318" spans="1:26" ht="15.75" customHeight="1">
      <c r="A318" s="44"/>
      <c r="B318" s="14"/>
      <c r="C318" s="53"/>
      <c r="D318" s="15"/>
      <c r="E318" s="89"/>
      <c r="F318" s="16"/>
      <c r="G318" s="16"/>
      <c r="H318" s="90" t="str">
        <f>IF(G318="Regular",Listas!$K$16,IF(G318="Premium",Listas!$K$17,IF(G318="Diesel",Listas!$K$18,"-")))</f>
        <v>-</v>
      </c>
      <c r="I318" s="17"/>
      <c r="J318" s="18"/>
      <c r="K318" s="19" t="str">
        <f>+IFERROR(IF(G318="Regular",VLOOKUP(C318,'PRECIO TERMINAL PEMEX'!$B$4:$E$35,2,0),IF(G318="Premium",VLOOKUP(C318,'PRECIO TERMINAL PEMEX'!$B$4:$E$35,3,0),IF(G318="Diesel",VLOOKUP(C318,'PRECIO TERMINAL PEMEX'!$B$4:$E$35,4,0),"Seleccione Producto"))),"-")</f>
        <v>Seleccione Producto</v>
      </c>
      <c r="L318" s="93" t="str">
        <f>+IFERROR(IF(F318="VHSA",VLOOKUP(B318,Listas!$C$4:$F$17,2,0),IF(F318="DOS BOCAS",VLOOKUP(B318,Listas!$C$4:$F$17,3,0),IF(F318="GLENCORE",VLOOKUP(B318,Listas!$C$4:$F$17,4,0),"Seleccione TAR"))),"-")</f>
        <v>Seleccione TAR</v>
      </c>
      <c r="M318" s="19" t="str">
        <f>+IFERROR(IF(G318="Regular",VLOOKUP(C318,'DESCUENTO PROVEEDORES'!$B$4:$E$35,2,0),IF(G318="Premium",VLOOKUP(C318,'DESCUENTO PROVEEDORES'!$B$4:$E$35,3,0),IF(G318="Diesel",VLOOKUP(C318,'DESCUENTO PROVEEDORES'!$B$4:$E$35,4,0),"Seleccione Proveedor"))),"-")</f>
        <v>Seleccione Proveedor</v>
      </c>
      <c r="N318" s="20" t="e">
        <f>((((K318-H318)/1.16)-M318))</f>
        <v>#VALUE!</v>
      </c>
      <c r="O318" s="21" t="e">
        <f>((N318*16%)+N318)+H318+L318</f>
        <v>#VALUE!</v>
      </c>
      <c r="P318" s="21" t="e">
        <f>(((J318-O318)-H318)/1.16)+H318</f>
        <v>#VALUE!</v>
      </c>
      <c r="Q318" s="44"/>
      <c r="R318" s="24"/>
      <c r="S318" s="23" t="e">
        <f t="shared" si="12"/>
        <v>#DIV/0!</v>
      </c>
      <c r="T318" s="23" t="e">
        <f t="shared" si="13"/>
        <v>#DIV/0!</v>
      </c>
      <c r="U318" s="22" t="e">
        <f t="shared" si="14"/>
        <v>#DIV/0!</v>
      </c>
      <c r="V318" s="44"/>
      <c r="W318" s="44"/>
      <c r="X318" s="44"/>
      <c r="Y318" s="44"/>
      <c r="Z318" s="44"/>
    </row>
    <row r="319" spans="1:26" ht="15.75" customHeight="1">
      <c r="A319" s="44"/>
      <c r="B319" s="14"/>
      <c r="C319" s="53"/>
      <c r="D319" s="15"/>
      <c r="E319" s="89"/>
      <c r="F319" s="16"/>
      <c r="G319" s="16"/>
      <c r="H319" s="90" t="str">
        <f>IF(G319="Regular",Listas!$K$16,IF(G319="Premium",Listas!$K$17,IF(G319="Diesel",Listas!$K$18,"-")))</f>
        <v>-</v>
      </c>
      <c r="I319" s="17"/>
      <c r="J319" s="18"/>
      <c r="K319" s="19" t="str">
        <f>+IFERROR(IF(G319="Regular",VLOOKUP(C319,'PRECIO TERMINAL PEMEX'!$B$4:$E$35,2,0),IF(G319="Premium",VLOOKUP(C319,'PRECIO TERMINAL PEMEX'!$B$4:$E$35,3,0),IF(G319="Diesel",VLOOKUP(C319,'PRECIO TERMINAL PEMEX'!$B$4:$E$35,4,0),"Seleccione Producto"))),"-")</f>
        <v>Seleccione Producto</v>
      </c>
      <c r="L319" s="93" t="str">
        <f>+IFERROR(IF(F319="VHSA",VLOOKUP(B319,Listas!$C$4:$F$17,2,0),IF(F319="DOS BOCAS",VLOOKUP(B319,Listas!$C$4:$F$17,3,0),IF(F319="GLENCORE",VLOOKUP(B319,Listas!$C$4:$F$17,4,0),"Seleccione TAR"))),"-")</f>
        <v>Seleccione TAR</v>
      </c>
      <c r="M319" s="19" t="str">
        <f>+IFERROR(IF(G319="Regular",VLOOKUP(C319,'DESCUENTO PROVEEDORES'!$B$4:$E$35,2,0),IF(G319="Premium",VLOOKUP(C319,'DESCUENTO PROVEEDORES'!$B$4:$E$35,3,0),IF(G319="Diesel",VLOOKUP(C319,'DESCUENTO PROVEEDORES'!$B$4:$E$35,4,0),"Seleccione Proveedor"))),"-")</f>
        <v>Seleccione Proveedor</v>
      </c>
      <c r="N319" s="20" t="e">
        <f>((((K319-H319)/1.16)-M319))</f>
        <v>#VALUE!</v>
      </c>
      <c r="O319" s="21" t="e">
        <f>((N319*16%)+N319)+H319+L319</f>
        <v>#VALUE!</v>
      </c>
      <c r="P319" s="21" t="e">
        <f>(((J319-O319)-H319)/1.16)+H319</f>
        <v>#VALUE!</v>
      </c>
      <c r="Q319" s="44"/>
      <c r="R319" s="24"/>
      <c r="S319" s="23" t="e">
        <f t="shared" si="12"/>
        <v>#DIV/0!</v>
      </c>
      <c r="T319" s="23" t="e">
        <f t="shared" si="13"/>
        <v>#DIV/0!</v>
      </c>
      <c r="U319" s="22" t="e">
        <f t="shared" si="14"/>
        <v>#DIV/0!</v>
      </c>
      <c r="V319" s="44"/>
      <c r="W319" s="44"/>
      <c r="X319" s="44"/>
      <c r="Y319" s="44"/>
      <c r="Z319" s="44"/>
    </row>
    <row r="320" spans="1:26" ht="15.75" customHeight="1">
      <c r="A320" s="44"/>
      <c r="B320" s="14"/>
      <c r="C320" s="53"/>
      <c r="D320" s="15"/>
      <c r="E320" s="89"/>
      <c r="F320" s="16"/>
      <c r="G320" s="16"/>
      <c r="H320" s="90" t="str">
        <f>IF(G320="Regular",Listas!$K$16,IF(G320="Premium",Listas!$K$17,IF(G320="Diesel",Listas!$K$18,"-")))</f>
        <v>-</v>
      </c>
      <c r="I320" s="17"/>
      <c r="J320" s="18"/>
      <c r="K320" s="19" t="str">
        <f>+IFERROR(IF(G320="Regular",VLOOKUP(C320,'PRECIO TERMINAL PEMEX'!$B$4:$E$35,2,0),IF(G320="Premium",VLOOKUP(C320,'PRECIO TERMINAL PEMEX'!$B$4:$E$35,3,0),IF(G320="Diesel",VLOOKUP(C320,'PRECIO TERMINAL PEMEX'!$B$4:$E$35,4,0),"Seleccione Producto"))),"-")</f>
        <v>Seleccione Producto</v>
      </c>
      <c r="L320" s="93" t="str">
        <f>+IFERROR(IF(F320="VHSA",VLOOKUP(B320,Listas!$C$4:$F$17,2,0),IF(F320="DOS BOCAS",VLOOKUP(B320,Listas!$C$4:$F$17,3,0),IF(F320="GLENCORE",VLOOKUP(B320,Listas!$C$4:$F$17,4,0),"Seleccione TAR"))),"-")</f>
        <v>Seleccione TAR</v>
      </c>
      <c r="M320" s="19" t="str">
        <f>+IFERROR(IF(G320="Regular",VLOOKUP(C320,'DESCUENTO PROVEEDORES'!$B$4:$E$35,2,0),IF(G320="Premium",VLOOKUP(C320,'DESCUENTO PROVEEDORES'!$B$4:$E$35,3,0),IF(G320="Diesel",VLOOKUP(C320,'DESCUENTO PROVEEDORES'!$B$4:$E$35,4,0),"Seleccione Proveedor"))),"-")</f>
        <v>Seleccione Proveedor</v>
      </c>
      <c r="N320" s="20" t="e">
        <f>((((K320-H320)/1.16)-M320))</f>
        <v>#VALUE!</v>
      </c>
      <c r="O320" s="21" t="e">
        <f>((N320*16%)+N320)+H320+L320</f>
        <v>#VALUE!</v>
      </c>
      <c r="P320" s="21" t="e">
        <f>(((J320-O320)-H320)/1.16)+H320</f>
        <v>#VALUE!</v>
      </c>
      <c r="Q320" s="44"/>
      <c r="R320" s="24"/>
      <c r="S320" s="23" t="e">
        <f t="shared" si="12"/>
        <v>#DIV/0!</v>
      </c>
      <c r="T320" s="23" t="e">
        <f t="shared" si="13"/>
        <v>#DIV/0!</v>
      </c>
      <c r="U320" s="22" t="e">
        <f t="shared" si="14"/>
        <v>#DIV/0!</v>
      </c>
      <c r="V320" s="44"/>
      <c r="W320" s="44"/>
      <c r="X320" s="44"/>
      <c r="Y320" s="44"/>
      <c r="Z320" s="44"/>
    </row>
    <row r="321" spans="1:26" ht="15.75" customHeight="1">
      <c r="A321" s="44"/>
      <c r="B321" s="14"/>
      <c r="C321" s="53"/>
      <c r="D321" s="15"/>
      <c r="E321" s="89"/>
      <c r="F321" s="16"/>
      <c r="G321" s="16"/>
      <c r="H321" s="90" t="str">
        <f>IF(G321="Regular",Listas!$K$16,IF(G321="Premium",Listas!$K$17,IF(G321="Diesel",Listas!$K$18,"-")))</f>
        <v>-</v>
      </c>
      <c r="I321" s="17"/>
      <c r="J321" s="18"/>
      <c r="K321" s="19" t="str">
        <f>+IFERROR(IF(G321="Regular",VLOOKUP(C321,'PRECIO TERMINAL PEMEX'!$B$4:$E$35,2,0),IF(G321="Premium",VLOOKUP(C321,'PRECIO TERMINAL PEMEX'!$B$4:$E$35,3,0),IF(G321="Diesel",VLOOKUP(C321,'PRECIO TERMINAL PEMEX'!$B$4:$E$35,4,0),"Seleccione Producto"))),"-")</f>
        <v>Seleccione Producto</v>
      </c>
      <c r="L321" s="93" t="str">
        <f>+IFERROR(IF(F321="VHSA",VLOOKUP(B321,Listas!$C$4:$F$17,2,0),IF(F321="DOS BOCAS",VLOOKUP(B321,Listas!$C$4:$F$17,3,0),IF(F321="GLENCORE",VLOOKUP(B321,Listas!$C$4:$F$17,4,0),"Seleccione TAR"))),"-")</f>
        <v>Seleccione TAR</v>
      </c>
      <c r="M321" s="19" t="str">
        <f>+IFERROR(IF(G321="Regular",VLOOKUP(C321,'DESCUENTO PROVEEDORES'!$B$4:$E$35,2,0),IF(G321="Premium",VLOOKUP(C321,'DESCUENTO PROVEEDORES'!$B$4:$E$35,3,0),IF(G321="Diesel",VLOOKUP(C321,'DESCUENTO PROVEEDORES'!$B$4:$E$35,4,0),"Seleccione Proveedor"))),"-")</f>
        <v>Seleccione Proveedor</v>
      </c>
      <c r="N321" s="20" t="e">
        <f>((((K321-H321)/1.16)-M321))</f>
        <v>#VALUE!</v>
      </c>
      <c r="O321" s="21" t="e">
        <f>((N321*16%)+N321)+H321+L321</f>
        <v>#VALUE!</v>
      </c>
      <c r="P321" s="21" t="e">
        <f>(((J321-O321)-H321)/1.16)+H321</f>
        <v>#VALUE!</v>
      </c>
      <c r="Q321" s="44"/>
      <c r="R321" s="24"/>
      <c r="S321" s="23" t="e">
        <f t="shared" si="12"/>
        <v>#DIV/0!</v>
      </c>
      <c r="T321" s="23" t="e">
        <f t="shared" si="13"/>
        <v>#DIV/0!</v>
      </c>
      <c r="U321" s="22" t="e">
        <f t="shared" si="14"/>
        <v>#DIV/0!</v>
      </c>
      <c r="V321" s="44"/>
      <c r="W321" s="44"/>
      <c r="X321" s="44"/>
      <c r="Y321" s="44"/>
      <c r="Z321" s="44"/>
    </row>
    <row r="322" spans="1:26" ht="15.75" customHeight="1">
      <c r="A322" s="44"/>
      <c r="B322" s="14"/>
      <c r="C322" s="53"/>
      <c r="D322" s="15"/>
      <c r="E322" s="89"/>
      <c r="F322" s="16"/>
      <c r="G322" s="16"/>
      <c r="H322" s="90" t="str">
        <f>IF(G322="Regular",Listas!$K$16,IF(G322="Premium",Listas!$K$17,IF(G322="Diesel",Listas!$K$18,"-")))</f>
        <v>-</v>
      </c>
      <c r="I322" s="17"/>
      <c r="J322" s="18"/>
      <c r="K322" s="19" t="str">
        <f>+IFERROR(IF(G322="Regular",VLOOKUP(C322,'PRECIO TERMINAL PEMEX'!$B$4:$E$35,2,0),IF(G322="Premium",VLOOKUP(C322,'PRECIO TERMINAL PEMEX'!$B$4:$E$35,3,0),IF(G322="Diesel",VLOOKUP(C322,'PRECIO TERMINAL PEMEX'!$B$4:$E$35,4,0),"Seleccione Producto"))),"-")</f>
        <v>Seleccione Producto</v>
      </c>
      <c r="L322" s="93" t="str">
        <f>+IFERROR(IF(F322="VHSA",VLOOKUP(B322,Listas!$C$4:$F$17,2,0),IF(F322="DOS BOCAS",VLOOKUP(B322,Listas!$C$4:$F$17,3,0),IF(F322="GLENCORE",VLOOKUP(B322,Listas!$C$4:$F$17,4,0),"Seleccione TAR"))),"-")</f>
        <v>Seleccione TAR</v>
      </c>
      <c r="M322" s="19" t="str">
        <f>+IFERROR(IF(G322="Regular",VLOOKUP(C322,'DESCUENTO PROVEEDORES'!$B$4:$E$35,2,0),IF(G322="Premium",VLOOKUP(C322,'DESCUENTO PROVEEDORES'!$B$4:$E$35,3,0),IF(G322="Diesel",VLOOKUP(C322,'DESCUENTO PROVEEDORES'!$B$4:$E$35,4,0),"Seleccione Proveedor"))),"-")</f>
        <v>Seleccione Proveedor</v>
      </c>
      <c r="N322" s="20" t="e">
        <f>((((K322-H322)/1.16)-M322))</f>
        <v>#VALUE!</v>
      </c>
      <c r="O322" s="21" t="e">
        <f>((N322*16%)+N322)+H322+L322</f>
        <v>#VALUE!</v>
      </c>
      <c r="P322" s="21" t="e">
        <f>(((J322-O322)-H322)/1.16)+H322</f>
        <v>#VALUE!</v>
      </c>
      <c r="Q322" s="44"/>
      <c r="R322" s="24"/>
      <c r="S322" s="23" t="e">
        <f t="shared" si="12"/>
        <v>#DIV/0!</v>
      </c>
      <c r="T322" s="23" t="e">
        <f t="shared" si="13"/>
        <v>#DIV/0!</v>
      </c>
      <c r="U322" s="22" t="e">
        <f t="shared" si="14"/>
        <v>#DIV/0!</v>
      </c>
      <c r="V322" s="44"/>
      <c r="W322" s="44"/>
      <c r="X322" s="44"/>
      <c r="Y322" s="44"/>
      <c r="Z322" s="44"/>
    </row>
    <row r="323" spans="1:26" ht="15.75" customHeight="1">
      <c r="A323" s="44"/>
      <c r="B323" s="14"/>
      <c r="C323" s="53"/>
      <c r="D323" s="15"/>
      <c r="E323" s="89"/>
      <c r="F323" s="16"/>
      <c r="G323" s="16"/>
      <c r="H323" s="90" t="str">
        <f>IF(G323="Regular",Listas!$K$16,IF(G323="Premium",Listas!$K$17,IF(G323="Diesel",Listas!$K$18,"-")))</f>
        <v>-</v>
      </c>
      <c r="I323" s="17"/>
      <c r="J323" s="18"/>
      <c r="K323" s="19" t="str">
        <f>+IFERROR(IF(G323="Regular",VLOOKUP(C323,'PRECIO TERMINAL PEMEX'!$B$4:$E$35,2,0),IF(G323="Premium",VLOOKUP(C323,'PRECIO TERMINAL PEMEX'!$B$4:$E$35,3,0),IF(G323="Diesel",VLOOKUP(C323,'PRECIO TERMINAL PEMEX'!$B$4:$E$35,4,0),"Seleccione Producto"))),"-")</f>
        <v>Seleccione Producto</v>
      </c>
      <c r="L323" s="93" t="str">
        <f>+IFERROR(IF(F323="VHSA",VLOOKUP(B323,Listas!$C$4:$F$17,2,0),IF(F323="DOS BOCAS",VLOOKUP(B323,Listas!$C$4:$F$17,3,0),IF(F323="GLENCORE",VLOOKUP(B323,Listas!$C$4:$F$17,4,0),"Seleccione TAR"))),"-")</f>
        <v>Seleccione TAR</v>
      </c>
      <c r="M323" s="19" t="str">
        <f>+IFERROR(IF(G323="Regular",VLOOKUP(C323,'DESCUENTO PROVEEDORES'!$B$4:$E$35,2,0),IF(G323="Premium",VLOOKUP(C323,'DESCUENTO PROVEEDORES'!$B$4:$E$35,3,0),IF(G323="Diesel",VLOOKUP(C323,'DESCUENTO PROVEEDORES'!$B$4:$E$35,4,0),"Seleccione Proveedor"))),"-")</f>
        <v>Seleccione Proveedor</v>
      </c>
      <c r="N323" s="20" t="e">
        <f>((((K323-H323)/1.16)-M323))</f>
        <v>#VALUE!</v>
      </c>
      <c r="O323" s="21" t="e">
        <f>((N323*16%)+N323)+H323+L323</f>
        <v>#VALUE!</v>
      </c>
      <c r="P323" s="21" t="e">
        <f>(((J323-O323)-H323)/1.16)+H323</f>
        <v>#VALUE!</v>
      </c>
      <c r="Q323" s="44"/>
      <c r="R323" s="24"/>
      <c r="S323" s="23" t="e">
        <f t="shared" si="12"/>
        <v>#DIV/0!</v>
      </c>
      <c r="T323" s="23" t="e">
        <f t="shared" si="13"/>
        <v>#DIV/0!</v>
      </c>
      <c r="U323" s="22" t="e">
        <f t="shared" si="14"/>
        <v>#DIV/0!</v>
      </c>
      <c r="V323" s="44"/>
      <c r="W323" s="44"/>
      <c r="X323" s="44"/>
      <c r="Y323" s="44"/>
      <c r="Z323" s="44"/>
    </row>
    <row r="324" spans="1:26" ht="15.75" customHeight="1">
      <c r="A324" s="44"/>
      <c r="B324" s="14"/>
      <c r="C324" s="53"/>
      <c r="D324" s="15"/>
      <c r="E324" s="89"/>
      <c r="F324" s="16"/>
      <c r="G324" s="16"/>
      <c r="H324" s="90" t="str">
        <f>IF(G324="Regular",Listas!$K$16,IF(G324="Premium",Listas!$K$17,IF(G324="Diesel",Listas!$K$18,"-")))</f>
        <v>-</v>
      </c>
      <c r="I324" s="17"/>
      <c r="J324" s="18"/>
      <c r="K324" s="19" t="str">
        <f>+IFERROR(IF(G324="Regular",VLOOKUP(C324,'PRECIO TERMINAL PEMEX'!$B$4:$E$35,2,0),IF(G324="Premium",VLOOKUP(C324,'PRECIO TERMINAL PEMEX'!$B$4:$E$35,3,0),IF(G324="Diesel",VLOOKUP(C324,'PRECIO TERMINAL PEMEX'!$B$4:$E$35,4,0),"Seleccione Producto"))),"-")</f>
        <v>Seleccione Producto</v>
      </c>
      <c r="L324" s="93" t="str">
        <f>+IFERROR(IF(F324="VHSA",VLOOKUP(B324,Listas!$C$4:$F$17,2,0),IF(F324="DOS BOCAS",VLOOKUP(B324,Listas!$C$4:$F$17,3,0),IF(F324="GLENCORE",VLOOKUP(B324,Listas!$C$4:$F$17,4,0),"Seleccione TAR"))),"-")</f>
        <v>Seleccione TAR</v>
      </c>
      <c r="M324" s="19" t="str">
        <f>+IFERROR(IF(G324="Regular",VLOOKUP(C324,'DESCUENTO PROVEEDORES'!$B$4:$E$35,2,0),IF(G324="Premium",VLOOKUP(C324,'DESCUENTO PROVEEDORES'!$B$4:$E$35,3,0),IF(G324="Diesel",VLOOKUP(C324,'DESCUENTO PROVEEDORES'!$B$4:$E$35,4,0),"Seleccione Proveedor"))),"-")</f>
        <v>Seleccione Proveedor</v>
      </c>
      <c r="N324" s="20" t="e">
        <f>((((K324-H324)/1.16)-M324))</f>
        <v>#VALUE!</v>
      </c>
      <c r="O324" s="21" t="e">
        <f>((N324*16%)+N324)+H324+L324</f>
        <v>#VALUE!</v>
      </c>
      <c r="P324" s="21" t="e">
        <f>(((J324-O324)-H324)/1.16)+H324</f>
        <v>#VALUE!</v>
      </c>
      <c r="Q324" s="44"/>
      <c r="R324" s="24"/>
      <c r="S324" s="23" t="e">
        <f t="shared" si="12"/>
        <v>#DIV/0!</v>
      </c>
      <c r="T324" s="23" t="e">
        <f t="shared" si="13"/>
        <v>#DIV/0!</v>
      </c>
      <c r="U324" s="22" t="e">
        <f t="shared" si="14"/>
        <v>#DIV/0!</v>
      </c>
      <c r="V324" s="44"/>
      <c r="W324" s="44"/>
      <c r="X324" s="44"/>
      <c r="Y324" s="44"/>
      <c r="Z324" s="44"/>
    </row>
    <row r="325" spans="1:26" ht="15.75" customHeight="1">
      <c r="A325" s="44"/>
      <c r="B325" s="14"/>
      <c r="C325" s="53"/>
      <c r="D325" s="15"/>
      <c r="E325" s="89"/>
      <c r="F325" s="16"/>
      <c r="G325" s="16"/>
      <c r="H325" s="90" t="str">
        <f>IF(G325="Regular",Listas!$K$16,IF(G325="Premium",Listas!$K$17,IF(G325="Diesel",Listas!$K$18,"-")))</f>
        <v>-</v>
      </c>
      <c r="I325" s="17"/>
      <c r="J325" s="18"/>
      <c r="K325" s="19" t="str">
        <f>+IFERROR(IF(G325="Regular",VLOOKUP(C325,'PRECIO TERMINAL PEMEX'!$B$4:$E$35,2,0),IF(G325="Premium",VLOOKUP(C325,'PRECIO TERMINAL PEMEX'!$B$4:$E$35,3,0),IF(G325="Diesel",VLOOKUP(C325,'PRECIO TERMINAL PEMEX'!$B$4:$E$35,4,0),"Seleccione Producto"))),"-")</f>
        <v>Seleccione Producto</v>
      </c>
      <c r="L325" s="93" t="str">
        <f>+IFERROR(IF(F325="VHSA",VLOOKUP(B325,Listas!$C$4:$F$17,2,0),IF(F325="DOS BOCAS",VLOOKUP(B325,Listas!$C$4:$F$17,3,0),IF(F325="GLENCORE",VLOOKUP(B325,Listas!$C$4:$F$17,4,0),"Seleccione TAR"))),"-")</f>
        <v>Seleccione TAR</v>
      </c>
      <c r="M325" s="19" t="str">
        <f>+IFERROR(IF(G325="Regular",VLOOKUP(C325,'DESCUENTO PROVEEDORES'!$B$4:$E$35,2,0),IF(G325="Premium",VLOOKUP(C325,'DESCUENTO PROVEEDORES'!$B$4:$E$35,3,0),IF(G325="Diesel",VLOOKUP(C325,'DESCUENTO PROVEEDORES'!$B$4:$E$35,4,0),"Seleccione Proveedor"))),"-")</f>
        <v>Seleccione Proveedor</v>
      </c>
      <c r="N325" s="20" t="e">
        <f>((((K325-H325)/1.16)-M325))</f>
        <v>#VALUE!</v>
      </c>
      <c r="O325" s="21" t="e">
        <f>((N325*16%)+N325)+H325+L325</f>
        <v>#VALUE!</v>
      </c>
      <c r="P325" s="21" t="e">
        <f>(((J325-O325)-H325)/1.16)+H325</f>
        <v>#VALUE!</v>
      </c>
      <c r="Q325" s="44"/>
      <c r="R325" s="24"/>
      <c r="S325" s="23" t="e">
        <f t="shared" ref="S325:S388" si="15">R325/I325</f>
        <v>#DIV/0!</v>
      </c>
      <c r="T325" s="23" t="e">
        <f t="shared" ref="T325:T388" si="16">(J325-S325)/1.16</f>
        <v>#DIV/0!</v>
      </c>
      <c r="U325" s="22" t="e">
        <f t="shared" ref="U325:U388" si="17">+T325-P325</f>
        <v>#DIV/0!</v>
      </c>
      <c r="V325" s="44"/>
      <c r="W325" s="44"/>
      <c r="X325" s="44"/>
      <c r="Y325" s="44"/>
      <c r="Z325" s="44"/>
    </row>
    <row r="326" spans="1:26" ht="15.75" customHeight="1">
      <c r="A326" s="44"/>
      <c r="B326" s="14"/>
      <c r="C326" s="53"/>
      <c r="D326" s="15"/>
      <c r="E326" s="89"/>
      <c r="F326" s="16"/>
      <c r="G326" s="16"/>
      <c r="H326" s="90" t="str">
        <f>IF(G326="Regular",Listas!$K$16,IF(G326="Premium",Listas!$K$17,IF(G326="Diesel",Listas!$K$18,"-")))</f>
        <v>-</v>
      </c>
      <c r="I326" s="17"/>
      <c r="J326" s="18"/>
      <c r="K326" s="19" t="str">
        <f>+IFERROR(IF(G326="Regular",VLOOKUP(C326,'PRECIO TERMINAL PEMEX'!$B$4:$E$35,2,0),IF(G326="Premium",VLOOKUP(C326,'PRECIO TERMINAL PEMEX'!$B$4:$E$35,3,0),IF(G326="Diesel",VLOOKUP(C326,'PRECIO TERMINAL PEMEX'!$B$4:$E$35,4,0),"Seleccione Producto"))),"-")</f>
        <v>Seleccione Producto</v>
      </c>
      <c r="L326" s="93" t="str">
        <f>+IFERROR(IF(F326="VHSA",VLOOKUP(B326,Listas!$C$4:$F$17,2,0),IF(F326="DOS BOCAS",VLOOKUP(B326,Listas!$C$4:$F$17,3,0),IF(F326="GLENCORE",VLOOKUP(B326,Listas!$C$4:$F$17,4,0),"Seleccione TAR"))),"-")</f>
        <v>Seleccione TAR</v>
      </c>
      <c r="M326" s="19" t="str">
        <f>+IFERROR(IF(G326="Regular",VLOOKUP(C326,'DESCUENTO PROVEEDORES'!$B$4:$E$35,2,0),IF(G326="Premium",VLOOKUP(C326,'DESCUENTO PROVEEDORES'!$B$4:$E$35,3,0),IF(G326="Diesel",VLOOKUP(C326,'DESCUENTO PROVEEDORES'!$B$4:$E$35,4,0),"Seleccione Proveedor"))),"-")</f>
        <v>Seleccione Proveedor</v>
      </c>
      <c r="N326" s="20" t="e">
        <f>((((K326-H326)/1.16)-M326))</f>
        <v>#VALUE!</v>
      </c>
      <c r="O326" s="21" t="e">
        <f>((N326*16%)+N326)+H326+L326</f>
        <v>#VALUE!</v>
      </c>
      <c r="P326" s="21" t="e">
        <f>(((J326-O326)-H326)/1.16)+H326</f>
        <v>#VALUE!</v>
      </c>
      <c r="Q326" s="44"/>
      <c r="R326" s="24"/>
      <c r="S326" s="23" t="e">
        <f t="shared" si="15"/>
        <v>#DIV/0!</v>
      </c>
      <c r="T326" s="23" t="e">
        <f t="shared" si="16"/>
        <v>#DIV/0!</v>
      </c>
      <c r="U326" s="22" t="e">
        <f t="shared" si="17"/>
        <v>#DIV/0!</v>
      </c>
      <c r="V326" s="44"/>
      <c r="W326" s="44"/>
      <c r="X326" s="44"/>
      <c r="Y326" s="44"/>
      <c r="Z326" s="44"/>
    </row>
    <row r="327" spans="1:26" ht="15.75" customHeight="1">
      <c r="A327" s="44"/>
      <c r="B327" s="14"/>
      <c r="C327" s="53"/>
      <c r="D327" s="15"/>
      <c r="E327" s="89"/>
      <c r="F327" s="16"/>
      <c r="G327" s="16"/>
      <c r="H327" s="90" t="str">
        <f>IF(G327="Regular",Listas!$K$16,IF(G327="Premium",Listas!$K$17,IF(G327="Diesel",Listas!$K$18,"-")))</f>
        <v>-</v>
      </c>
      <c r="I327" s="17"/>
      <c r="J327" s="18"/>
      <c r="K327" s="19" t="str">
        <f>+IFERROR(IF(G327="Regular",VLOOKUP(C327,'PRECIO TERMINAL PEMEX'!$B$4:$E$35,2,0),IF(G327="Premium",VLOOKUP(C327,'PRECIO TERMINAL PEMEX'!$B$4:$E$35,3,0),IF(G327="Diesel",VLOOKUP(C327,'PRECIO TERMINAL PEMEX'!$B$4:$E$35,4,0),"Seleccione Producto"))),"-")</f>
        <v>Seleccione Producto</v>
      </c>
      <c r="L327" s="93" t="str">
        <f>+IFERROR(IF(F327="VHSA",VLOOKUP(B327,Listas!$C$4:$F$17,2,0),IF(F327="DOS BOCAS",VLOOKUP(B327,Listas!$C$4:$F$17,3,0),IF(F327="GLENCORE",VLOOKUP(B327,Listas!$C$4:$F$17,4,0),"Seleccione TAR"))),"-")</f>
        <v>Seleccione TAR</v>
      </c>
      <c r="M327" s="19" t="str">
        <f>+IFERROR(IF(G327="Regular",VLOOKUP(C327,'DESCUENTO PROVEEDORES'!$B$4:$E$35,2,0),IF(G327="Premium",VLOOKUP(C327,'DESCUENTO PROVEEDORES'!$B$4:$E$35,3,0),IF(G327="Diesel",VLOOKUP(C327,'DESCUENTO PROVEEDORES'!$B$4:$E$35,4,0),"Seleccione Proveedor"))),"-")</f>
        <v>Seleccione Proveedor</v>
      </c>
      <c r="N327" s="20" t="e">
        <f>((((K327-H327)/1.16)-M327))</f>
        <v>#VALUE!</v>
      </c>
      <c r="O327" s="21" t="e">
        <f>((N327*16%)+N327)+H327+L327</f>
        <v>#VALUE!</v>
      </c>
      <c r="P327" s="21" t="e">
        <f>(((J327-O327)-H327)/1.16)+H327</f>
        <v>#VALUE!</v>
      </c>
      <c r="Q327" s="44"/>
      <c r="R327" s="24"/>
      <c r="S327" s="23" t="e">
        <f t="shared" si="15"/>
        <v>#DIV/0!</v>
      </c>
      <c r="T327" s="23" t="e">
        <f t="shared" si="16"/>
        <v>#DIV/0!</v>
      </c>
      <c r="U327" s="22" t="e">
        <f t="shared" si="17"/>
        <v>#DIV/0!</v>
      </c>
      <c r="V327" s="44"/>
      <c r="W327" s="44"/>
      <c r="X327" s="44"/>
      <c r="Y327" s="44"/>
      <c r="Z327" s="44"/>
    </row>
    <row r="328" spans="1:26" ht="15.75" customHeight="1">
      <c r="A328" s="44"/>
      <c r="B328" s="14"/>
      <c r="C328" s="53"/>
      <c r="D328" s="15"/>
      <c r="E328" s="89"/>
      <c r="F328" s="16"/>
      <c r="G328" s="16"/>
      <c r="H328" s="90" t="str">
        <f>IF(G328="Regular",Listas!$K$16,IF(G328="Premium",Listas!$K$17,IF(G328="Diesel",Listas!$K$18,"-")))</f>
        <v>-</v>
      </c>
      <c r="I328" s="17"/>
      <c r="J328" s="18"/>
      <c r="K328" s="19" t="str">
        <f>+IFERROR(IF(G328="Regular",VLOOKUP(C328,'PRECIO TERMINAL PEMEX'!$B$4:$E$35,2,0),IF(G328="Premium",VLOOKUP(C328,'PRECIO TERMINAL PEMEX'!$B$4:$E$35,3,0),IF(G328="Diesel",VLOOKUP(C328,'PRECIO TERMINAL PEMEX'!$B$4:$E$35,4,0),"Seleccione Producto"))),"-")</f>
        <v>Seleccione Producto</v>
      </c>
      <c r="L328" s="93" t="str">
        <f>+IFERROR(IF(F328="VHSA",VLOOKUP(B328,Listas!$C$4:$F$17,2,0),IF(F328="DOS BOCAS",VLOOKUP(B328,Listas!$C$4:$F$17,3,0),IF(F328="GLENCORE",VLOOKUP(B328,Listas!$C$4:$F$17,4,0),"Seleccione TAR"))),"-")</f>
        <v>Seleccione TAR</v>
      </c>
      <c r="M328" s="19" t="str">
        <f>+IFERROR(IF(G328="Regular",VLOOKUP(C328,'DESCUENTO PROVEEDORES'!$B$4:$E$35,2,0),IF(G328="Premium",VLOOKUP(C328,'DESCUENTO PROVEEDORES'!$B$4:$E$35,3,0),IF(G328="Diesel",VLOOKUP(C328,'DESCUENTO PROVEEDORES'!$B$4:$E$35,4,0),"Seleccione Proveedor"))),"-")</f>
        <v>Seleccione Proveedor</v>
      </c>
      <c r="N328" s="20" t="e">
        <f>((((K328-H328)/1.16)-M328))</f>
        <v>#VALUE!</v>
      </c>
      <c r="O328" s="21" t="e">
        <f>((N328*16%)+N328)+H328+L328</f>
        <v>#VALUE!</v>
      </c>
      <c r="P328" s="21" t="e">
        <f>(((J328-O328)-H328)/1.16)+H328</f>
        <v>#VALUE!</v>
      </c>
      <c r="Q328" s="44"/>
      <c r="R328" s="24"/>
      <c r="S328" s="23" t="e">
        <f t="shared" si="15"/>
        <v>#DIV/0!</v>
      </c>
      <c r="T328" s="23" t="e">
        <f t="shared" si="16"/>
        <v>#DIV/0!</v>
      </c>
      <c r="U328" s="22" t="e">
        <f t="shared" si="17"/>
        <v>#DIV/0!</v>
      </c>
      <c r="V328" s="44"/>
      <c r="W328" s="44"/>
      <c r="X328" s="44"/>
      <c r="Y328" s="44"/>
      <c r="Z328" s="44"/>
    </row>
    <row r="329" spans="1:26" ht="15.75" customHeight="1">
      <c r="A329" s="44"/>
      <c r="B329" s="14"/>
      <c r="C329" s="53"/>
      <c r="D329" s="15"/>
      <c r="E329" s="89"/>
      <c r="F329" s="16"/>
      <c r="G329" s="16"/>
      <c r="H329" s="90" t="str">
        <f>IF(G329="Regular",Listas!$K$16,IF(G329="Premium",Listas!$K$17,IF(G329="Diesel",Listas!$K$18,"-")))</f>
        <v>-</v>
      </c>
      <c r="I329" s="17"/>
      <c r="J329" s="18"/>
      <c r="K329" s="19" t="str">
        <f>+IFERROR(IF(G329="Regular",VLOOKUP(C329,'PRECIO TERMINAL PEMEX'!$B$4:$E$35,2,0),IF(G329="Premium",VLOOKUP(C329,'PRECIO TERMINAL PEMEX'!$B$4:$E$35,3,0),IF(G329="Diesel",VLOOKUP(C329,'PRECIO TERMINAL PEMEX'!$B$4:$E$35,4,0),"Seleccione Producto"))),"-")</f>
        <v>Seleccione Producto</v>
      </c>
      <c r="L329" s="93" t="str">
        <f>+IFERROR(IF(F329="VHSA",VLOOKUP(B329,Listas!$C$4:$F$17,2,0),IF(F329="DOS BOCAS",VLOOKUP(B329,Listas!$C$4:$F$17,3,0),IF(F329="GLENCORE",VLOOKUP(B329,Listas!$C$4:$F$17,4,0),"Seleccione TAR"))),"-")</f>
        <v>Seleccione TAR</v>
      </c>
      <c r="M329" s="19" t="str">
        <f>+IFERROR(IF(G329="Regular",VLOOKUP(C329,'DESCUENTO PROVEEDORES'!$B$4:$E$35,2,0),IF(G329="Premium",VLOOKUP(C329,'DESCUENTO PROVEEDORES'!$B$4:$E$35,3,0),IF(G329="Diesel",VLOOKUP(C329,'DESCUENTO PROVEEDORES'!$B$4:$E$35,4,0),"Seleccione Proveedor"))),"-")</f>
        <v>Seleccione Proveedor</v>
      </c>
      <c r="N329" s="20" t="e">
        <f>((((K329-H329)/1.16)-M329))</f>
        <v>#VALUE!</v>
      </c>
      <c r="O329" s="21" t="e">
        <f>((N329*16%)+N329)+H329+L329</f>
        <v>#VALUE!</v>
      </c>
      <c r="P329" s="21" t="e">
        <f>(((J329-O329)-H329)/1.16)+H329</f>
        <v>#VALUE!</v>
      </c>
      <c r="Q329" s="44"/>
      <c r="R329" s="24"/>
      <c r="S329" s="23" t="e">
        <f t="shared" si="15"/>
        <v>#DIV/0!</v>
      </c>
      <c r="T329" s="23" t="e">
        <f t="shared" si="16"/>
        <v>#DIV/0!</v>
      </c>
      <c r="U329" s="22" t="e">
        <f t="shared" si="17"/>
        <v>#DIV/0!</v>
      </c>
      <c r="V329" s="44"/>
      <c r="W329" s="44"/>
      <c r="X329" s="44"/>
      <c r="Y329" s="44"/>
      <c r="Z329" s="44"/>
    </row>
    <row r="330" spans="1:26" ht="15.75" customHeight="1">
      <c r="A330" s="44"/>
      <c r="B330" s="14"/>
      <c r="C330" s="53"/>
      <c r="D330" s="15"/>
      <c r="E330" s="89"/>
      <c r="F330" s="16"/>
      <c r="G330" s="16"/>
      <c r="H330" s="90" t="str">
        <f>IF(G330="Regular",Listas!$K$16,IF(G330="Premium",Listas!$K$17,IF(G330="Diesel",Listas!$K$18,"-")))</f>
        <v>-</v>
      </c>
      <c r="I330" s="17"/>
      <c r="J330" s="18"/>
      <c r="K330" s="19" t="str">
        <f>+IFERROR(IF(G330="Regular",VLOOKUP(C330,'PRECIO TERMINAL PEMEX'!$B$4:$E$35,2,0),IF(G330="Premium",VLOOKUP(C330,'PRECIO TERMINAL PEMEX'!$B$4:$E$35,3,0),IF(G330="Diesel",VLOOKUP(C330,'PRECIO TERMINAL PEMEX'!$B$4:$E$35,4,0),"Seleccione Producto"))),"-")</f>
        <v>Seleccione Producto</v>
      </c>
      <c r="L330" s="93" t="str">
        <f>+IFERROR(IF(F330="VHSA",VLOOKUP(B330,Listas!$C$4:$F$17,2,0),IF(F330="DOS BOCAS",VLOOKUP(B330,Listas!$C$4:$F$17,3,0),IF(F330="GLENCORE",VLOOKUP(B330,Listas!$C$4:$F$17,4,0),"Seleccione TAR"))),"-")</f>
        <v>Seleccione TAR</v>
      </c>
      <c r="M330" s="19" t="str">
        <f>+IFERROR(IF(G330="Regular",VLOOKUP(C330,'DESCUENTO PROVEEDORES'!$B$4:$E$35,2,0),IF(G330="Premium",VLOOKUP(C330,'DESCUENTO PROVEEDORES'!$B$4:$E$35,3,0),IF(G330="Diesel",VLOOKUP(C330,'DESCUENTO PROVEEDORES'!$B$4:$E$35,4,0),"Seleccione Proveedor"))),"-")</f>
        <v>Seleccione Proveedor</v>
      </c>
      <c r="N330" s="20" t="e">
        <f>((((K330-H330)/1.16)-M330))</f>
        <v>#VALUE!</v>
      </c>
      <c r="O330" s="21" t="e">
        <f>((N330*16%)+N330)+H330+L330</f>
        <v>#VALUE!</v>
      </c>
      <c r="P330" s="21" t="e">
        <f>(((J330-O330)-H330)/1.16)+H330</f>
        <v>#VALUE!</v>
      </c>
      <c r="Q330" s="44"/>
      <c r="R330" s="24"/>
      <c r="S330" s="23" t="e">
        <f t="shared" si="15"/>
        <v>#DIV/0!</v>
      </c>
      <c r="T330" s="23" t="e">
        <f t="shared" si="16"/>
        <v>#DIV/0!</v>
      </c>
      <c r="U330" s="22" t="e">
        <f t="shared" si="17"/>
        <v>#DIV/0!</v>
      </c>
      <c r="V330" s="44"/>
      <c r="W330" s="44"/>
      <c r="X330" s="44"/>
      <c r="Y330" s="44"/>
      <c r="Z330" s="44"/>
    </row>
    <row r="331" spans="1:26" ht="15.75" customHeight="1">
      <c r="A331" s="44"/>
      <c r="B331" s="14"/>
      <c r="C331" s="53"/>
      <c r="D331" s="15"/>
      <c r="E331" s="89"/>
      <c r="F331" s="16"/>
      <c r="G331" s="16"/>
      <c r="H331" s="90" t="str">
        <f>IF(G331="Regular",Listas!$K$16,IF(G331="Premium",Listas!$K$17,IF(G331="Diesel",Listas!$K$18,"-")))</f>
        <v>-</v>
      </c>
      <c r="I331" s="17"/>
      <c r="J331" s="18"/>
      <c r="K331" s="19" t="str">
        <f>+IFERROR(IF(G331="Regular",VLOOKUP(C331,'PRECIO TERMINAL PEMEX'!$B$4:$E$35,2,0),IF(G331="Premium",VLOOKUP(C331,'PRECIO TERMINAL PEMEX'!$B$4:$E$35,3,0),IF(G331="Diesel",VLOOKUP(C331,'PRECIO TERMINAL PEMEX'!$B$4:$E$35,4,0),"Seleccione Producto"))),"-")</f>
        <v>Seleccione Producto</v>
      </c>
      <c r="L331" s="93" t="str">
        <f>+IFERROR(IF(F331="VHSA",VLOOKUP(B331,Listas!$C$4:$F$17,2,0),IF(F331="DOS BOCAS",VLOOKUP(B331,Listas!$C$4:$F$17,3,0),IF(F331="GLENCORE",VLOOKUP(B331,Listas!$C$4:$F$17,4,0),"Seleccione TAR"))),"-")</f>
        <v>Seleccione TAR</v>
      </c>
      <c r="M331" s="19" t="str">
        <f>+IFERROR(IF(G331="Regular",VLOOKUP(C331,'DESCUENTO PROVEEDORES'!$B$4:$E$35,2,0),IF(G331="Premium",VLOOKUP(C331,'DESCUENTO PROVEEDORES'!$B$4:$E$35,3,0),IF(G331="Diesel",VLOOKUP(C331,'DESCUENTO PROVEEDORES'!$B$4:$E$35,4,0),"Seleccione Proveedor"))),"-")</f>
        <v>Seleccione Proveedor</v>
      </c>
      <c r="N331" s="20" t="e">
        <f>((((K331-H331)/1.16)-M331))</f>
        <v>#VALUE!</v>
      </c>
      <c r="O331" s="21" t="e">
        <f>((N331*16%)+N331)+H331+L331</f>
        <v>#VALUE!</v>
      </c>
      <c r="P331" s="21" t="e">
        <f>(((J331-O331)-H331)/1.16)+H331</f>
        <v>#VALUE!</v>
      </c>
      <c r="Q331" s="44"/>
      <c r="R331" s="24"/>
      <c r="S331" s="23" t="e">
        <f t="shared" si="15"/>
        <v>#DIV/0!</v>
      </c>
      <c r="T331" s="23" t="e">
        <f t="shared" si="16"/>
        <v>#DIV/0!</v>
      </c>
      <c r="U331" s="22" t="e">
        <f t="shared" si="17"/>
        <v>#DIV/0!</v>
      </c>
      <c r="V331" s="44"/>
      <c r="W331" s="44"/>
      <c r="X331" s="44"/>
      <c r="Y331" s="44"/>
      <c r="Z331" s="44"/>
    </row>
    <row r="332" spans="1:26" ht="15.75" customHeight="1">
      <c r="A332" s="44"/>
      <c r="B332" s="14"/>
      <c r="C332" s="53"/>
      <c r="D332" s="15"/>
      <c r="E332" s="89"/>
      <c r="F332" s="16"/>
      <c r="G332" s="16"/>
      <c r="H332" s="90" t="str">
        <f>IF(G332="Regular",Listas!$K$16,IF(G332="Premium",Listas!$K$17,IF(G332="Diesel",Listas!$K$18,"-")))</f>
        <v>-</v>
      </c>
      <c r="I332" s="17"/>
      <c r="J332" s="18"/>
      <c r="K332" s="19" t="str">
        <f>+IFERROR(IF(G332="Regular",VLOOKUP(C332,'PRECIO TERMINAL PEMEX'!$B$4:$E$35,2,0),IF(G332="Premium",VLOOKUP(C332,'PRECIO TERMINAL PEMEX'!$B$4:$E$35,3,0),IF(G332="Diesel",VLOOKUP(C332,'PRECIO TERMINAL PEMEX'!$B$4:$E$35,4,0),"Seleccione Producto"))),"-")</f>
        <v>Seleccione Producto</v>
      </c>
      <c r="L332" s="93" t="str">
        <f>+IFERROR(IF(F332="VHSA",VLOOKUP(B332,Listas!$C$4:$F$17,2,0),IF(F332="DOS BOCAS",VLOOKUP(B332,Listas!$C$4:$F$17,3,0),IF(F332="GLENCORE",VLOOKUP(B332,Listas!$C$4:$F$17,4,0),"Seleccione TAR"))),"-")</f>
        <v>Seleccione TAR</v>
      </c>
      <c r="M332" s="19" t="str">
        <f>+IFERROR(IF(G332="Regular",VLOOKUP(C332,'DESCUENTO PROVEEDORES'!$B$4:$E$35,2,0),IF(G332="Premium",VLOOKUP(C332,'DESCUENTO PROVEEDORES'!$B$4:$E$35,3,0),IF(G332="Diesel",VLOOKUP(C332,'DESCUENTO PROVEEDORES'!$B$4:$E$35,4,0),"Seleccione Proveedor"))),"-")</f>
        <v>Seleccione Proveedor</v>
      </c>
      <c r="N332" s="20" t="e">
        <f>((((K332-H332)/1.16)-M332))</f>
        <v>#VALUE!</v>
      </c>
      <c r="O332" s="21" t="e">
        <f>((N332*16%)+N332)+H332+L332</f>
        <v>#VALUE!</v>
      </c>
      <c r="P332" s="21" t="e">
        <f>(((J332-O332)-H332)/1.16)+H332</f>
        <v>#VALUE!</v>
      </c>
      <c r="Q332" s="44"/>
      <c r="R332" s="24"/>
      <c r="S332" s="23" t="e">
        <f t="shared" si="15"/>
        <v>#DIV/0!</v>
      </c>
      <c r="T332" s="23" t="e">
        <f t="shared" si="16"/>
        <v>#DIV/0!</v>
      </c>
      <c r="U332" s="22" t="e">
        <f t="shared" si="17"/>
        <v>#DIV/0!</v>
      </c>
      <c r="V332" s="44"/>
      <c r="W332" s="44"/>
      <c r="X332" s="44"/>
      <c r="Y332" s="44"/>
      <c r="Z332" s="44"/>
    </row>
    <row r="333" spans="1:26" ht="15.75" customHeight="1">
      <c r="A333" s="44"/>
      <c r="B333" s="14"/>
      <c r="C333" s="53"/>
      <c r="D333" s="15"/>
      <c r="E333" s="89"/>
      <c r="F333" s="16"/>
      <c r="G333" s="16"/>
      <c r="H333" s="90" t="str">
        <f>IF(G333="Regular",Listas!$K$16,IF(G333="Premium",Listas!$K$17,IF(G333="Diesel",Listas!$K$18,"-")))</f>
        <v>-</v>
      </c>
      <c r="I333" s="17"/>
      <c r="J333" s="18"/>
      <c r="K333" s="19" t="str">
        <f>+IFERROR(IF(G333="Regular",VLOOKUP(C333,'PRECIO TERMINAL PEMEX'!$B$4:$E$35,2,0),IF(G333="Premium",VLOOKUP(C333,'PRECIO TERMINAL PEMEX'!$B$4:$E$35,3,0),IF(G333="Diesel",VLOOKUP(C333,'PRECIO TERMINAL PEMEX'!$B$4:$E$35,4,0),"Seleccione Producto"))),"-")</f>
        <v>Seleccione Producto</v>
      </c>
      <c r="L333" s="93" t="str">
        <f>+IFERROR(IF(F333="VHSA",VLOOKUP(B333,Listas!$C$4:$F$17,2,0),IF(F333="DOS BOCAS",VLOOKUP(B333,Listas!$C$4:$F$17,3,0),IF(F333="GLENCORE",VLOOKUP(B333,Listas!$C$4:$F$17,4,0),"Seleccione TAR"))),"-")</f>
        <v>Seleccione TAR</v>
      </c>
      <c r="M333" s="19" t="str">
        <f>+IFERROR(IF(G333="Regular",VLOOKUP(C333,'DESCUENTO PROVEEDORES'!$B$4:$E$35,2,0),IF(G333="Premium",VLOOKUP(C333,'DESCUENTO PROVEEDORES'!$B$4:$E$35,3,0),IF(G333="Diesel",VLOOKUP(C333,'DESCUENTO PROVEEDORES'!$B$4:$E$35,4,0),"Seleccione Proveedor"))),"-")</f>
        <v>Seleccione Proveedor</v>
      </c>
      <c r="N333" s="20" t="e">
        <f>((((K333-H333)/1.16)-M333))</f>
        <v>#VALUE!</v>
      </c>
      <c r="O333" s="21" t="e">
        <f>((N333*16%)+N333)+H333+L333</f>
        <v>#VALUE!</v>
      </c>
      <c r="P333" s="21" t="e">
        <f>(((J333-O333)-H333)/1.16)+H333</f>
        <v>#VALUE!</v>
      </c>
      <c r="Q333" s="44"/>
      <c r="R333" s="24"/>
      <c r="S333" s="23" t="e">
        <f t="shared" si="15"/>
        <v>#DIV/0!</v>
      </c>
      <c r="T333" s="23" t="e">
        <f t="shared" si="16"/>
        <v>#DIV/0!</v>
      </c>
      <c r="U333" s="22" t="e">
        <f t="shared" si="17"/>
        <v>#DIV/0!</v>
      </c>
      <c r="V333" s="44"/>
      <c r="W333" s="44"/>
      <c r="X333" s="44"/>
      <c r="Y333" s="44"/>
      <c r="Z333" s="44"/>
    </row>
    <row r="334" spans="1:26" ht="15.75" customHeight="1">
      <c r="A334" s="44"/>
      <c r="B334" s="14"/>
      <c r="C334" s="53"/>
      <c r="D334" s="15"/>
      <c r="E334" s="89"/>
      <c r="F334" s="16"/>
      <c r="G334" s="16"/>
      <c r="H334" s="90" t="str">
        <f>IF(G334="Regular",Listas!$K$16,IF(G334="Premium",Listas!$K$17,IF(G334="Diesel",Listas!$K$18,"-")))</f>
        <v>-</v>
      </c>
      <c r="I334" s="17"/>
      <c r="J334" s="18"/>
      <c r="K334" s="19" t="str">
        <f>+IFERROR(IF(G334="Regular",VLOOKUP(C334,'PRECIO TERMINAL PEMEX'!$B$4:$E$35,2,0),IF(G334="Premium",VLOOKUP(C334,'PRECIO TERMINAL PEMEX'!$B$4:$E$35,3,0),IF(G334="Diesel",VLOOKUP(C334,'PRECIO TERMINAL PEMEX'!$B$4:$E$35,4,0),"Seleccione Producto"))),"-")</f>
        <v>Seleccione Producto</v>
      </c>
      <c r="L334" s="93" t="str">
        <f>+IFERROR(IF(F334="VHSA",VLOOKUP(B334,Listas!$C$4:$F$17,2,0),IF(F334="DOS BOCAS",VLOOKUP(B334,Listas!$C$4:$F$17,3,0),IF(F334="GLENCORE",VLOOKUP(B334,Listas!$C$4:$F$17,4,0),"Seleccione TAR"))),"-")</f>
        <v>Seleccione TAR</v>
      </c>
      <c r="M334" s="19" t="str">
        <f>+IFERROR(IF(G334="Regular",VLOOKUP(C334,'DESCUENTO PROVEEDORES'!$B$4:$E$35,2,0),IF(G334="Premium",VLOOKUP(C334,'DESCUENTO PROVEEDORES'!$B$4:$E$35,3,0),IF(G334="Diesel",VLOOKUP(C334,'DESCUENTO PROVEEDORES'!$B$4:$E$35,4,0),"Seleccione Proveedor"))),"-")</f>
        <v>Seleccione Proveedor</v>
      </c>
      <c r="N334" s="20" t="e">
        <f>((((K334-H334)/1.16)-M334))</f>
        <v>#VALUE!</v>
      </c>
      <c r="O334" s="21" t="e">
        <f>((N334*16%)+N334)+H334+L334</f>
        <v>#VALUE!</v>
      </c>
      <c r="P334" s="21" t="e">
        <f>(((J334-O334)-H334)/1.16)+H334</f>
        <v>#VALUE!</v>
      </c>
      <c r="Q334" s="44"/>
      <c r="R334" s="24"/>
      <c r="S334" s="23" t="e">
        <f t="shared" si="15"/>
        <v>#DIV/0!</v>
      </c>
      <c r="T334" s="23" t="e">
        <f t="shared" si="16"/>
        <v>#DIV/0!</v>
      </c>
      <c r="U334" s="22" t="e">
        <f t="shared" si="17"/>
        <v>#DIV/0!</v>
      </c>
      <c r="V334" s="44"/>
      <c r="W334" s="44"/>
      <c r="X334" s="44"/>
      <c r="Y334" s="44"/>
      <c r="Z334" s="44"/>
    </row>
    <row r="335" spans="1:26" ht="15.75" customHeight="1">
      <c r="A335" s="44"/>
      <c r="B335" s="14"/>
      <c r="C335" s="53"/>
      <c r="D335" s="15"/>
      <c r="E335" s="89"/>
      <c r="F335" s="16"/>
      <c r="G335" s="16"/>
      <c r="H335" s="90" t="str">
        <f>IF(G335="Regular",Listas!$K$16,IF(G335="Premium",Listas!$K$17,IF(G335="Diesel",Listas!$K$18,"-")))</f>
        <v>-</v>
      </c>
      <c r="I335" s="17"/>
      <c r="J335" s="18"/>
      <c r="K335" s="19" t="str">
        <f>+IFERROR(IF(G335="Regular",VLOOKUP(C335,'PRECIO TERMINAL PEMEX'!$B$4:$E$35,2,0),IF(G335="Premium",VLOOKUP(C335,'PRECIO TERMINAL PEMEX'!$B$4:$E$35,3,0),IF(G335="Diesel",VLOOKUP(C335,'PRECIO TERMINAL PEMEX'!$B$4:$E$35,4,0),"Seleccione Producto"))),"-")</f>
        <v>Seleccione Producto</v>
      </c>
      <c r="L335" s="93" t="str">
        <f>+IFERROR(IF(F335="VHSA",VLOOKUP(B335,Listas!$C$4:$F$17,2,0),IF(F335="DOS BOCAS",VLOOKUP(B335,Listas!$C$4:$F$17,3,0),IF(F335="GLENCORE",VLOOKUP(B335,Listas!$C$4:$F$17,4,0),"Seleccione TAR"))),"-")</f>
        <v>Seleccione TAR</v>
      </c>
      <c r="M335" s="19" t="str">
        <f>+IFERROR(IF(G335="Regular",VLOOKUP(C335,'DESCUENTO PROVEEDORES'!$B$4:$E$35,2,0),IF(G335="Premium",VLOOKUP(C335,'DESCUENTO PROVEEDORES'!$B$4:$E$35,3,0),IF(G335="Diesel",VLOOKUP(C335,'DESCUENTO PROVEEDORES'!$B$4:$E$35,4,0),"Seleccione Proveedor"))),"-")</f>
        <v>Seleccione Proveedor</v>
      </c>
      <c r="N335" s="20" t="e">
        <f>((((K335-H335)/1.16)-M335))</f>
        <v>#VALUE!</v>
      </c>
      <c r="O335" s="21" t="e">
        <f>((N335*16%)+N335)+H335+L335</f>
        <v>#VALUE!</v>
      </c>
      <c r="P335" s="21" t="e">
        <f>(((J335-O335)-H335)/1.16)+H335</f>
        <v>#VALUE!</v>
      </c>
      <c r="Q335" s="44"/>
      <c r="R335" s="24"/>
      <c r="S335" s="23" t="e">
        <f t="shared" si="15"/>
        <v>#DIV/0!</v>
      </c>
      <c r="T335" s="23" t="e">
        <f t="shared" si="16"/>
        <v>#DIV/0!</v>
      </c>
      <c r="U335" s="22" t="e">
        <f t="shared" si="17"/>
        <v>#DIV/0!</v>
      </c>
      <c r="V335" s="44"/>
      <c r="W335" s="44"/>
      <c r="X335" s="44"/>
      <c r="Y335" s="44"/>
      <c r="Z335" s="44"/>
    </row>
    <row r="336" spans="1:26" ht="15.75" customHeight="1">
      <c r="A336" s="44"/>
      <c r="B336" s="14"/>
      <c r="C336" s="53"/>
      <c r="D336" s="15"/>
      <c r="E336" s="89"/>
      <c r="F336" s="16"/>
      <c r="G336" s="16"/>
      <c r="H336" s="90" t="str">
        <f>IF(G336="Regular",Listas!$K$16,IF(G336="Premium",Listas!$K$17,IF(G336="Diesel",Listas!$K$18,"-")))</f>
        <v>-</v>
      </c>
      <c r="I336" s="17"/>
      <c r="J336" s="18"/>
      <c r="K336" s="19" t="str">
        <f>+IFERROR(IF(G336="Regular",VLOOKUP(C336,'PRECIO TERMINAL PEMEX'!$B$4:$E$35,2,0),IF(G336="Premium",VLOOKUP(C336,'PRECIO TERMINAL PEMEX'!$B$4:$E$35,3,0),IF(G336="Diesel",VLOOKUP(C336,'PRECIO TERMINAL PEMEX'!$B$4:$E$35,4,0),"Seleccione Producto"))),"-")</f>
        <v>Seleccione Producto</v>
      </c>
      <c r="L336" s="93" t="str">
        <f>+IFERROR(IF(F336="VHSA",VLOOKUP(B336,Listas!$C$4:$F$17,2,0),IF(F336="DOS BOCAS",VLOOKUP(B336,Listas!$C$4:$F$17,3,0),IF(F336="GLENCORE",VLOOKUP(B336,Listas!$C$4:$F$17,4,0),"Seleccione TAR"))),"-")</f>
        <v>Seleccione TAR</v>
      </c>
      <c r="M336" s="19" t="str">
        <f>+IFERROR(IF(G336="Regular",VLOOKUP(C336,'DESCUENTO PROVEEDORES'!$B$4:$E$35,2,0),IF(G336="Premium",VLOOKUP(C336,'DESCUENTO PROVEEDORES'!$B$4:$E$35,3,0),IF(G336="Diesel",VLOOKUP(C336,'DESCUENTO PROVEEDORES'!$B$4:$E$35,4,0),"Seleccione Proveedor"))),"-")</f>
        <v>Seleccione Proveedor</v>
      </c>
      <c r="N336" s="20" t="e">
        <f>((((K336-H336)/1.16)-M336))</f>
        <v>#VALUE!</v>
      </c>
      <c r="O336" s="21" t="e">
        <f>((N336*16%)+N336)+H336+L336</f>
        <v>#VALUE!</v>
      </c>
      <c r="P336" s="21" t="e">
        <f>(((J336-O336)-H336)/1.16)+H336</f>
        <v>#VALUE!</v>
      </c>
      <c r="Q336" s="44"/>
      <c r="R336" s="24"/>
      <c r="S336" s="23" t="e">
        <f t="shared" si="15"/>
        <v>#DIV/0!</v>
      </c>
      <c r="T336" s="23" t="e">
        <f t="shared" si="16"/>
        <v>#DIV/0!</v>
      </c>
      <c r="U336" s="22" t="e">
        <f t="shared" si="17"/>
        <v>#DIV/0!</v>
      </c>
      <c r="V336" s="44"/>
      <c r="W336" s="44"/>
      <c r="X336" s="44"/>
      <c r="Y336" s="44"/>
      <c r="Z336" s="44"/>
    </row>
    <row r="337" spans="1:26" ht="15.75" customHeight="1">
      <c r="A337" s="44"/>
      <c r="B337" s="14"/>
      <c r="C337" s="53"/>
      <c r="D337" s="15"/>
      <c r="E337" s="89"/>
      <c r="F337" s="16"/>
      <c r="G337" s="16"/>
      <c r="H337" s="90" t="str">
        <f>IF(G337="Regular",Listas!$K$16,IF(G337="Premium",Listas!$K$17,IF(G337="Diesel",Listas!$K$18,"-")))</f>
        <v>-</v>
      </c>
      <c r="I337" s="17"/>
      <c r="J337" s="18"/>
      <c r="K337" s="19" t="str">
        <f>+IFERROR(IF(G337="Regular",VLOOKUP(C337,'PRECIO TERMINAL PEMEX'!$B$4:$E$35,2,0),IF(G337="Premium",VLOOKUP(C337,'PRECIO TERMINAL PEMEX'!$B$4:$E$35,3,0),IF(G337="Diesel",VLOOKUP(C337,'PRECIO TERMINAL PEMEX'!$B$4:$E$35,4,0),"Seleccione Producto"))),"-")</f>
        <v>Seleccione Producto</v>
      </c>
      <c r="L337" s="93" t="str">
        <f>+IFERROR(IF(F337="VHSA",VLOOKUP(B337,Listas!$C$4:$F$17,2,0),IF(F337="DOS BOCAS",VLOOKUP(B337,Listas!$C$4:$F$17,3,0),IF(F337="GLENCORE",VLOOKUP(B337,Listas!$C$4:$F$17,4,0),"Seleccione TAR"))),"-")</f>
        <v>Seleccione TAR</v>
      </c>
      <c r="M337" s="19" t="str">
        <f>+IFERROR(IF(G337="Regular",VLOOKUP(C337,'DESCUENTO PROVEEDORES'!$B$4:$E$35,2,0),IF(G337="Premium",VLOOKUP(C337,'DESCUENTO PROVEEDORES'!$B$4:$E$35,3,0),IF(G337="Diesel",VLOOKUP(C337,'DESCUENTO PROVEEDORES'!$B$4:$E$35,4,0),"Seleccione Proveedor"))),"-")</f>
        <v>Seleccione Proveedor</v>
      </c>
      <c r="N337" s="20" t="e">
        <f>((((K337-H337)/1.16)-M337))</f>
        <v>#VALUE!</v>
      </c>
      <c r="O337" s="21" t="e">
        <f>((N337*16%)+N337)+H337+L337</f>
        <v>#VALUE!</v>
      </c>
      <c r="P337" s="21" t="e">
        <f>(((J337-O337)-H337)/1.16)+H337</f>
        <v>#VALUE!</v>
      </c>
      <c r="Q337" s="44"/>
      <c r="R337" s="24"/>
      <c r="S337" s="23" t="e">
        <f t="shared" si="15"/>
        <v>#DIV/0!</v>
      </c>
      <c r="T337" s="23" t="e">
        <f t="shared" si="16"/>
        <v>#DIV/0!</v>
      </c>
      <c r="U337" s="22" t="e">
        <f t="shared" si="17"/>
        <v>#DIV/0!</v>
      </c>
      <c r="V337" s="44"/>
      <c r="W337" s="44"/>
      <c r="X337" s="44"/>
      <c r="Y337" s="44"/>
      <c r="Z337" s="44"/>
    </row>
    <row r="338" spans="1:26" ht="15.75" customHeight="1">
      <c r="A338" s="44"/>
      <c r="B338" s="14"/>
      <c r="C338" s="53"/>
      <c r="D338" s="15"/>
      <c r="E338" s="89"/>
      <c r="F338" s="16"/>
      <c r="G338" s="16"/>
      <c r="H338" s="90" t="str">
        <f>IF(G338="Regular",Listas!$K$16,IF(G338="Premium",Listas!$K$17,IF(G338="Diesel",Listas!$K$18,"-")))</f>
        <v>-</v>
      </c>
      <c r="I338" s="17"/>
      <c r="J338" s="18"/>
      <c r="K338" s="19" t="str">
        <f>+IFERROR(IF(G338="Regular",VLOOKUP(C338,'PRECIO TERMINAL PEMEX'!$B$4:$E$35,2,0),IF(G338="Premium",VLOOKUP(C338,'PRECIO TERMINAL PEMEX'!$B$4:$E$35,3,0),IF(G338="Diesel",VLOOKUP(C338,'PRECIO TERMINAL PEMEX'!$B$4:$E$35,4,0),"Seleccione Producto"))),"-")</f>
        <v>Seleccione Producto</v>
      </c>
      <c r="L338" s="93" t="str">
        <f>+IFERROR(IF(F338="VHSA",VLOOKUP(B338,Listas!$C$4:$F$17,2,0),IF(F338="DOS BOCAS",VLOOKUP(B338,Listas!$C$4:$F$17,3,0),IF(F338="GLENCORE",VLOOKUP(B338,Listas!$C$4:$F$17,4,0),"Seleccione TAR"))),"-")</f>
        <v>Seleccione TAR</v>
      </c>
      <c r="M338" s="19" t="str">
        <f>+IFERROR(IF(G338="Regular",VLOOKUP(C338,'DESCUENTO PROVEEDORES'!$B$4:$E$35,2,0),IF(G338="Premium",VLOOKUP(C338,'DESCUENTO PROVEEDORES'!$B$4:$E$35,3,0),IF(G338="Diesel",VLOOKUP(C338,'DESCUENTO PROVEEDORES'!$B$4:$E$35,4,0),"Seleccione Proveedor"))),"-")</f>
        <v>Seleccione Proveedor</v>
      </c>
      <c r="N338" s="20" t="e">
        <f>((((K338-H338)/1.16)-M338))</f>
        <v>#VALUE!</v>
      </c>
      <c r="O338" s="21" t="e">
        <f>((N338*16%)+N338)+H338+L338</f>
        <v>#VALUE!</v>
      </c>
      <c r="P338" s="21" t="e">
        <f>(((J338-O338)-H338)/1.16)+H338</f>
        <v>#VALUE!</v>
      </c>
      <c r="Q338" s="44"/>
      <c r="R338" s="24"/>
      <c r="S338" s="23" t="e">
        <f t="shared" si="15"/>
        <v>#DIV/0!</v>
      </c>
      <c r="T338" s="23" t="e">
        <f t="shared" si="16"/>
        <v>#DIV/0!</v>
      </c>
      <c r="U338" s="22" t="e">
        <f t="shared" si="17"/>
        <v>#DIV/0!</v>
      </c>
      <c r="V338" s="44"/>
      <c r="W338" s="44"/>
      <c r="X338" s="44"/>
      <c r="Y338" s="44"/>
      <c r="Z338" s="44"/>
    </row>
    <row r="339" spans="1:26" ht="15.75" customHeight="1">
      <c r="A339" s="44"/>
      <c r="B339" s="14"/>
      <c r="C339" s="53"/>
      <c r="D339" s="15"/>
      <c r="E339" s="89"/>
      <c r="F339" s="16"/>
      <c r="G339" s="16"/>
      <c r="H339" s="90" t="str">
        <f>IF(G339="Regular",Listas!$K$16,IF(G339="Premium",Listas!$K$17,IF(G339="Diesel",Listas!$K$18,"-")))</f>
        <v>-</v>
      </c>
      <c r="I339" s="17"/>
      <c r="J339" s="18"/>
      <c r="K339" s="19" t="str">
        <f>+IFERROR(IF(G339="Regular",VLOOKUP(C339,'PRECIO TERMINAL PEMEX'!$B$4:$E$35,2,0),IF(G339="Premium",VLOOKUP(C339,'PRECIO TERMINAL PEMEX'!$B$4:$E$35,3,0),IF(G339="Diesel",VLOOKUP(C339,'PRECIO TERMINAL PEMEX'!$B$4:$E$35,4,0),"Seleccione Producto"))),"-")</f>
        <v>Seleccione Producto</v>
      </c>
      <c r="L339" s="93" t="str">
        <f>+IFERROR(IF(F339="VHSA",VLOOKUP(B339,Listas!$C$4:$F$17,2,0),IF(F339="DOS BOCAS",VLOOKUP(B339,Listas!$C$4:$F$17,3,0),IF(F339="GLENCORE",VLOOKUP(B339,Listas!$C$4:$F$17,4,0),"Seleccione TAR"))),"-")</f>
        <v>Seleccione TAR</v>
      </c>
      <c r="M339" s="19" t="str">
        <f>+IFERROR(IF(G339="Regular",VLOOKUP(C339,'DESCUENTO PROVEEDORES'!$B$4:$E$35,2,0),IF(G339="Premium",VLOOKUP(C339,'DESCUENTO PROVEEDORES'!$B$4:$E$35,3,0),IF(G339="Diesel",VLOOKUP(C339,'DESCUENTO PROVEEDORES'!$B$4:$E$35,4,0),"Seleccione Proveedor"))),"-")</f>
        <v>Seleccione Proveedor</v>
      </c>
      <c r="N339" s="20" t="e">
        <f>((((K339-H339)/1.16)-M339))</f>
        <v>#VALUE!</v>
      </c>
      <c r="O339" s="21" t="e">
        <f>((N339*16%)+N339)+H339+L339</f>
        <v>#VALUE!</v>
      </c>
      <c r="P339" s="21" t="e">
        <f>(((J339-O339)-H339)/1.16)+H339</f>
        <v>#VALUE!</v>
      </c>
      <c r="Q339" s="44"/>
      <c r="R339" s="24"/>
      <c r="S339" s="23" t="e">
        <f t="shared" si="15"/>
        <v>#DIV/0!</v>
      </c>
      <c r="T339" s="23" t="e">
        <f t="shared" si="16"/>
        <v>#DIV/0!</v>
      </c>
      <c r="U339" s="22" t="e">
        <f t="shared" si="17"/>
        <v>#DIV/0!</v>
      </c>
      <c r="V339" s="44"/>
      <c r="W339" s="44"/>
      <c r="X339" s="44"/>
      <c r="Y339" s="44"/>
      <c r="Z339" s="44"/>
    </row>
    <row r="340" spans="1:26" ht="15.75" customHeight="1">
      <c r="A340" s="44"/>
      <c r="B340" s="14"/>
      <c r="C340" s="53"/>
      <c r="D340" s="15"/>
      <c r="E340" s="89"/>
      <c r="F340" s="16"/>
      <c r="G340" s="16"/>
      <c r="H340" s="90" t="str">
        <f>IF(G340="Regular",Listas!$K$16,IF(G340="Premium",Listas!$K$17,IF(G340="Diesel",Listas!$K$18,"-")))</f>
        <v>-</v>
      </c>
      <c r="I340" s="17"/>
      <c r="J340" s="18"/>
      <c r="K340" s="19" t="str">
        <f>+IFERROR(IF(G340="Regular",VLOOKUP(C340,'PRECIO TERMINAL PEMEX'!$B$4:$E$35,2,0),IF(G340="Premium",VLOOKUP(C340,'PRECIO TERMINAL PEMEX'!$B$4:$E$35,3,0),IF(G340="Diesel",VLOOKUP(C340,'PRECIO TERMINAL PEMEX'!$B$4:$E$35,4,0),"Seleccione Producto"))),"-")</f>
        <v>Seleccione Producto</v>
      </c>
      <c r="L340" s="93" t="str">
        <f>+IFERROR(IF(F340="VHSA",VLOOKUP(B340,Listas!$C$4:$F$17,2,0),IF(F340="DOS BOCAS",VLOOKUP(B340,Listas!$C$4:$F$17,3,0),IF(F340="GLENCORE",VLOOKUP(B340,Listas!$C$4:$F$17,4,0),"Seleccione TAR"))),"-")</f>
        <v>Seleccione TAR</v>
      </c>
      <c r="M340" s="19" t="str">
        <f>+IFERROR(IF(G340="Regular",VLOOKUP(C340,'DESCUENTO PROVEEDORES'!$B$4:$E$35,2,0),IF(G340="Premium",VLOOKUP(C340,'DESCUENTO PROVEEDORES'!$B$4:$E$35,3,0),IF(G340="Diesel",VLOOKUP(C340,'DESCUENTO PROVEEDORES'!$B$4:$E$35,4,0),"Seleccione Proveedor"))),"-")</f>
        <v>Seleccione Proveedor</v>
      </c>
      <c r="N340" s="20" t="e">
        <f>((((K340-H340)/1.16)-M340))</f>
        <v>#VALUE!</v>
      </c>
      <c r="O340" s="21" t="e">
        <f>((N340*16%)+N340)+H340+L340</f>
        <v>#VALUE!</v>
      </c>
      <c r="P340" s="21" t="e">
        <f>(((J340-O340)-H340)/1.16)+H340</f>
        <v>#VALUE!</v>
      </c>
      <c r="Q340" s="44"/>
      <c r="R340" s="24"/>
      <c r="S340" s="23" t="e">
        <f t="shared" si="15"/>
        <v>#DIV/0!</v>
      </c>
      <c r="T340" s="23" t="e">
        <f t="shared" si="16"/>
        <v>#DIV/0!</v>
      </c>
      <c r="U340" s="22" t="e">
        <f t="shared" si="17"/>
        <v>#DIV/0!</v>
      </c>
      <c r="V340" s="44"/>
      <c r="W340" s="44"/>
      <c r="X340" s="44"/>
      <c r="Y340" s="44"/>
      <c r="Z340" s="44"/>
    </row>
    <row r="341" spans="1:26" ht="15.75" customHeight="1">
      <c r="A341" s="44"/>
      <c r="B341" s="14"/>
      <c r="C341" s="53"/>
      <c r="D341" s="15"/>
      <c r="E341" s="89"/>
      <c r="F341" s="16"/>
      <c r="G341" s="16"/>
      <c r="H341" s="90" t="str">
        <f>IF(G341="Regular",Listas!$K$16,IF(G341="Premium",Listas!$K$17,IF(G341="Diesel",Listas!$K$18,"-")))</f>
        <v>-</v>
      </c>
      <c r="I341" s="17"/>
      <c r="J341" s="18"/>
      <c r="K341" s="19" t="str">
        <f>+IFERROR(IF(G341="Regular",VLOOKUP(C341,'PRECIO TERMINAL PEMEX'!$B$4:$E$35,2,0),IF(G341="Premium",VLOOKUP(C341,'PRECIO TERMINAL PEMEX'!$B$4:$E$35,3,0),IF(G341="Diesel",VLOOKUP(C341,'PRECIO TERMINAL PEMEX'!$B$4:$E$35,4,0),"Seleccione Producto"))),"-")</f>
        <v>Seleccione Producto</v>
      </c>
      <c r="L341" s="93" t="str">
        <f>+IFERROR(IF(F341="VHSA",VLOOKUP(B341,Listas!$C$4:$F$17,2,0),IF(F341="DOS BOCAS",VLOOKUP(B341,Listas!$C$4:$F$17,3,0),IF(F341="GLENCORE",VLOOKUP(B341,Listas!$C$4:$F$17,4,0),"Seleccione TAR"))),"-")</f>
        <v>Seleccione TAR</v>
      </c>
      <c r="M341" s="19" t="str">
        <f>+IFERROR(IF(G341="Regular",VLOOKUP(C341,'DESCUENTO PROVEEDORES'!$B$4:$E$35,2,0),IF(G341="Premium",VLOOKUP(C341,'DESCUENTO PROVEEDORES'!$B$4:$E$35,3,0),IF(G341="Diesel",VLOOKUP(C341,'DESCUENTO PROVEEDORES'!$B$4:$E$35,4,0),"Seleccione Proveedor"))),"-")</f>
        <v>Seleccione Proveedor</v>
      </c>
      <c r="N341" s="20" t="e">
        <f>((((K341-H341)/1.16)-M341))</f>
        <v>#VALUE!</v>
      </c>
      <c r="O341" s="21" t="e">
        <f>((N341*16%)+N341)+H341+L341</f>
        <v>#VALUE!</v>
      </c>
      <c r="P341" s="21" t="e">
        <f>(((J341-O341)-H341)/1.16)+H341</f>
        <v>#VALUE!</v>
      </c>
      <c r="Q341" s="44"/>
      <c r="R341" s="24"/>
      <c r="S341" s="23" t="e">
        <f t="shared" si="15"/>
        <v>#DIV/0!</v>
      </c>
      <c r="T341" s="23" t="e">
        <f t="shared" si="16"/>
        <v>#DIV/0!</v>
      </c>
      <c r="U341" s="22" t="e">
        <f t="shared" si="17"/>
        <v>#DIV/0!</v>
      </c>
      <c r="V341" s="44"/>
      <c r="W341" s="44"/>
      <c r="X341" s="44"/>
      <c r="Y341" s="44"/>
      <c r="Z341" s="44"/>
    </row>
    <row r="342" spans="1:26" ht="15.75" customHeight="1">
      <c r="A342" s="44"/>
      <c r="B342" s="14"/>
      <c r="C342" s="53"/>
      <c r="D342" s="15"/>
      <c r="E342" s="89"/>
      <c r="F342" s="16"/>
      <c r="G342" s="16"/>
      <c r="H342" s="90" t="str">
        <f>IF(G342="Regular",Listas!$K$16,IF(G342="Premium",Listas!$K$17,IF(G342="Diesel",Listas!$K$18,"-")))</f>
        <v>-</v>
      </c>
      <c r="I342" s="17"/>
      <c r="J342" s="18"/>
      <c r="K342" s="19" t="str">
        <f>+IFERROR(IF(G342="Regular",VLOOKUP(C342,'PRECIO TERMINAL PEMEX'!$B$4:$E$35,2,0),IF(G342="Premium",VLOOKUP(C342,'PRECIO TERMINAL PEMEX'!$B$4:$E$35,3,0),IF(G342="Diesel",VLOOKUP(C342,'PRECIO TERMINAL PEMEX'!$B$4:$E$35,4,0),"Seleccione Producto"))),"-")</f>
        <v>Seleccione Producto</v>
      </c>
      <c r="L342" s="93" t="str">
        <f>+IFERROR(IF(F342="VHSA",VLOOKUP(B342,Listas!$C$4:$F$17,2,0),IF(F342="DOS BOCAS",VLOOKUP(B342,Listas!$C$4:$F$17,3,0),IF(F342="GLENCORE",VLOOKUP(B342,Listas!$C$4:$F$17,4,0),"Seleccione TAR"))),"-")</f>
        <v>Seleccione TAR</v>
      </c>
      <c r="M342" s="19" t="str">
        <f>+IFERROR(IF(G342="Regular",VLOOKUP(C342,'DESCUENTO PROVEEDORES'!$B$4:$E$35,2,0),IF(G342="Premium",VLOOKUP(C342,'DESCUENTO PROVEEDORES'!$B$4:$E$35,3,0),IF(G342="Diesel",VLOOKUP(C342,'DESCUENTO PROVEEDORES'!$B$4:$E$35,4,0),"Seleccione Proveedor"))),"-")</f>
        <v>Seleccione Proveedor</v>
      </c>
      <c r="N342" s="20" t="e">
        <f>((((K342-H342)/1.16)-M342))</f>
        <v>#VALUE!</v>
      </c>
      <c r="O342" s="21" t="e">
        <f>((N342*16%)+N342)+H342+L342</f>
        <v>#VALUE!</v>
      </c>
      <c r="P342" s="21" t="e">
        <f>(((J342-O342)-H342)/1.16)+H342</f>
        <v>#VALUE!</v>
      </c>
      <c r="Q342" s="44"/>
      <c r="R342" s="24"/>
      <c r="S342" s="23" t="e">
        <f t="shared" si="15"/>
        <v>#DIV/0!</v>
      </c>
      <c r="T342" s="23" t="e">
        <f t="shared" si="16"/>
        <v>#DIV/0!</v>
      </c>
      <c r="U342" s="22" t="e">
        <f t="shared" si="17"/>
        <v>#DIV/0!</v>
      </c>
      <c r="V342" s="44"/>
      <c r="W342" s="44"/>
      <c r="X342" s="44"/>
      <c r="Y342" s="44"/>
      <c r="Z342" s="44"/>
    </row>
    <row r="343" spans="1:26" ht="15.75" customHeight="1">
      <c r="A343" s="44"/>
      <c r="B343" s="14"/>
      <c r="C343" s="53"/>
      <c r="D343" s="15"/>
      <c r="E343" s="89"/>
      <c r="F343" s="16"/>
      <c r="G343" s="16"/>
      <c r="H343" s="90" t="str">
        <f>IF(G343="Regular",Listas!$K$16,IF(G343="Premium",Listas!$K$17,IF(G343="Diesel",Listas!$K$18,"-")))</f>
        <v>-</v>
      </c>
      <c r="I343" s="17"/>
      <c r="J343" s="18"/>
      <c r="K343" s="19" t="str">
        <f>+IFERROR(IF(G343="Regular",VLOOKUP(C343,'PRECIO TERMINAL PEMEX'!$B$4:$E$35,2,0),IF(G343="Premium",VLOOKUP(C343,'PRECIO TERMINAL PEMEX'!$B$4:$E$35,3,0),IF(G343="Diesel",VLOOKUP(C343,'PRECIO TERMINAL PEMEX'!$B$4:$E$35,4,0),"Seleccione Producto"))),"-")</f>
        <v>Seleccione Producto</v>
      </c>
      <c r="L343" s="93" t="str">
        <f>+IFERROR(IF(F343="VHSA",VLOOKUP(B343,Listas!$C$4:$F$17,2,0),IF(F343="DOS BOCAS",VLOOKUP(B343,Listas!$C$4:$F$17,3,0),IF(F343="GLENCORE",VLOOKUP(B343,Listas!$C$4:$F$17,4,0),"Seleccione TAR"))),"-")</f>
        <v>Seleccione TAR</v>
      </c>
      <c r="M343" s="19" t="str">
        <f>+IFERROR(IF(G343="Regular",VLOOKUP(C343,'DESCUENTO PROVEEDORES'!$B$4:$E$35,2,0),IF(G343="Premium",VLOOKUP(C343,'DESCUENTO PROVEEDORES'!$B$4:$E$35,3,0),IF(G343="Diesel",VLOOKUP(C343,'DESCUENTO PROVEEDORES'!$B$4:$E$35,4,0),"Seleccione Proveedor"))),"-")</f>
        <v>Seleccione Proveedor</v>
      </c>
      <c r="N343" s="20" t="e">
        <f>((((K343-H343)/1.16)-M343))</f>
        <v>#VALUE!</v>
      </c>
      <c r="O343" s="21" t="e">
        <f>((N343*16%)+N343)+H343+L343</f>
        <v>#VALUE!</v>
      </c>
      <c r="P343" s="21" t="e">
        <f>(((J343-O343)-H343)/1.16)+H343</f>
        <v>#VALUE!</v>
      </c>
      <c r="Q343" s="44"/>
      <c r="R343" s="24"/>
      <c r="S343" s="23" t="e">
        <f t="shared" si="15"/>
        <v>#DIV/0!</v>
      </c>
      <c r="T343" s="23" t="e">
        <f t="shared" si="16"/>
        <v>#DIV/0!</v>
      </c>
      <c r="U343" s="22" t="e">
        <f t="shared" si="17"/>
        <v>#DIV/0!</v>
      </c>
      <c r="V343" s="44"/>
      <c r="W343" s="44"/>
      <c r="X343" s="44"/>
      <c r="Y343" s="44"/>
      <c r="Z343" s="44"/>
    </row>
    <row r="344" spans="1:26" ht="15.75" customHeight="1">
      <c r="A344" s="44"/>
      <c r="B344" s="14"/>
      <c r="C344" s="53"/>
      <c r="D344" s="15"/>
      <c r="E344" s="89"/>
      <c r="F344" s="16"/>
      <c r="G344" s="16"/>
      <c r="H344" s="90" t="str">
        <f>IF(G344="Regular",Listas!$K$16,IF(G344="Premium",Listas!$K$17,IF(G344="Diesel",Listas!$K$18,"-")))</f>
        <v>-</v>
      </c>
      <c r="I344" s="17"/>
      <c r="J344" s="18"/>
      <c r="K344" s="19" t="str">
        <f>+IFERROR(IF(G344="Regular",VLOOKUP(C344,'PRECIO TERMINAL PEMEX'!$B$4:$E$35,2,0),IF(G344="Premium",VLOOKUP(C344,'PRECIO TERMINAL PEMEX'!$B$4:$E$35,3,0),IF(G344="Diesel",VLOOKUP(C344,'PRECIO TERMINAL PEMEX'!$B$4:$E$35,4,0),"Seleccione Producto"))),"-")</f>
        <v>Seleccione Producto</v>
      </c>
      <c r="L344" s="93" t="str">
        <f>+IFERROR(IF(F344="VHSA",VLOOKUP(B344,Listas!$C$4:$F$17,2,0),IF(F344="DOS BOCAS",VLOOKUP(B344,Listas!$C$4:$F$17,3,0),IF(F344="GLENCORE",VLOOKUP(B344,Listas!$C$4:$F$17,4,0),"Seleccione TAR"))),"-")</f>
        <v>Seleccione TAR</v>
      </c>
      <c r="M344" s="19" t="str">
        <f>+IFERROR(IF(G344="Regular",VLOOKUP(C344,'DESCUENTO PROVEEDORES'!$B$4:$E$35,2,0),IF(G344="Premium",VLOOKUP(C344,'DESCUENTO PROVEEDORES'!$B$4:$E$35,3,0),IF(G344="Diesel",VLOOKUP(C344,'DESCUENTO PROVEEDORES'!$B$4:$E$35,4,0),"Seleccione Proveedor"))),"-")</f>
        <v>Seleccione Proveedor</v>
      </c>
      <c r="N344" s="20" t="e">
        <f>((((K344-H344)/1.16)-M344))</f>
        <v>#VALUE!</v>
      </c>
      <c r="O344" s="21" t="e">
        <f>((N344*16%)+N344)+H344+L344</f>
        <v>#VALUE!</v>
      </c>
      <c r="P344" s="21" t="e">
        <f>(((J344-O344)-H344)/1.16)+H344</f>
        <v>#VALUE!</v>
      </c>
      <c r="Q344" s="44"/>
      <c r="R344" s="24"/>
      <c r="S344" s="23" t="e">
        <f t="shared" si="15"/>
        <v>#DIV/0!</v>
      </c>
      <c r="T344" s="23" t="e">
        <f t="shared" si="16"/>
        <v>#DIV/0!</v>
      </c>
      <c r="U344" s="22" t="e">
        <f t="shared" si="17"/>
        <v>#DIV/0!</v>
      </c>
      <c r="V344" s="44"/>
      <c r="W344" s="44"/>
      <c r="X344" s="44"/>
      <c r="Y344" s="44"/>
      <c r="Z344" s="44"/>
    </row>
    <row r="345" spans="1:26" ht="15.75" customHeight="1">
      <c r="A345" s="44"/>
      <c r="B345" s="14"/>
      <c r="C345" s="53"/>
      <c r="D345" s="15"/>
      <c r="E345" s="89"/>
      <c r="F345" s="16"/>
      <c r="G345" s="16"/>
      <c r="H345" s="90" t="str">
        <f>IF(G345="Regular",Listas!$K$16,IF(G345="Premium",Listas!$K$17,IF(G345="Diesel",Listas!$K$18,"-")))</f>
        <v>-</v>
      </c>
      <c r="I345" s="17"/>
      <c r="J345" s="18"/>
      <c r="K345" s="19" t="str">
        <f>+IFERROR(IF(G345="Regular",VLOOKUP(C345,'PRECIO TERMINAL PEMEX'!$B$4:$E$35,2,0),IF(G345="Premium",VLOOKUP(C345,'PRECIO TERMINAL PEMEX'!$B$4:$E$35,3,0),IF(G345="Diesel",VLOOKUP(C345,'PRECIO TERMINAL PEMEX'!$B$4:$E$35,4,0),"Seleccione Producto"))),"-")</f>
        <v>Seleccione Producto</v>
      </c>
      <c r="L345" s="93" t="str">
        <f>+IFERROR(IF(F345="VHSA",VLOOKUP(B345,Listas!$C$4:$F$17,2,0),IF(F345="DOS BOCAS",VLOOKUP(B345,Listas!$C$4:$F$17,3,0),IF(F345="GLENCORE",VLOOKUP(B345,Listas!$C$4:$F$17,4,0),"Seleccione TAR"))),"-")</f>
        <v>Seleccione TAR</v>
      </c>
      <c r="M345" s="19" t="str">
        <f>+IFERROR(IF(G345="Regular",VLOOKUP(C345,'DESCUENTO PROVEEDORES'!$B$4:$E$35,2,0),IF(G345="Premium",VLOOKUP(C345,'DESCUENTO PROVEEDORES'!$B$4:$E$35,3,0),IF(G345="Diesel",VLOOKUP(C345,'DESCUENTO PROVEEDORES'!$B$4:$E$35,4,0),"Seleccione Proveedor"))),"-")</f>
        <v>Seleccione Proveedor</v>
      </c>
      <c r="N345" s="20" t="e">
        <f>((((K345-H345)/1.16)-M345))</f>
        <v>#VALUE!</v>
      </c>
      <c r="O345" s="21" t="e">
        <f>((N345*16%)+N345)+H345+L345</f>
        <v>#VALUE!</v>
      </c>
      <c r="P345" s="21" t="e">
        <f>(((J345-O345)-H345)/1.16)+H345</f>
        <v>#VALUE!</v>
      </c>
      <c r="Q345" s="44"/>
      <c r="R345" s="24"/>
      <c r="S345" s="23" t="e">
        <f t="shared" si="15"/>
        <v>#DIV/0!</v>
      </c>
      <c r="T345" s="23" t="e">
        <f t="shared" si="16"/>
        <v>#DIV/0!</v>
      </c>
      <c r="U345" s="22" t="e">
        <f t="shared" si="17"/>
        <v>#DIV/0!</v>
      </c>
      <c r="V345" s="44"/>
      <c r="W345" s="44"/>
      <c r="X345" s="44"/>
      <c r="Y345" s="44"/>
      <c r="Z345" s="44"/>
    </row>
    <row r="346" spans="1:26" ht="15.75" customHeight="1">
      <c r="A346" s="44"/>
      <c r="B346" s="14"/>
      <c r="C346" s="53"/>
      <c r="D346" s="15"/>
      <c r="E346" s="89"/>
      <c r="F346" s="16"/>
      <c r="G346" s="16"/>
      <c r="H346" s="90" t="str">
        <f>IF(G346="Regular",Listas!$K$16,IF(G346="Premium",Listas!$K$17,IF(G346="Diesel",Listas!$K$18,"-")))</f>
        <v>-</v>
      </c>
      <c r="I346" s="17"/>
      <c r="J346" s="18"/>
      <c r="K346" s="19" t="str">
        <f>+IFERROR(IF(G346="Regular",VLOOKUP(C346,'PRECIO TERMINAL PEMEX'!$B$4:$E$35,2,0),IF(G346="Premium",VLOOKUP(C346,'PRECIO TERMINAL PEMEX'!$B$4:$E$35,3,0),IF(G346="Diesel",VLOOKUP(C346,'PRECIO TERMINAL PEMEX'!$B$4:$E$35,4,0),"Seleccione Producto"))),"-")</f>
        <v>Seleccione Producto</v>
      </c>
      <c r="L346" s="93" t="str">
        <f>+IFERROR(IF(F346="VHSA",VLOOKUP(B346,Listas!$C$4:$F$17,2,0),IF(F346="DOS BOCAS",VLOOKUP(B346,Listas!$C$4:$F$17,3,0),IF(F346="GLENCORE",VLOOKUP(B346,Listas!$C$4:$F$17,4,0),"Seleccione TAR"))),"-")</f>
        <v>Seleccione TAR</v>
      </c>
      <c r="M346" s="19" t="str">
        <f>+IFERROR(IF(G346="Regular",VLOOKUP(C346,'DESCUENTO PROVEEDORES'!$B$4:$E$35,2,0),IF(G346="Premium",VLOOKUP(C346,'DESCUENTO PROVEEDORES'!$B$4:$E$35,3,0),IF(G346="Diesel",VLOOKUP(C346,'DESCUENTO PROVEEDORES'!$B$4:$E$35,4,0),"Seleccione Proveedor"))),"-")</f>
        <v>Seleccione Proveedor</v>
      </c>
      <c r="N346" s="20" t="e">
        <f>((((K346-H346)/1.16)-M346))</f>
        <v>#VALUE!</v>
      </c>
      <c r="O346" s="21" t="e">
        <f>((N346*16%)+N346)+H346+L346</f>
        <v>#VALUE!</v>
      </c>
      <c r="P346" s="21" t="e">
        <f>(((J346-O346)-H346)/1.16)+H346</f>
        <v>#VALUE!</v>
      </c>
      <c r="Q346" s="44"/>
      <c r="R346" s="24"/>
      <c r="S346" s="23" t="e">
        <f t="shared" si="15"/>
        <v>#DIV/0!</v>
      </c>
      <c r="T346" s="23" t="e">
        <f t="shared" si="16"/>
        <v>#DIV/0!</v>
      </c>
      <c r="U346" s="22" t="e">
        <f t="shared" si="17"/>
        <v>#DIV/0!</v>
      </c>
      <c r="V346" s="44"/>
      <c r="W346" s="44"/>
      <c r="X346" s="44"/>
      <c r="Y346" s="44"/>
      <c r="Z346" s="44"/>
    </row>
    <row r="347" spans="1:26" ht="15.75" customHeight="1">
      <c r="A347" s="44"/>
      <c r="B347" s="14"/>
      <c r="C347" s="53"/>
      <c r="D347" s="15"/>
      <c r="E347" s="89"/>
      <c r="F347" s="16"/>
      <c r="G347" s="16"/>
      <c r="H347" s="90" t="str">
        <f>IF(G347="Regular",Listas!$K$16,IF(G347="Premium",Listas!$K$17,IF(G347="Diesel",Listas!$K$18,"-")))</f>
        <v>-</v>
      </c>
      <c r="I347" s="17"/>
      <c r="J347" s="18"/>
      <c r="K347" s="19" t="str">
        <f>+IFERROR(IF(G347="Regular",VLOOKUP(C347,'PRECIO TERMINAL PEMEX'!$B$4:$E$35,2,0),IF(G347="Premium",VLOOKUP(C347,'PRECIO TERMINAL PEMEX'!$B$4:$E$35,3,0),IF(G347="Diesel",VLOOKUP(C347,'PRECIO TERMINAL PEMEX'!$B$4:$E$35,4,0),"Seleccione Producto"))),"-")</f>
        <v>Seleccione Producto</v>
      </c>
      <c r="L347" s="93" t="str">
        <f>+IFERROR(IF(F347="VHSA",VLOOKUP(B347,Listas!$C$4:$F$17,2,0),IF(F347="DOS BOCAS",VLOOKUP(B347,Listas!$C$4:$F$17,3,0),IF(F347="GLENCORE",VLOOKUP(B347,Listas!$C$4:$F$17,4,0),"Seleccione TAR"))),"-")</f>
        <v>Seleccione TAR</v>
      </c>
      <c r="M347" s="19" t="str">
        <f>+IFERROR(IF(G347="Regular",VLOOKUP(C347,'DESCUENTO PROVEEDORES'!$B$4:$E$35,2,0),IF(G347="Premium",VLOOKUP(C347,'DESCUENTO PROVEEDORES'!$B$4:$E$35,3,0),IF(G347="Diesel",VLOOKUP(C347,'DESCUENTO PROVEEDORES'!$B$4:$E$35,4,0),"Seleccione Proveedor"))),"-")</f>
        <v>Seleccione Proveedor</v>
      </c>
      <c r="N347" s="20" t="e">
        <f>((((K347-H347)/1.16)-M347))</f>
        <v>#VALUE!</v>
      </c>
      <c r="O347" s="21" t="e">
        <f>((N347*16%)+N347)+H347+L347</f>
        <v>#VALUE!</v>
      </c>
      <c r="P347" s="21" t="e">
        <f>(((J347-O347)-H347)/1.16)+H347</f>
        <v>#VALUE!</v>
      </c>
      <c r="Q347" s="44"/>
      <c r="R347" s="24"/>
      <c r="S347" s="23" t="e">
        <f t="shared" si="15"/>
        <v>#DIV/0!</v>
      </c>
      <c r="T347" s="23" t="e">
        <f t="shared" si="16"/>
        <v>#DIV/0!</v>
      </c>
      <c r="U347" s="22" t="e">
        <f t="shared" si="17"/>
        <v>#DIV/0!</v>
      </c>
      <c r="V347" s="44"/>
      <c r="W347" s="44"/>
      <c r="X347" s="44"/>
      <c r="Y347" s="44"/>
      <c r="Z347" s="44"/>
    </row>
    <row r="348" spans="1:26" ht="15.75" customHeight="1">
      <c r="A348" s="44"/>
      <c r="B348" s="14"/>
      <c r="C348" s="53"/>
      <c r="D348" s="15"/>
      <c r="E348" s="89"/>
      <c r="F348" s="16"/>
      <c r="G348" s="16"/>
      <c r="H348" s="90" t="str">
        <f>IF(G348="Regular",Listas!$K$16,IF(G348="Premium",Listas!$K$17,IF(G348="Diesel",Listas!$K$18,"-")))</f>
        <v>-</v>
      </c>
      <c r="I348" s="17"/>
      <c r="J348" s="18"/>
      <c r="K348" s="19" t="str">
        <f>+IFERROR(IF(G348="Regular",VLOOKUP(C348,'PRECIO TERMINAL PEMEX'!$B$4:$E$35,2,0),IF(G348="Premium",VLOOKUP(C348,'PRECIO TERMINAL PEMEX'!$B$4:$E$35,3,0),IF(G348="Diesel",VLOOKUP(C348,'PRECIO TERMINAL PEMEX'!$B$4:$E$35,4,0),"Seleccione Producto"))),"-")</f>
        <v>Seleccione Producto</v>
      </c>
      <c r="L348" s="93" t="str">
        <f>+IFERROR(IF(F348="VHSA",VLOOKUP(B348,Listas!$C$4:$F$17,2,0),IF(F348="DOS BOCAS",VLOOKUP(B348,Listas!$C$4:$F$17,3,0),IF(F348="GLENCORE",VLOOKUP(B348,Listas!$C$4:$F$17,4,0),"Seleccione TAR"))),"-")</f>
        <v>Seleccione TAR</v>
      </c>
      <c r="M348" s="19" t="str">
        <f>+IFERROR(IF(G348="Regular",VLOOKUP(C348,'DESCUENTO PROVEEDORES'!$B$4:$E$35,2,0),IF(G348="Premium",VLOOKUP(C348,'DESCUENTO PROVEEDORES'!$B$4:$E$35,3,0),IF(G348="Diesel",VLOOKUP(C348,'DESCUENTO PROVEEDORES'!$B$4:$E$35,4,0),"Seleccione Proveedor"))),"-")</f>
        <v>Seleccione Proveedor</v>
      </c>
      <c r="N348" s="20" t="e">
        <f>((((K348-H348)/1.16)-M348))</f>
        <v>#VALUE!</v>
      </c>
      <c r="O348" s="21" t="e">
        <f>((N348*16%)+N348)+H348+L348</f>
        <v>#VALUE!</v>
      </c>
      <c r="P348" s="21" t="e">
        <f>(((J348-O348)-H348)/1.16)+H348</f>
        <v>#VALUE!</v>
      </c>
      <c r="Q348" s="44"/>
      <c r="R348" s="24"/>
      <c r="S348" s="23" t="e">
        <f t="shared" si="15"/>
        <v>#DIV/0!</v>
      </c>
      <c r="T348" s="23" t="e">
        <f t="shared" si="16"/>
        <v>#DIV/0!</v>
      </c>
      <c r="U348" s="22" t="e">
        <f t="shared" si="17"/>
        <v>#DIV/0!</v>
      </c>
      <c r="V348" s="44"/>
      <c r="W348" s="44"/>
      <c r="X348" s="44"/>
      <c r="Y348" s="44"/>
      <c r="Z348" s="44"/>
    </row>
    <row r="349" spans="1:26" ht="15.75" customHeight="1">
      <c r="A349" s="44"/>
      <c r="B349" s="14"/>
      <c r="C349" s="53"/>
      <c r="D349" s="15"/>
      <c r="E349" s="89"/>
      <c r="F349" s="16"/>
      <c r="G349" s="16"/>
      <c r="H349" s="90" t="str">
        <f>IF(G349="Regular",Listas!$K$16,IF(G349="Premium",Listas!$K$17,IF(G349="Diesel",Listas!$K$18,"-")))</f>
        <v>-</v>
      </c>
      <c r="I349" s="17"/>
      <c r="J349" s="18"/>
      <c r="K349" s="19" t="str">
        <f>+IFERROR(IF(G349="Regular",VLOOKUP(C349,'PRECIO TERMINAL PEMEX'!$B$4:$E$35,2,0),IF(G349="Premium",VLOOKUP(C349,'PRECIO TERMINAL PEMEX'!$B$4:$E$35,3,0),IF(G349="Diesel",VLOOKUP(C349,'PRECIO TERMINAL PEMEX'!$B$4:$E$35,4,0),"Seleccione Producto"))),"-")</f>
        <v>Seleccione Producto</v>
      </c>
      <c r="L349" s="93" t="str">
        <f>+IFERROR(IF(F349="VHSA",VLOOKUP(B349,Listas!$C$4:$F$17,2,0),IF(F349="DOS BOCAS",VLOOKUP(B349,Listas!$C$4:$F$17,3,0),IF(F349="GLENCORE",VLOOKUP(B349,Listas!$C$4:$F$17,4,0),"Seleccione TAR"))),"-")</f>
        <v>Seleccione TAR</v>
      </c>
      <c r="M349" s="19" t="str">
        <f>+IFERROR(IF(G349="Regular",VLOOKUP(C349,'DESCUENTO PROVEEDORES'!$B$4:$E$35,2,0),IF(G349="Premium",VLOOKUP(C349,'DESCUENTO PROVEEDORES'!$B$4:$E$35,3,0),IF(G349="Diesel",VLOOKUP(C349,'DESCUENTO PROVEEDORES'!$B$4:$E$35,4,0),"Seleccione Proveedor"))),"-")</f>
        <v>Seleccione Proveedor</v>
      </c>
      <c r="N349" s="20" t="e">
        <f>((((K349-H349)/1.16)-M349))</f>
        <v>#VALUE!</v>
      </c>
      <c r="O349" s="21" t="e">
        <f>((N349*16%)+N349)+H349+L349</f>
        <v>#VALUE!</v>
      </c>
      <c r="P349" s="21" t="e">
        <f>(((J349-O349)-H349)/1.16)+H349</f>
        <v>#VALUE!</v>
      </c>
      <c r="Q349" s="44"/>
      <c r="R349" s="24"/>
      <c r="S349" s="23" t="e">
        <f t="shared" si="15"/>
        <v>#DIV/0!</v>
      </c>
      <c r="T349" s="23" t="e">
        <f t="shared" si="16"/>
        <v>#DIV/0!</v>
      </c>
      <c r="U349" s="22" t="e">
        <f t="shared" si="17"/>
        <v>#DIV/0!</v>
      </c>
      <c r="V349" s="44"/>
      <c r="W349" s="44"/>
      <c r="X349" s="44"/>
      <c r="Y349" s="44"/>
      <c r="Z349" s="44"/>
    </row>
    <row r="350" spans="1:26" ht="15.75" customHeight="1">
      <c r="A350" s="44"/>
      <c r="B350" s="14"/>
      <c r="C350" s="53"/>
      <c r="D350" s="15"/>
      <c r="E350" s="89"/>
      <c r="F350" s="16"/>
      <c r="G350" s="16"/>
      <c r="H350" s="90" t="str">
        <f>IF(G350="Regular",Listas!$K$16,IF(G350="Premium",Listas!$K$17,IF(G350="Diesel",Listas!$K$18,"-")))</f>
        <v>-</v>
      </c>
      <c r="I350" s="17"/>
      <c r="J350" s="18"/>
      <c r="K350" s="19" t="str">
        <f>+IFERROR(IF(G350="Regular",VLOOKUP(C350,'PRECIO TERMINAL PEMEX'!$B$4:$E$35,2,0),IF(G350="Premium",VLOOKUP(C350,'PRECIO TERMINAL PEMEX'!$B$4:$E$35,3,0),IF(G350="Diesel",VLOOKUP(C350,'PRECIO TERMINAL PEMEX'!$B$4:$E$35,4,0),"Seleccione Producto"))),"-")</f>
        <v>Seleccione Producto</v>
      </c>
      <c r="L350" s="93" t="str">
        <f>+IFERROR(IF(F350="VHSA",VLOOKUP(B350,Listas!$C$4:$F$17,2,0),IF(F350="DOS BOCAS",VLOOKUP(B350,Listas!$C$4:$F$17,3,0),IF(F350="GLENCORE",VLOOKUP(B350,Listas!$C$4:$F$17,4,0),"Seleccione TAR"))),"-")</f>
        <v>Seleccione TAR</v>
      </c>
      <c r="M350" s="19" t="str">
        <f>+IFERROR(IF(G350="Regular",VLOOKUP(C350,'DESCUENTO PROVEEDORES'!$B$4:$E$35,2,0),IF(G350="Premium",VLOOKUP(C350,'DESCUENTO PROVEEDORES'!$B$4:$E$35,3,0),IF(G350="Diesel",VLOOKUP(C350,'DESCUENTO PROVEEDORES'!$B$4:$E$35,4,0),"Seleccione Proveedor"))),"-")</f>
        <v>Seleccione Proveedor</v>
      </c>
      <c r="N350" s="20" t="e">
        <f>((((K350-H350)/1.16)-M350))</f>
        <v>#VALUE!</v>
      </c>
      <c r="O350" s="21" t="e">
        <f>((N350*16%)+N350)+H350+L350</f>
        <v>#VALUE!</v>
      </c>
      <c r="P350" s="21" t="e">
        <f>(((J350-O350)-H350)/1.16)+H350</f>
        <v>#VALUE!</v>
      </c>
      <c r="Q350" s="44"/>
      <c r="R350" s="24"/>
      <c r="S350" s="23" t="e">
        <f t="shared" si="15"/>
        <v>#DIV/0!</v>
      </c>
      <c r="T350" s="23" t="e">
        <f t="shared" si="16"/>
        <v>#DIV/0!</v>
      </c>
      <c r="U350" s="22" t="e">
        <f t="shared" si="17"/>
        <v>#DIV/0!</v>
      </c>
      <c r="V350" s="44"/>
      <c r="W350" s="44"/>
      <c r="X350" s="44"/>
      <c r="Y350" s="44"/>
      <c r="Z350" s="44"/>
    </row>
    <row r="351" spans="1:26" ht="15.75" customHeight="1">
      <c r="A351" s="44"/>
      <c r="B351" s="14"/>
      <c r="C351" s="53"/>
      <c r="D351" s="15"/>
      <c r="E351" s="89"/>
      <c r="F351" s="16"/>
      <c r="G351" s="16"/>
      <c r="H351" s="90" t="str">
        <f>IF(G351="Regular",Listas!$K$16,IF(G351="Premium",Listas!$K$17,IF(G351="Diesel",Listas!$K$18,"-")))</f>
        <v>-</v>
      </c>
      <c r="I351" s="17"/>
      <c r="J351" s="18"/>
      <c r="K351" s="19" t="str">
        <f>+IFERROR(IF(G351="Regular",VLOOKUP(C351,'PRECIO TERMINAL PEMEX'!$B$4:$E$35,2,0),IF(G351="Premium",VLOOKUP(C351,'PRECIO TERMINAL PEMEX'!$B$4:$E$35,3,0),IF(G351="Diesel",VLOOKUP(C351,'PRECIO TERMINAL PEMEX'!$B$4:$E$35,4,0),"Seleccione Producto"))),"-")</f>
        <v>Seleccione Producto</v>
      </c>
      <c r="L351" s="93" t="str">
        <f>+IFERROR(IF(F351="VHSA",VLOOKUP(B351,Listas!$C$4:$F$17,2,0),IF(F351="DOS BOCAS",VLOOKUP(B351,Listas!$C$4:$F$17,3,0),IF(F351="GLENCORE",VLOOKUP(B351,Listas!$C$4:$F$17,4,0),"Seleccione TAR"))),"-")</f>
        <v>Seleccione TAR</v>
      </c>
      <c r="M351" s="19" t="str">
        <f>+IFERROR(IF(G351="Regular",VLOOKUP(C351,'DESCUENTO PROVEEDORES'!$B$4:$E$35,2,0),IF(G351="Premium",VLOOKUP(C351,'DESCUENTO PROVEEDORES'!$B$4:$E$35,3,0),IF(G351="Diesel",VLOOKUP(C351,'DESCUENTO PROVEEDORES'!$B$4:$E$35,4,0),"Seleccione Proveedor"))),"-")</f>
        <v>Seleccione Proveedor</v>
      </c>
      <c r="N351" s="20" t="e">
        <f>((((K351-H351)/1.16)-M351))</f>
        <v>#VALUE!</v>
      </c>
      <c r="O351" s="21" t="e">
        <f>((N351*16%)+N351)+H351+L351</f>
        <v>#VALUE!</v>
      </c>
      <c r="P351" s="21" t="e">
        <f>(((J351-O351)-H351)/1.16)+H351</f>
        <v>#VALUE!</v>
      </c>
      <c r="Q351" s="44"/>
      <c r="R351" s="24"/>
      <c r="S351" s="23" t="e">
        <f t="shared" si="15"/>
        <v>#DIV/0!</v>
      </c>
      <c r="T351" s="23" t="e">
        <f t="shared" si="16"/>
        <v>#DIV/0!</v>
      </c>
      <c r="U351" s="22" t="e">
        <f t="shared" si="17"/>
        <v>#DIV/0!</v>
      </c>
      <c r="V351" s="44"/>
      <c r="W351" s="44"/>
      <c r="X351" s="44"/>
      <c r="Y351" s="44"/>
      <c r="Z351" s="44"/>
    </row>
    <row r="352" spans="1:26" ht="15.75" customHeight="1">
      <c r="A352" s="44"/>
      <c r="B352" s="14"/>
      <c r="C352" s="53"/>
      <c r="D352" s="15"/>
      <c r="E352" s="89"/>
      <c r="F352" s="16"/>
      <c r="G352" s="16"/>
      <c r="H352" s="90" t="str">
        <f>IF(G352="Regular",Listas!$K$16,IF(G352="Premium",Listas!$K$17,IF(G352="Diesel",Listas!$K$18,"-")))</f>
        <v>-</v>
      </c>
      <c r="I352" s="17"/>
      <c r="J352" s="18"/>
      <c r="K352" s="19" t="str">
        <f>+IFERROR(IF(G352="Regular",VLOOKUP(C352,'PRECIO TERMINAL PEMEX'!$B$4:$E$35,2,0),IF(G352="Premium",VLOOKUP(C352,'PRECIO TERMINAL PEMEX'!$B$4:$E$35,3,0),IF(G352="Diesel",VLOOKUP(C352,'PRECIO TERMINAL PEMEX'!$B$4:$E$35,4,0),"Seleccione Producto"))),"-")</f>
        <v>Seleccione Producto</v>
      </c>
      <c r="L352" s="93" t="str">
        <f>+IFERROR(IF(F352="VHSA",VLOOKUP(B352,Listas!$C$4:$F$17,2,0),IF(F352="DOS BOCAS",VLOOKUP(B352,Listas!$C$4:$F$17,3,0),IF(F352="GLENCORE",VLOOKUP(B352,Listas!$C$4:$F$17,4,0),"Seleccione TAR"))),"-")</f>
        <v>Seleccione TAR</v>
      </c>
      <c r="M352" s="19" t="str">
        <f>+IFERROR(IF(G352="Regular",VLOOKUP(C352,'DESCUENTO PROVEEDORES'!$B$4:$E$35,2,0),IF(G352="Premium",VLOOKUP(C352,'DESCUENTO PROVEEDORES'!$B$4:$E$35,3,0),IF(G352="Diesel",VLOOKUP(C352,'DESCUENTO PROVEEDORES'!$B$4:$E$35,4,0),"Seleccione Proveedor"))),"-")</f>
        <v>Seleccione Proveedor</v>
      </c>
      <c r="N352" s="20" t="e">
        <f>((((K352-H352)/1.16)-M352))</f>
        <v>#VALUE!</v>
      </c>
      <c r="O352" s="21" t="e">
        <f>((N352*16%)+N352)+H352+L352</f>
        <v>#VALUE!</v>
      </c>
      <c r="P352" s="21" t="e">
        <f>(((J352-O352)-H352)/1.16)+H352</f>
        <v>#VALUE!</v>
      </c>
      <c r="Q352" s="44"/>
      <c r="R352" s="24"/>
      <c r="S352" s="23" t="e">
        <f t="shared" si="15"/>
        <v>#DIV/0!</v>
      </c>
      <c r="T352" s="23" t="e">
        <f t="shared" si="16"/>
        <v>#DIV/0!</v>
      </c>
      <c r="U352" s="22" t="e">
        <f t="shared" si="17"/>
        <v>#DIV/0!</v>
      </c>
      <c r="V352" s="44"/>
      <c r="W352" s="44"/>
      <c r="X352" s="44"/>
      <c r="Y352" s="44"/>
      <c r="Z352" s="44"/>
    </row>
    <row r="353" spans="1:26" ht="15.75" customHeight="1">
      <c r="A353" s="44"/>
      <c r="B353" s="14"/>
      <c r="C353" s="53"/>
      <c r="D353" s="15"/>
      <c r="E353" s="89"/>
      <c r="F353" s="16"/>
      <c r="G353" s="16"/>
      <c r="H353" s="90" t="str">
        <f>IF(G353="Regular",Listas!$K$16,IF(G353="Premium",Listas!$K$17,IF(G353="Diesel",Listas!$K$18,"-")))</f>
        <v>-</v>
      </c>
      <c r="I353" s="17"/>
      <c r="J353" s="18"/>
      <c r="K353" s="19" t="str">
        <f>+IFERROR(IF(G353="Regular",VLOOKUP(C353,'PRECIO TERMINAL PEMEX'!$B$4:$E$35,2,0),IF(G353="Premium",VLOOKUP(C353,'PRECIO TERMINAL PEMEX'!$B$4:$E$35,3,0),IF(G353="Diesel",VLOOKUP(C353,'PRECIO TERMINAL PEMEX'!$B$4:$E$35,4,0),"Seleccione Producto"))),"-")</f>
        <v>Seleccione Producto</v>
      </c>
      <c r="L353" s="93" t="str">
        <f>+IFERROR(IF(F353="VHSA",VLOOKUP(B353,Listas!$C$4:$F$17,2,0),IF(F353="DOS BOCAS",VLOOKUP(B353,Listas!$C$4:$F$17,3,0),IF(F353="GLENCORE",VLOOKUP(B353,Listas!$C$4:$F$17,4,0),"Seleccione TAR"))),"-")</f>
        <v>Seleccione TAR</v>
      </c>
      <c r="M353" s="19" t="str">
        <f>+IFERROR(IF(G353="Regular",VLOOKUP(C353,'DESCUENTO PROVEEDORES'!$B$4:$E$35,2,0),IF(G353="Premium",VLOOKUP(C353,'DESCUENTO PROVEEDORES'!$B$4:$E$35,3,0),IF(G353="Diesel",VLOOKUP(C353,'DESCUENTO PROVEEDORES'!$B$4:$E$35,4,0),"Seleccione Proveedor"))),"-")</f>
        <v>Seleccione Proveedor</v>
      </c>
      <c r="N353" s="20" t="e">
        <f>((((K353-H353)/1.16)-M353))</f>
        <v>#VALUE!</v>
      </c>
      <c r="O353" s="21" t="e">
        <f>((N353*16%)+N353)+H353+L353</f>
        <v>#VALUE!</v>
      </c>
      <c r="P353" s="21" t="e">
        <f>(((J353-O353)-H353)/1.16)+H353</f>
        <v>#VALUE!</v>
      </c>
      <c r="Q353" s="44"/>
      <c r="R353" s="24"/>
      <c r="S353" s="23" t="e">
        <f t="shared" si="15"/>
        <v>#DIV/0!</v>
      </c>
      <c r="T353" s="23" t="e">
        <f t="shared" si="16"/>
        <v>#DIV/0!</v>
      </c>
      <c r="U353" s="22" t="e">
        <f t="shared" si="17"/>
        <v>#DIV/0!</v>
      </c>
      <c r="V353" s="44"/>
      <c r="W353" s="44"/>
      <c r="X353" s="44"/>
      <c r="Y353" s="44"/>
      <c r="Z353" s="44"/>
    </row>
    <row r="354" spans="1:26" ht="15.75" customHeight="1">
      <c r="A354" s="44"/>
      <c r="B354" s="14"/>
      <c r="C354" s="53"/>
      <c r="D354" s="15"/>
      <c r="E354" s="89"/>
      <c r="F354" s="16"/>
      <c r="G354" s="16"/>
      <c r="H354" s="90" t="str">
        <f>IF(G354="Regular",Listas!$K$16,IF(G354="Premium",Listas!$K$17,IF(G354="Diesel",Listas!$K$18,"-")))</f>
        <v>-</v>
      </c>
      <c r="I354" s="17"/>
      <c r="J354" s="18"/>
      <c r="K354" s="19" t="str">
        <f>+IFERROR(IF(G354="Regular",VLOOKUP(C354,'PRECIO TERMINAL PEMEX'!$B$4:$E$35,2,0),IF(G354="Premium",VLOOKUP(C354,'PRECIO TERMINAL PEMEX'!$B$4:$E$35,3,0),IF(G354="Diesel",VLOOKUP(C354,'PRECIO TERMINAL PEMEX'!$B$4:$E$35,4,0),"Seleccione Producto"))),"-")</f>
        <v>Seleccione Producto</v>
      </c>
      <c r="L354" s="93" t="str">
        <f>+IFERROR(IF(F354="VHSA",VLOOKUP(B354,Listas!$C$4:$F$17,2,0),IF(F354="DOS BOCAS",VLOOKUP(B354,Listas!$C$4:$F$17,3,0),IF(F354="GLENCORE",VLOOKUP(B354,Listas!$C$4:$F$17,4,0),"Seleccione TAR"))),"-")</f>
        <v>Seleccione TAR</v>
      </c>
      <c r="M354" s="19" t="str">
        <f>+IFERROR(IF(G354="Regular",VLOOKUP(C354,'DESCUENTO PROVEEDORES'!$B$4:$E$35,2,0),IF(G354="Premium",VLOOKUP(C354,'DESCUENTO PROVEEDORES'!$B$4:$E$35,3,0),IF(G354="Diesel",VLOOKUP(C354,'DESCUENTO PROVEEDORES'!$B$4:$E$35,4,0),"Seleccione Proveedor"))),"-")</f>
        <v>Seleccione Proveedor</v>
      </c>
      <c r="N354" s="20" t="e">
        <f>((((K354-H354)/1.16)-M354))</f>
        <v>#VALUE!</v>
      </c>
      <c r="O354" s="21" t="e">
        <f>((N354*16%)+N354)+H354+L354</f>
        <v>#VALUE!</v>
      </c>
      <c r="P354" s="21" t="e">
        <f>(((J354-O354)-H354)/1.16)+H354</f>
        <v>#VALUE!</v>
      </c>
      <c r="Q354" s="44"/>
      <c r="R354" s="24"/>
      <c r="S354" s="23" t="e">
        <f t="shared" si="15"/>
        <v>#DIV/0!</v>
      </c>
      <c r="T354" s="23" t="e">
        <f t="shared" si="16"/>
        <v>#DIV/0!</v>
      </c>
      <c r="U354" s="22" t="e">
        <f t="shared" si="17"/>
        <v>#DIV/0!</v>
      </c>
      <c r="V354" s="44"/>
      <c r="W354" s="44"/>
      <c r="X354" s="44"/>
      <c r="Y354" s="44"/>
      <c r="Z354" s="44"/>
    </row>
    <row r="355" spans="1:26" ht="15.75" customHeight="1">
      <c r="A355" s="44"/>
      <c r="B355" s="14"/>
      <c r="C355" s="53"/>
      <c r="D355" s="15"/>
      <c r="E355" s="89"/>
      <c r="F355" s="16"/>
      <c r="G355" s="16"/>
      <c r="H355" s="90" t="str">
        <f>IF(G355="Regular",Listas!$K$16,IF(G355="Premium",Listas!$K$17,IF(G355="Diesel",Listas!$K$18,"-")))</f>
        <v>-</v>
      </c>
      <c r="I355" s="17"/>
      <c r="J355" s="18"/>
      <c r="K355" s="19" t="str">
        <f>+IFERROR(IF(G355="Regular",VLOOKUP(C355,'PRECIO TERMINAL PEMEX'!$B$4:$E$35,2,0),IF(G355="Premium",VLOOKUP(C355,'PRECIO TERMINAL PEMEX'!$B$4:$E$35,3,0),IF(G355="Diesel",VLOOKUP(C355,'PRECIO TERMINAL PEMEX'!$B$4:$E$35,4,0),"Seleccione Producto"))),"-")</f>
        <v>Seleccione Producto</v>
      </c>
      <c r="L355" s="93" t="str">
        <f>+IFERROR(IF(F355="VHSA",VLOOKUP(B355,Listas!$C$4:$F$17,2,0),IF(F355="DOS BOCAS",VLOOKUP(B355,Listas!$C$4:$F$17,3,0),IF(F355="GLENCORE",VLOOKUP(B355,Listas!$C$4:$F$17,4,0),"Seleccione TAR"))),"-")</f>
        <v>Seleccione TAR</v>
      </c>
      <c r="M355" s="19" t="str">
        <f>+IFERROR(IF(G355="Regular",VLOOKUP(C355,'DESCUENTO PROVEEDORES'!$B$4:$E$35,2,0),IF(G355="Premium",VLOOKUP(C355,'DESCUENTO PROVEEDORES'!$B$4:$E$35,3,0),IF(G355="Diesel",VLOOKUP(C355,'DESCUENTO PROVEEDORES'!$B$4:$E$35,4,0),"Seleccione Proveedor"))),"-")</f>
        <v>Seleccione Proveedor</v>
      </c>
      <c r="N355" s="20" t="e">
        <f>((((K355-H355)/1.16)-M355))</f>
        <v>#VALUE!</v>
      </c>
      <c r="O355" s="21" t="e">
        <f>((N355*16%)+N355)+H355+L355</f>
        <v>#VALUE!</v>
      </c>
      <c r="P355" s="21" t="e">
        <f>(((J355-O355)-H355)/1.16)+H355</f>
        <v>#VALUE!</v>
      </c>
      <c r="Q355" s="44"/>
      <c r="R355" s="24"/>
      <c r="S355" s="23" t="e">
        <f t="shared" si="15"/>
        <v>#DIV/0!</v>
      </c>
      <c r="T355" s="23" t="e">
        <f t="shared" si="16"/>
        <v>#DIV/0!</v>
      </c>
      <c r="U355" s="22" t="e">
        <f t="shared" si="17"/>
        <v>#DIV/0!</v>
      </c>
      <c r="V355" s="44"/>
      <c r="W355" s="44"/>
      <c r="X355" s="44"/>
      <c r="Y355" s="44"/>
      <c r="Z355" s="44"/>
    </row>
    <row r="356" spans="1:26" ht="15.75" customHeight="1">
      <c r="A356" s="44"/>
      <c r="B356" s="14"/>
      <c r="C356" s="53"/>
      <c r="D356" s="15"/>
      <c r="E356" s="89"/>
      <c r="F356" s="16"/>
      <c r="G356" s="16"/>
      <c r="H356" s="90" t="str">
        <f>IF(G356="Regular",Listas!$K$16,IF(G356="Premium",Listas!$K$17,IF(G356="Diesel",Listas!$K$18,"-")))</f>
        <v>-</v>
      </c>
      <c r="I356" s="17"/>
      <c r="J356" s="18"/>
      <c r="K356" s="19" t="str">
        <f>+IFERROR(IF(G356="Regular",VLOOKUP(C356,'PRECIO TERMINAL PEMEX'!$B$4:$E$35,2,0),IF(G356="Premium",VLOOKUP(C356,'PRECIO TERMINAL PEMEX'!$B$4:$E$35,3,0),IF(G356="Diesel",VLOOKUP(C356,'PRECIO TERMINAL PEMEX'!$B$4:$E$35,4,0),"Seleccione Producto"))),"-")</f>
        <v>Seleccione Producto</v>
      </c>
      <c r="L356" s="93" t="str">
        <f>+IFERROR(IF(F356="VHSA",VLOOKUP(B356,Listas!$C$4:$F$17,2,0),IF(F356="DOS BOCAS",VLOOKUP(B356,Listas!$C$4:$F$17,3,0),IF(F356="GLENCORE",VLOOKUP(B356,Listas!$C$4:$F$17,4,0),"Seleccione TAR"))),"-")</f>
        <v>Seleccione TAR</v>
      </c>
      <c r="M356" s="19" t="str">
        <f>+IFERROR(IF(G356="Regular",VLOOKUP(C356,'DESCUENTO PROVEEDORES'!$B$4:$E$35,2,0),IF(G356="Premium",VLOOKUP(C356,'DESCUENTO PROVEEDORES'!$B$4:$E$35,3,0),IF(G356="Diesel",VLOOKUP(C356,'DESCUENTO PROVEEDORES'!$B$4:$E$35,4,0),"Seleccione Proveedor"))),"-")</f>
        <v>Seleccione Proveedor</v>
      </c>
      <c r="N356" s="20" t="e">
        <f>((((K356-H356)/1.16)-M356))</f>
        <v>#VALUE!</v>
      </c>
      <c r="O356" s="21" t="e">
        <f>((N356*16%)+N356)+H356+L356</f>
        <v>#VALUE!</v>
      </c>
      <c r="P356" s="21" t="e">
        <f>(((J356-O356)-H356)/1.16)+H356</f>
        <v>#VALUE!</v>
      </c>
      <c r="Q356" s="44"/>
      <c r="R356" s="24"/>
      <c r="S356" s="23" t="e">
        <f t="shared" si="15"/>
        <v>#DIV/0!</v>
      </c>
      <c r="T356" s="23" t="e">
        <f t="shared" si="16"/>
        <v>#DIV/0!</v>
      </c>
      <c r="U356" s="22" t="e">
        <f t="shared" si="17"/>
        <v>#DIV/0!</v>
      </c>
      <c r="V356" s="44"/>
      <c r="W356" s="44"/>
      <c r="X356" s="44"/>
      <c r="Y356" s="44"/>
      <c r="Z356" s="44"/>
    </row>
    <row r="357" spans="1:26" ht="15.75" customHeight="1">
      <c r="A357" s="44"/>
      <c r="B357" s="14"/>
      <c r="C357" s="53"/>
      <c r="D357" s="15"/>
      <c r="E357" s="89"/>
      <c r="F357" s="16"/>
      <c r="G357" s="16"/>
      <c r="H357" s="90" t="str">
        <f>IF(G357="Regular",Listas!$K$16,IF(G357="Premium",Listas!$K$17,IF(G357="Diesel",Listas!$K$18,"-")))</f>
        <v>-</v>
      </c>
      <c r="I357" s="17"/>
      <c r="J357" s="18"/>
      <c r="K357" s="19" t="str">
        <f>+IFERROR(IF(G357="Regular",VLOOKUP(C357,'PRECIO TERMINAL PEMEX'!$B$4:$E$35,2,0),IF(G357="Premium",VLOOKUP(C357,'PRECIO TERMINAL PEMEX'!$B$4:$E$35,3,0),IF(G357="Diesel",VLOOKUP(C357,'PRECIO TERMINAL PEMEX'!$B$4:$E$35,4,0),"Seleccione Producto"))),"-")</f>
        <v>Seleccione Producto</v>
      </c>
      <c r="L357" s="93" t="str">
        <f>+IFERROR(IF(F357="VHSA",VLOOKUP(B357,Listas!$C$4:$F$17,2,0),IF(F357="DOS BOCAS",VLOOKUP(B357,Listas!$C$4:$F$17,3,0),IF(F357="GLENCORE",VLOOKUP(B357,Listas!$C$4:$F$17,4,0),"Seleccione TAR"))),"-")</f>
        <v>Seleccione TAR</v>
      </c>
      <c r="M357" s="19" t="str">
        <f>+IFERROR(IF(G357="Regular",VLOOKUP(C357,'DESCUENTO PROVEEDORES'!$B$4:$E$35,2,0),IF(G357="Premium",VLOOKUP(C357,'DESCUENTO PROVEEDORES'!$B$4:$E$35,3,0),IF(G357="Diesel",VLOOKUP(C357,'DESCUENTO PROVEEDORES'!$B$4:$E$35,4,0),"Seleccione Proveedor"))),"-")</f>
        <v>Seleccione Proveedor</v>
      </c>
      <c r="N357" s="20" t="e">
        <f>((((K357-H357)/1.16)-M357))</f>
        <v>#VALUE!</v>
      </c>
      <c r="O357" s="21" t="e">
        <f>((N357*16%)+N357)+H357+L357</f>
        <v>#VALUE!</v>
      </c>
      <c r="P357" s="21" t="e">
        <f>(((J357-O357)-H357)/1.16)+H357</f>
        <v>#VALUE!</v>
      </c>
      <c r="Q357" s="44"/>
      <c r="R357" s="24"/>
      <c r="S357" s="23" t="e">
        <f t="shared" si="15"/>
        <v>#DIV/0!</v>
      </c>
      <c r="T357" s="23" t="e">
        <f t="shared" si="16"/>
        <v>#DIV/0!</v>
      </c>
      <c r="U357" s="22" t="e">
        <f t="shared" si="17"/>
        <v>#DIV/0!</v>
      </c>
      <c r="V357" s="44"/>
      <c r="W357" s="44"/>
      <c r="X357" s="44"/>
      <c r="Y357" s="44"/>
      <c r="Z357" s="44"/>
    </row>
    <row r="358" spans="1:26" ht="15.75" customHeight="1">
      <c r="A358" s="44"/>
      <c r="B358" s="14"/>
      <c r="C358" s="53"/>
      <c r="D358" s="15"/>
      <c r="E358" s="89"/>
      <c r="F358" s="16"/>
      <c r="G358" s="16"/>
      <c r="H358" s="90" t="str">
        <f>IF(G358="Regular",Listas!$K$16,IF(G358="Premium",Listas!$K$17,IF(G358="Diesel",Listas!$K$18,"-")))</f>
        <v>-</v>
      </c>
      <c r="I358" s="17"/>
      <c r="J358" s="18"/>
      <c r="K358" s="19" t="str">
        <f>+IFERROR(IF(G358="Regular",VLOOKUP(C358,'PRECIO TERMINAL PEMEX'!$B$4:$E$35,2,0),IF(G358="Premium",VLOOKUP(C358,'PRECIO TERMINAL PEMEX'!$B$4:$E$35,3,0),IF(G358="Diesel",VLOOKUP(C358,'PRECIO TERMINAL PEMEX'!$B$4:$E$35,4,0),"Seleccione Producto"))),"-")</f>
        <v>Seleccione Producto</v>
      </c>
      <c r="L358" s="93" t="str">
        <f>+IFERROR(IF(F358="VHSA",VLOOKUP(B358,Listas!$C$4:$F$17,2,0),IF(F358="DOS BOCAS",VLOOKUP(B358,Listas!$C$4:$F$17,3,0),IF(F358="GLENCORE",VLOOKUP(B358,Listas!$C$4:$F$17,4,0),"Seleccione TAR"))),"-")</f>
        <v>Seleccione TAR</v>
      </c>
      <c r="M358" s="19" t="str">
        <f>+IFERROR(IF(G358="Regular",VLOOKUP(C358,'DESCUENTO PROVEEDORES'!$B$4:$E$35,2,0),IF(G358="Premium",VLOOKUP(C358,'DESCUENTO PROVEEDORES'!$B$4:$E$35,3,0),IF(G358="Diesel",VLOOKUP(C358,'DESCUENTO PROVEEDORES'!$B$4:$E$35,4,0),"Seleccione Proveedor"))),"-")</f>
        <v>Seleccione Proveedor</v>
      </c>
      <c r="N358" s="20" t="e">
        <f>((((K358-H358)/1.16)-M358))</f>
        <v>#VALUE!</v>
      </c>
      <c r="O358" s="21" t="e">
        <f>((N358*16%)+N358)+H358+L358</f>
        <v>#VALUE!</v>
      </c>
      <c r="P358" s="21" t="e">
        <f>(((J358-O358)-H358)/1.16)+H358</f>
        <v>#VALUE!</v>
      </c>
      <c r="Q358" s="44"/>
      <c r="R358" s="24"/>
      <c r="S358" s="23" t="e">
        <f t="shared" si="15"/>
        <v>#DIV/0!</v>
      </c>
      <c r="T358" s="23" t="e">
        <f t="shared" si="16"/>
        <v>#DIV/0!</v>
      </c>
      <c r="U358" s="22" t="e">
        <f t="shared" si="17"/>
        <v>#DIV/0!</v>
      </c>
      <c r="V358" s="44"/>
      <c r="W358" s="44"/>
      <c r="X358" s="44"/>
      <c r="Y358" s="44"/>
      <c r="Z358" s="44"/>
    </row>
    <row r="359" spans="1:26" ht="15.75" customHeight="1">
      <c r="A359" s="44"/>
      <c r="B359" s="14"/>
      <c r="C359" s="53"/>
      <c r="D359" s="15"/>
      <c r="E359" s="89"/>
      <c r="F359" s="16"/>
      <c r="G359" s="16"/>
      <c r="H359" s="90" t="str">
        <f>IF(G359="Regular",Listas!$K$16,IF(G359="Premium",Listas!$K$17,IF(G359="Diesel",Listas!$K$18,"-")))</f>
        <v>-</v>
      </c>
      <c r="I359" s="17"/>
      <c r="J359" s="18"/>
      <c r="K359" s="19" t="str">
        <f>+IFERROR(IF(G359="Regular",VLOOKUP(C359,'PRECIO TERMINAL PEMEX'!$B$4:$E$35,2,0),IF(G359="Premium",VLOOKUP(C359,'PRECIO TERMINAL PEMEX'!$B$4:$E$35,3,0),IF(G359="Diesel",VLOOKUP(C359,'PRECIO TERMINAL PEMEX'!$B$4:$E$35,4,0),"Seleccione Producto"))),"-")</f>
        <v>Seleccione Producto</v>
      </c>
      <c r="L359" s="93" t="str">
        <f>+IFERROR(IF(F359="VHSA",VLOOKUP(B359,Listas!$C$4:$F$17,2,0),IF(F359="DOS BOCAS",VLOOKUP(B359,Listas!$C$4:$F$17,3,0),IF(F359="GLENCORE",VLOOKUP(B359,Listas!$C$4:$F$17,4,0),"Seleccione TAR"))),"-")</f>
        <v>Seleccione TAR</v>
      </c>
      <c r="M359" s="19" t="str">
        <f>+IFERROR(IF(G359="Regular",VLOOKUP(C359,'DESCUENTO PROVEEDORES'!$B$4:$E$35,2,0),IF(G359="Premium",VLOOKUP(C359,'DESCUENTO PROVEEDORES'!$B$4:$E$35,3,0),IF(G359="Diesel",VLOOKUP(C359,'DESCUENTO PROVEEDORES'!$B$4:$E$35,4,0),"Seleccione Proveedor"))),"-")</f>
        <v>Seleccione Proveedor</v>
      </c>
      <c r="N359" s="20" t="e">
        <f>((((K359-H359)/1.16)-M359))</f>
        <v>#VALUE!</v>
      </c>
      <c r="O359" s="21" t="e">
        <f>((N359*16%)+N359)+H359+L359</f>
        <v>#VALUE!</v>
      </c>
      <c r="P359" s="21" t="e">
        <f>(((J359-O359)-H359)/1.16)+H359</f>
        <v>#VALUE!</v>
      </c>
      <c r="Q359" s="44"/>
      <c r="R359" s="24"/>
      <c r="S359" s="23" t="e">
        <f t="shared" si="15"/>
        <v>#DIV/0!</v>
      </c>
      <c r="T359" s="23" t="e">
        <f t="shared" si="16"/>
        <v>#DIV/0!</v>
      </c>
      <c r="U359" s="22" t="e">
        <f t="shared" si="17"/>
        <v>#DIV/0!</v>
      </c>
      <c r="V359" s="44"/>
      <c r="W359" s="44"/>
      <c r="X359" s="44"/>
      <c r="Y359" s="44"/>
      <c r="Z359" s="44"/>
    </row>
    <row r="360" spans="1:26" ht="15.75" customHeight="1">
      <c r="A360" s="44"/>
      <c r="B360" s="14"/>
      <c r="C360" s="53"/>
      <c r="D360" s="15"/>
      <c r="E360" s="89"/>
      <c r="F360" s="16"/>
      <c r="G360" s="16"/>
      <c r="H360" s="90" t="str">
        <f>IF(G360="Regular",Listas!$K$16,IF(G360="Premium",Listas!$K$17,IF(G360="Diesel",Listas!$K$18,"-")))</f>
        <v>-</v>
      </c>
      <c r="I360" s="17"/>
      <c r="J360" s="18"/>
      <c r="K360" s="19" t="str">
        <f>+IFERROR(IF(G360="Regular",VLOOKUP(C360,'PRECIO TERMINAL PEMEX'!$B$4:$E$35,2,0),IF(G360="Premium",VLOOKUP(C360,'PRECIO TERMINAL PEMEX'!$B$4:$E$35,3,0),IF(G360="Diesel",VLOOKUP(C360,'PRECIO TERMINAL PEMEX'!$B$4:$E$35,4,0),"Seleccione Producto"))),"-")</f>
        <v>Seleccione Producto</v>
      </c>
      <c r="L360" s="93" t="str">
        <f>+IFERROR(IF(F360="VHSA",VLOOKUP(B360,Listas!$C$4:$F$17,2,0),IF(F360="DOS BOCAS",VLOOKUP(B360,Listas!$C$4:$F$17,3,0),IF(F360="GLENCORE",VLOOKUP(B360,Listas!$C$4:$F$17,4,0),"Seleccione TAR"))),"-")</f>
        <v>Seleccione TAR</v>
      </c>
      <c r="M360" s="19" t="str">
        <f>+IFERROR(IF(G360="Regular",VLOOKUP(C360,'DESCUENTO PROVEEDORES'!$B$4:$E$35,2,0),IF(G360="Premium",VLOOKUP(C360,'DESCUENTO PROVEEDORES'!$B$4:$E$35,3,0),IF(G360="Diesel",VLOOKUP(C360,'DESCUENTO PROVEEDORES'!$B$4:$E$35,4,0),"Seleccione Proveedor"))),"-")</f>
        <v>Seleccione Proveedor</v>
      </c>
      <c r="N360" s="20" t="e">
        <f>((((K360-H360)/1.16)-M360))</f>
        <v>#VALUE!</v>
      </c>
      <c r="O360" s="21" t="e">
        <f>((N360*16%)+N360)+H360+L360</f>
        <v>#VALUE!</v>
      </c>
      <c r="P360" s="21" t="e">
        <f>(((J360-O360)-H360)/1.16)+H360</f>
        <v>#VALUE!</v>
      </c>
      <c r="Q360" s="44"/>
      <c r="R360" s="24"/>
      <c r="S360" s="23" t="e">
        <f t="shared" si="15"/>
        <v>#DIV/0!</v>
      </c>
      <c r="T360" s="23" t="e">
        <f t="shared" si="16"/>
        <v>#DIV/0!</v>
      </c>
      <c r="U360" s="22" t="e">
        <f t="shared" si="17"/>
        <v>#DIV/0!</v>
      </c>
      <c r="V360" s="44"/>
      <c r="W360" s="44"/>
      <c r="X360" s="44"/>
      <c r="Y360" s="44"/>
      <c r="Z360" s="44"/>
    </row>
    <row r="361" spans="1:26" ht="15.75" customHeight="1">
      <c r="A361" s="44"/>
      <c r="B361" s="14"/>
      <c r="C361" s="53"/>
      <c r="D361" s="15"/>
      <c r="E361" s="89"/>
      <c r="F361" s="16"/>
      <c r="G361" s="16"/>
      <c r="H361" s="90" t="str">
        <f>IF(G361="Regular",Listas!$K$16,IF(G361="Premium",Listas!$K$17,IF(G361="Diesel",Listas!$K$18,"-")))</f>
        <v>-</v>
      </c>
      <c r="I361" s="17"/>
      <c r="J361" s="18"/>
      <c r="K361" s="19" t="str">
        <f>+IFERROR(IF(G361="Regular",VLOOKUP(C361,'PRECIO TERMINAL PEMEX'!$B$4:$E$35,2,0),IF(G361="Premium",VLOOKUP(C361,'PRECIO TERMINAL PEMEX'!$B$4:$E$35,3,0),IF(G361="Diesel",VLOOKUP(C361,'PRECIO TERMINAL PEMEX'!$B$4:$E$35,4,0),"Seleccione Producto"))),"-")</f>
        <v>Seleccione Producto</v>
      </c>
      <c r="L361" s="93" t="str">
        <f>+IFERROR(IF(F361="VHSA",VLOOKUP(B361,Listas!$C$4:$F$17,2,0),IF(F361="DOS BOCAS",VLOOKUP(B361,Listas!$C$4:$F$17,3,0),IF(F361="GLENCORE",VLOOKUP(B361,Listas!$C$4:$F$17,4,0),"Seleccione TAR"))),"-")</f>
        <v>Seleccione TAR</v>
      </c>
      <c r="M361" s="19" t="str">
        <f>+IFERROR(IF(G361="Regular",VLOOKUP(C361,'DESCUENTO PROVEEDORES'!$B$4:$E$35,2,0),IF(G361="Premium",VLOOKUP(C361,'DESCUENTO PROVEEDORES'!$B$4:$E$35,3,0),IF(G361="Diesel",VLOOKUP(C361,'DESCUENTO PROVEEDORES'!$B$4:$E$35,4,0),"Seleccione Proveedor"))),"-")</f>
        <v>Seleccione Proveedor</v>
      </c>
      <c r="N361" s="20" t="e">
        <f>((((K361-H361)/1.16)-M361))</f>
        <v>#VALUE!</v>
      </c>
      <c r="O361" s="21" t="e">
        <f>((N361*16%)+N361)+H361+L361</f>
        <v>#VALUE!</v>
      </c>
      <c r="P361" s="21" t="e">
        <f>(((J361-O361)-H361)/1.16)+H361</f>
        <v>#VALUE!</v>
      </c>
      <c r="Q361" s="44"/>
      <c r="R361" s="24"/>
      <c r="S361" s="23" t="e">
        <f t="shared" si="15"/>
        <v>#DIV/0!</v>
      </c>
      <c r="T361" s="23" t="e">
        <f t="shared" si="16"/>
        <v>#DIV/0!</v>
      </c>
      <c r="U361" s="22" t="e">
        <f t="shared" si="17"/>
        <v>#DIV/0!</v>
      </c>
      <c r="V361" s="44"/>
      <c r="W361" s="44"/>
      <c r="X361" s="44"/>
      <c r="Y361" s="44"/>
      <c r="Z361" s="44"/>
    </row>
    <row r="362" spans="1:26" ht="15.75" customHeight="1">
      <c r="A362" s="44"/>
      <c r="B362" s="14"/>
      <c r="C362" s="53"/>
      <c r="D362" s="15"/>
      <c r="E362" s="89"/>
      <c r="F362" s="16"/>
      <c r="G362" s="16"/>
      <c r="H362" s="90" t="str">
        <f>IF(G362="Regular",Listas!$K$16,IF(G362="Premium",Listas!$K$17,IF(G362="Diesel",Listas!$K$18,"-")))</f>
        <v>-</v>
      </c>
      <c r="I362" s="17"/>
      <c r="J362" s="18"/>
      <c r="K362" s="19" t="str">
        <f>+IFERROR(IF(G362="Regular",VLOOKUP(C362,'PRECIO TERMINAL PEMEX'!$B$4:$E$35,2,0),IF(G362="Premium",VLOOKUP(C362,'PRECIO TERMINAL PEMEX'!$B$4:$E$35,3,0),IF(G362="Diesel",VLOOKUP(C362,'PRECIO TERMINAL PEMEX'!$B$4:$E$35,4,0),"Seleccione Producto"))),"-")</f>
        <v>Seleccione Producto</v>
      </c>
      <c r="L362" s="93" t="str">
        <f>+IFERROR(IF(F362="VHSA",VLOOKUP(B362,Listas!$C$4:$F$17,2,0),IF(F362="DOS BOCAS",VLOOKUP(B362,Listas!$C$4:$F$17,3,0),IF(F362="GLENCORE",VLOOKUP(B362,Listas!$C$4:$F$17,4,0),"Seleccione TAR"))),"-")</f>
        <v>Seleccione TAR</v>
      </c>
      <c r="M362" s="19" t="str">
        <f>+IFERROR(IF(G362="Regular",VLOOKUP(C362,'DESCUENTO PROVEEDORES'!$B$4:$E$35,2,0),IF(G362="Premium",VLOOKUP(C362,'DESCUENTO PROVEEDORES'!$B$4:$E$35,3,0),IF(G362="Diesel",VLOOKUP(C362,'DESCUENTO PROVEEDORES'!$B$4:$E$35,4,0),"Seleccione Proveedor"))),"-")</f>
        <v>Seleccione Proveedor</v>
      </c>
      <c r="N362" s="20" t="e">
        <f>((((K362-H362)/1.16)-M362))</f>
        <v>#VALUE!</v>
      </c>
      <c r="O362" s="21" t="e">
        <f>((N362*16%)+N362)+H362+L362</f>
        <v>#VALUE!</v>
      </c>
      <c r="P362" s="21" t="e">
        <f>(((J362-O362)-H362)/1.16)+H362</f>
        <v>#VALUE!</v>
      </c>
      <c r="Q362" s="44"/>
      <c r="R362" s="24"/>
      <c r="S362" s="23" t="e">
        <f t="shared" si="15"/>
        <v>#DIV/0!</v>
      </c>
      <c r="T362" s="23" t="e">
        <f t="shared" si="16"/>
        <v>#DIV/0!</v>
      </c>
      <c r="U362" s="22" t="e">
        <f t="shared" si="17"/>
        <v>#DIV/0!</v>
      </c>
      <c r="V362" s="44"/>
      <c r="W362" s="44"/>
      <c r="X362" s="44"/>
      <c r="Y362" s="44"/>
      <c r="Z362" s="44"/>
    </row>
    <row r="363" spans="1:26" ht="15.75" customHeight="1">
      <c r="A363" s="44"/>
      <c r="B363" s="14"/>
      <c r="C363" s="53"/>
      <c r="D363" s="15"/>
      <c r="E363" s="89"/>
      <c r="F363" s="16"/>
      <c r="G363" s="16"/>
      <c r="H363" s="90" t="str">
        <f>IF(G363="Regular",Listas!$K$16,IF(G363="Premium",Listas!$K$17,IF(G363="Diesel",Listas!$K$18,"-")))</f>
        <v>-</v>
      </c>
      <c r="I363" s="17"/>
      <c r="J363" s="18"/>
      <c r="K363" s="19" t="str">
        <f>+IFERROR(IF(G363="Regular",VLOOKUP(C363,'PRECIO TERMINAL PEMEX'!$B$4:$E$35,2,0),IF(G363="Premium",VLOOKUP(C363,'PRECIO TERMINAL PEMEX'!$B$4:$E$35,3,0),IF(G363="Diesel",VLOOKUP(C363,'PRECIO TERMINAL PEMEX'!$B$4:$E$35,4,0),"Seleccione Producto"))),"-")</f>
        <v>Seleccione Producto</v>
      </c>
      <c r="L363" s="93" t="str">
        <f>+IFERROR(IF(F363="VHSA",VLOOKUP(B363,Listas!$C$4:$F$17,2,0),IF(F363="DOS BOCAS",VLOOKUP(B363,Listas!$C$4:$F$17,3,0),IF(F363="GLENCORE",VLOOKUP(B363,Listas!$C$4:$F$17,4,0),"Seleccione TAR"))),"-")</f>
        <v>Seleccione TAR</v>
      </c>
      <c r="M363" s="19" t="str">
        <f>+IFERROR(IF(G363="Regular",VLOOKUP(C363,'DESCUENTO PROVEEDORES'!$B$4:$E$35,2,0),IF(G363="Premium",VLOOKUP(C363,'DESCUENTO PROVEEDORES'!$B$4:$E$35,3,0),IF(G363="Diesel",VLOOKUP(C363,'DESCUENTO PROVEEDORES'!$B$4:$E$35,4,0),"Seleccione Proveedor"))),"-")</f>
        <v>Seleccione Proveedor</v>
      </c>
      <c r="N363" s="20" t="e">
        <f>((((K363-H363)/1.16)-M363))</f>
        <v>#VALUE!</v>
      </c>
      <c r="O363" s="21" t="e">
        <f>((N363*16%)+N363)+H363+L363</f>
        <v>#VALUE!</v>
      </c>
      <c r="P363" s="21" t="e">
        <f>(((J363-O363)-H363)/1.16)+H363</f>
        <v>#VALUE!</v>
      </c>
      <c r="Q363" s="44"/>
      <c r="R363" s="24"/>
      <c r="S363" s="23" t="e">
        <f t="shared" si="15"/>
        <v>#DIV/0!</v>
      </c>
      <c r="T363" s="23" t="e">
        <f t="shared" si="16"/>
        <v>#DIV/0!</v>
      </c>
      <c r="U363" s="22" t="e">
        <f t="shared" si="17"/>
        <v>#DIV/0!</v>
      </c>
      <c r="V363" s="44"/>
      <c r="W363" s="44"/>
      <c r="X363" s="44"/>
      <c r="Y363" s="44"/>
      <c r="Z363" s="44"/>
    </row>
    <row r="364" spans="1:26" ht="15.75" customHeight="1">
      <c r="A364" s="44"/>
      <c r="B364" s="14"/>
      <c r="C364" s="53"/>
      <c r="D364" s="15"/>
      <c r="E364" s="89"/>
      <c r="F364" s="16"/>
      <c r="G364" s="16"/>
      <c r="H364" s="90" t="str">
        <f>IF(G364="Regular",Listas!$K$16,IF(G364="Premium",Listas!$K$17,IF(G364="Diesel",Listas!$K$18,"-")))</f>
        <v>-</v>
      </c>
      <c r="I364" s="17"/>
      <c r="J364" s="18"/>
      <c r="K364" s="19" t="str">
        <f>+IFERROR(IF(G364="Regular",VLOOKUP(C364,'PRECIO TERMINAL PEMEX'!$B$4:$E$35,2,0),IF(G364="Premium",VLOOKUP(C364,'PRECIO TERMINAL PEMEX'!$B$4:$E$35,3,0),IF(G364="Diesel",VLOOKUP(C364,'PRECIO TERMINAL PEMEX'!$B$4:$E$35,4,0),"Seleccione Producto"))),"-")</f>
        <v>Seleccione Producto</v>
      </c>
      <c r="L364" s="93" t="str">
        <f>+IFERROR(IF(F364="VHSA",VLOOKUP(B364,Listas!$C$4:$F$17,2,0),IF(F364="DOS BOCAS",VLOOKUP(B364,Listas!$C$4:$F$17,3,0),IF(F364="GLENCORE",VLOOKUP(B364,Listas!$C$4:$F$17,4,0),"Seleccione TAR"))),"-")</f>
        <v>Seleccione TAR</v>
      </c>
      <c r="M364" s="19" t="str">
        <f>+IFERROR(IF(G364="Regular",VLOOKUP(C364,'DESCUENTO PROVEEDORES'!$B$4:$E$35,2,0),IF(G364="Premium",VLOOKUP(C364,'DESCUENTO PROVEEDORES'!$B$4:$E$35,3,0),IF(G364="Diesel",VLOOKUP(C364,'DESCUENTO PROVEEDORES'!$B$4:$E$35,4,0),"Seleccione Proveedor"))),"-")</f>
        <v>Seleccione Proveedor</v>
      </c>
      <c r="N364" s="20" t="e">
        <f>((((K364-H364)/1.16)-M364))</f>
        <v>#VALUE!</v>
      </c>
      <c r="O364" s="21" t="e">
        <f>((N364*16%)+N364)+H364+L364</f>
        <v>#VALUE!</v>
      </c>
      <c r="P364" s="21" t="e">
        <f>(((J364-O364)-H364)/1.16)+H364</f>
        <v>#VALUE!</v>
      </c>
      <c r="Q364" s="44"/>
      <c r="R364" s="24"/>
      <c r="S364" s="23" t="e">
        <f t="shared" si="15"/>
        <v>#DIV/0!</v>
      </c>
      <c r="T364" s="23" t="e">
        <f t="shared" si="16"/>
        <v>#DIV/0!</v>
      </c>
      <c r="U364" s="22" t="e">
        <f t="shared" si="17"/>
        <v>#DIV/0!</v>
      </c>
      <c r="V364" s="44"/>
      <c r="W364" s="44"/>
      <c r="X364" s="44"/>
      <c r="Y364" s="44"/>
      <c r="Z364" s="44"/>
    </row>
    <row r="365" spans="1:26" ht="15.75" customHeight="1">
      <c r="A365" s="44"/>
      <c r="B365" s="14"/>
      <c r="C365" s="53"/>
      <c r="D365" s="15"/>
      <c r="E365" s="89"/>
      <c r="F365" s="16"/>
      <c r="G365" s="16"/>
      <c r="H365" s="90" t="str">
        <f>IF(G365="Regular",Listas!$K$16,IF(G365="Premium",Listas!$K$17,IF(G365="Diesel",Listas!$K$18,"-")))</f>
        <v>-</v>
      </c>
      <c r="I365" s="17"/>
      <c r="J365" s="18"/>
      <c r="K365" s="19" t="str">
        <f>+IFERROR(IF(G365="Regular",VLOOKUP(C365,'PRECIO TERMINAL PEMEX'!$B$4:$E$35,2,0),IF(G365="Premium",VLOOKUP(C365,'PRECIO TERMINAL PEMEX'!$B$4:$E$35,3,0),IF(G365="Diesel",VLOOKUP(C365,'PRECIO TERMINAL PEMEX'!$B$4:$E$35,4,0),"Seleccione Producto"))),"-")</f>
        <v>Seleccione Producto</v>
      </c>
      <c r="L365" s="93" t="str">
        <f>+IFERROR(IF(F365="VHSA",VLOOKUP(B365,Listas!$C$4:$F$17,2,0),IF(F365="DOS BOCAS",VLOOKUP(B365,Listas!$C$4:$F$17,3,0),IF(F365="GLENCORE",VLOOKUP(B365,Listas!$C$4:$F$17,4,0),"Seleccione TAR"))),"-")</f>
        <v>Seleccione TAR</v>
      </c>
      <c r="M365" s="19" t="str">
        <f>+IFERROR(IF(G365="Regular",VLOOKUP(C365,'DESCUENTO PROVEEDORES'!$B$4:$E$35,2,0),IF(G365="Premium",VLOOKUP(C365,'DESCUENTO PROVEEDORES'!$B$4:$E$35,3,0),IF(G365="Diesel",VLOOKUP(C365,'DESCUENTO PROVEEDORES'!$B$4:$E$35,4,0),"Seleccione Proveedor"))),"-")</f>
        <v>Seleccione Proveedor</v>
      </c>
      <c r="N365" s="20" t="e">
        <f>((((K365-H365)/1.16)-M365))</f>
        <v>#VALUE!</v>
      </c>
      <c r="O365" s="21" t="e">
        <f>((N365*16%)+N365)+H365+L365</f>
        <v>#VALUE!</v>
      </c>
      <c r="P365" s="21" t="e">
        <f>(((J365-O365)-H365)/1.16)+H365</f>
        <v>#VALUE!</v>
      </c>
      <c r="Q365" s="44"/>
      <c r="R365" s="24"/>
      <c r="S365" s="23" t="e">
        <f t="shared" si="15"/>
        <v>#DIV/0!</v>
      </c>
      <c r="T365" s="23" t="e">
        <f t="shared" si="16"/>
        <v>#DIV/0!</v>
      </c>
      <c r="U365" s="22" t="e">
        <f t="shared" si="17"/>
        <v>#DIV/0!</v>
      </c>
      <c r="V365" s="44"/>
      <c r="W365" s="44"/>
      <c r="X365" s="44"/>
      <c r="Y365" s="44"/>
      <c r="Z365" s="44"/>
    </row>
    <row r="366" spans="1:26" ht="15.75" customHeight="1">
      <c r="A366" s="44"/>
      <c r="B366" s="14"/>
      <c r="C366" s="53"/>
      <c r="D366" s="15"/>
      <c r="E366" s="89"/>
      <c r="F366" s="16"/>
      <c r="G366" s="16"/>
      <c r="H366" s="90" t="str">
        <f>IF(G366="Regular",Listas!$K$16,IF(G366="Premium",Listas!$K$17,IF(G366="Diesel",Listas!$K$18,"-")))</f>
        <v>-</v>
      </c>
      <c r="I366" s="17"/>
      <c r="J366" s="18"/>
      <c r="K366" s="19" t="str">
        <f>+IFERROR(IF(G366="Regular",VLOOKUP(C366,'PRECIO TERMINAL PEMEX'!$B$4:$E$35,2,0),IF(G366="Premium",VLOOKUP(C366,'PRECIO TERMINAL PEMEX'!$B$4:$E$35,3,0),IF(G366="Diesel",VLOOKUP(C366,'PRECIO TERMINAL PEMEX'!$B$4:$E$35,4,0),"Seleccione Producto"))),"-")</f>
        <v>Seleccione Producto</v>
      </c>
      <c r="L366" s="93" t="str">
        <f>+IFERROR(IF(F366="VHSA",VLOOKUP(B366,Listas!$C$4:$F$17,2,0),IF(F366="DOS BOCAS",VLOOKUP(B366,Listas!$C$4:$F$17,3,0),IF(F366="GLENCORE",VLOOKUP(B366,Listas!$C$4:$F$17,4,0),"Seleccione TAR"))),"-")</f>
        <v>Seleccione TAR</v>
      </c>
      <c r="M366" s="19" t="str">
        <f>+IFERROR(IF(G366="Regular",VLOOKUP(C366,'DESCUENTO PROVEEDORES'!$B$4:$E$35,2,0),IF(G366="Premium",VLOOKUP(C366,'DESCUENTO PROVEEDORES'!$B$4:$E$35,3,0),IF(G366="Diesel",VLOOKUP(C366,'DESCUENTO PROVEEDORES'!$B$4:$E$35,4,0),"Seleccione Proveedor"))),"-")</f>
        <v>Seleccione Proveedor</v>
      </c>
      <c r="N366" s="20" t="e">
        <f>((((K366-H366)/1.16)-M366))</f>
        <v>#VALUE!</v>
      </c>
      <c r="O366" s="21" t="e">
        <f>((N366*16%)+N366)+H366+L366</f>
        <v>#VALUE!</v>
      </c>
      <c r="P366" s="21" t="e">
        <f>(((J366-O366)-H366)/1.16)+H366</f>
        <v>#VALUE!</v>
      </c>
      <c r="Q366" s="44"/>
      <c r="R366" s="24"/>
      <c r="S366" s="23" t="e">
        <f t="shared" si="15"/>
        <v>#DIV/0!</v>
      </c>
      <c r="T366" s="23" t="e">
        <f t="shared" si="16"/>
        <v>#DIV/0!</v>
      </c>
      <c r="U366" s="22" t="e">
        <f t="shared" si="17"/>
        <v>#DIV/0!</v>
      </c>
      <c r="V366" s="44"/>
      <c r="W366" s="44"/>
      <c r="X366" s="44"/>
      <c r="Y366" s="44"/>
      <c r="Z366" s="44"/>
    </row>
    <row r="367" spans="1:26" ht="15.75" customHeight="1">
      <c r="A367" s="44"/>
      <c r="B367" s="14"/>
      <c r="C367" s="53"/>
      <c r="D367" s="15"/>
      <c r="E367" s="89"/>
      <c r="F367" s="16"/>
      <c r="G367" s="16"/>
      <c r="H367" s="90" t="str">
        <f>IF(G367="Regular",Listas!$K$16,IF(G367="Premium",Listas!$K$17,IF(G367="Diesel",Listas!$K$18,"-")))</f>
        <v>-</v>
      </c>
      <c r="I367" s="17"/>
      <c r="J367" s="18"/>
      <c r="K367" s="19" t="str">
        <f>+IFERROR(IF(G367="Regular",VLOOKUP(C367,'PRECIO TERMINAL PEMEX'!$B$4:$E$35,2,0),IF(G367="Premium",VLOOKUP(C367,'PRECIO TERMINAL PEMEX'!$B$4:$E$35,3,0),IF(G367="Diesel",VLOOKUP(C367,'PRECIO TERMINAL PEMEX'!$B$4:$E$35,4,0),"Seleccione Producto"))),"-")</f>
        <v>Seleccione Producto</v>
      </c>
      <c r="L367" s="93" t="str">
        <f>+IFERROR(IF(F367="VHSA",VLOOKUP(B367,Listas!$C$4:$F$17,2,0),IF(F367="DOS BOCAS",VLOOKUP(B367,Listas!$C$4:$F$17,3,0),IF(F367="GLENCORE",VLOOKUP(B367,Listas!$C$4:$F$17,4,0),"Seleccione TAR"))),"-")</f>
        <v>Seleccione TAR</v>
      </c>
      <c r="M367" s="19" t="str">
        <f>+IFERROR(IF(G367="Regular",VLOOKUP(C367,'DESCUENTO PROVEEDORES'!$B$4:$E$35,2,0),IF(G367="Premium",VLOOKUP(C367,'DESCUENTO PROVEEDORES'!$B$4:$E$35,3,0),IF(G367="Diesel",VLOOKUP(C367,'DESCUENTO PROVEEDORES'!$B$4:$E$35,4,0),"Seleccione Proveedor"))),"-")</f>
        <v>Seleccione Proveedor</v>
      </c>
      <c r="N367" s="20" t="e">
        <f>((((K367-H367)/1.16)-M367))</f>
        <v>#VALUE!</v>
      </c>
      <c r="O367" s="21" t="e">
        <f>((N367*16%)+N367)+H367+L367</f>
        <v>#VALUE!</v>
      </c>
      <c r="P367" s="21" t="e">
        <f>(((J367-O367)-H367)/1.16)+H367</f>
        <v>#VALUE!</v>
      </c>
      <c r="Q367" s="44"/>
      <c r="R367" s="24"/>
      <c r="S367" s="23" t="e">
        <f t="shared" si="15"/>
        <v>#DIV/0!</v>
      </c>
      <c r="T367" s="23" t="e">
        <f t="shared" si="16"/>
        <v>#DIV/0!</v>
      </c>
      <c r="U367" s="22" t="e">
        <f t="shared" si="17"/>
        <v>#DIV/0!</v>
      </c>
      <c r="V367" s="44"/>
      <c r="W367" s="44"/>
      <c r="X367" s="44"/>
      <c r="Y367" s="44"/>
      <c r="Z367" s="44"/>
    </row>
    <row r="368" spans="1:26" ht="15.75" customHeight="1">
      <c r="A368" s="44"/>
      <c r="B368" s="14"/>
      <c r="C368" s="53"/>
      <c r="D368" s="15"/>
      <c r="E368" s="89"/>
      <c r="F368" s="16"/>
      <c r="G368" s="16"/>
      <c r="H368" s="90" t="str">
        <f>IF(G368="Regular",Listas!$K$16,IF(G368="Premium",Listas!$K$17,IF(G368="Diesel",Listas!$K$18,"-")))</f>
        <v>-</v>
      </c>
      <c r="I368" s="17"/>
      <c r="J368" s="18"/>
      <c r="K368" s="19" t="str">
        <f>+IFERROR(IF(G368="Regular",VLOOKUP(C368,'PRECIO TERMINAL PEMEX'!$B$4:$E$35,2,0),IF(G368="Premium",VLOOKUP(C368,'PRECIO TERMINAL PEMEX'!$B$4:$E$35,3,0),IF(G368="Diesel",VLOOKUP(C368,'PRECIO TERMINAL PEMEX'!$B$4:$E$35,4,0),"Seleccione Producto"))),"-")</f>
        <v>Seleccione Producto</v>
      </c>
      <c r="L368" s="93" t="str">
        <f>+IFERROR(IF(F368="VHSA",VLOOKUP(B368,Listas!$C$4:$F$17,2,0),IF(F368="DOS BOCAS",VLOOKUP(B368,Listas!$C$4:$F$17,3,0),IF(F368="GLENCORE",VLOOKUP(B368,Listas!$C$4:$F$17,4,0),"Seleccione TAR"))),"-")</f>
        <v>Seleccione TAR</v>
      </c>
      <c r="M368" s="19" t="str">
        <f>+IFERROR(IF(G368="Regular",VLOOKUP(C368,'DESCUENTO PROVEEDORES'!$B$4:$E$35,2,0),IF(G368="Premium",VLOOKUP(C368,'DESCUENTO PROVEEDORES'!$B$4:$E$35,3,0),IF(G368="Diesel",VLOOKUP(C368,'DESCUENTO PROVEEDORES'!$B$4:$E$35,4,0),"Seleccione Proveedor"))),"-")</f>
        <v>Seleccione Proveedor</v>
      </c>
      <c r="N368" s="20" t="e">
        <f>((((K368-H368)/1.16)-M368))</f>
        <v>#VALUE!</v>
      </c>
      <c r="O368" s="21" t="e">
        <f>((N368*16%)+N368)+H368+L368</f>
        <v>#VALUE!</v>
      </c>
      <c r="P368" s="21" t="e">
        <f>(((J368-O368)-H368)/1.16)+H368</f>
        <v>#VALUE!</v>
      </c>
      <c r="Q368" s="44"/>
      <c r="R368" s="24"/>
      <c r="S368" s="23" t="e">
        <f t="shared" si="15"/>
        <v>#DIV/0!</v>
      </c>
      <c r="T368" s="23" t="e">
        <f t="shared" si="16"/>
        <v>#DIV/0!</v>
      </c>
      <c r="U368" s="22" t="e">
        <f t="shared" si="17"/>
        <v>#DIV/0!</v>
      </c>
      <c r="V368" s="44"/>
      <c r="W368" s="44"/>
      <c r="X368" s="44"/>
      <c r="Y368" s="44"/>
      <c r="Z368" s="44"/>
    </row>
    <row r="369" spans="1:26" ht="15.75" customHeight="1">
      <c r="A369" s="44"/>
      <c r="B369" s="14"/>
      <c r="C369" s="53"/>
      <c r="D369" s="15"/>
      <c r="E369" s="89"/>
      <c r="F369" s="16"/>
      <c r="G369" s="16"/>
      <c r="H369" s="90" t="str">
        <f>IF(G369="Regular",Listas!$K$16,IF(G369="Premium",Listas!$K$17,IF(G369="Diesel",Listas!$K$18,"-")))</f>
        <v>-</v>
      </c>
      <c r="I369" s="17"/>
      <c r="J369" s="18"/>
      <c r="K369" s="19" t="str">
        <f>+IFERROR(IF(G369="Regular",VLOOKUP(C369,'PRECIO TERMINAL PEMEX'!$B$4:$E$35,2,0),IF(G369="Premium",VLOOKUP(C369,'PRECIO TERMINAL PEMEX'!$B$4:$E$35,3,0),IF(G369="Diesel",VLOOKUP(C369,'PRECIO TERMINAL PEMEX'!$B$4:$E$35,4,0),"Seleccione Producto"))),"-")</f>
        <v>Seleccione Producto</v>
      </c>
      <c r="L369" s="93" t="str">
        <f>+IFERROR(IF(F369="VHSA",VLOOKUP(B369,Listas!$C$4:$F$17,2,0),IF(F369="DOS BOCAS",VLOOKUP(B369,Listas!$C$4:$F$17,3,0),IF(F369="GLENCORE",VLOOKUP(B369,Listas!$C$4:$F$17,4,0),"Seleccione TAR"))),"-")</f>
        <v>Seleccione TAR</v>
      </c>
      <c r="M369" s="19" t="str">
        <f>+IFERROR(IF(G369="Regular",VLOOKUP(C369,'DESCUENTO PROVEEDORES'!$B$4:$E$35,2,0),IF(G369="Premium",VLOOKUP(C369,'DESCUENTO PROVEEDORES'!$B$4:$E$35,3,0),IF(G369="Diesel",VLOOKUP(C369,'DESCUENTO PROVEEDORES'!$B$4:$E$35,4,0),"Seleccione Proveedor"))),"-")</f>
        <v>Seleccione Proveedor</v>
      </c>
      <c r="N369" s="20" t="e">
        <f>((((K369-H369)/1.16)-M369))</f>
        <v>#VALUE!</v>
      </c>
      <c r="O369" s="21" t="e">
        <f>((N369*16%)+N369)+H369+L369</f>
        <v>#VALUE!</v>
      </c>
      <c r="P369" s="21" t="e">
        <f>(((J369-O369)-H369)/1.16)+H369</f>
        <v>#VALUE!</v>
      </c>
      <c r="Q369" s="44"/>
      <c r="R369" s="24"/>
      <c r="S369" s="23" t="e">
        <f t="shared" si="15"/>
        <v>#DIV/0!</v>
      </c>
      <c r="T369" s="23" t="e">
        <f t="shared" si="16"/>
        <v>#DIV/0!</v>
      </c>
      <c r="U369" s="22" t="e">
        <f t="shared" si="17"/>
        <v>#DIV/0!</v>
      </c>
      <c r="V369" s="25"/>
      <c r="W369" s="44"/>
      <c r="X369" s="44"/>
      <c r="Y369" s="44"/>
      <c r="Z369" s="44"/>
    </row>
    <row r="370" spans="1:26" ht="15.75" customHeight="1">
      <c r="A370" s="44"/>
      <c r="B370" s="14"/>
      <c r="C370" s="53"/>
      <c r="D370" s="15"/>
      <c r="E370" s="89"/>
      <c r="F370" s="16"/>
      <c r="G370" s="16"/>
      <c r="H370" s="90" t="str">
        <f>IF(G370="Regular",Listas!$K$16,IF(G370="Premium",Listas!$K$17,IF(G370="Diesel",Listas!$K$18,"-")))</f>
        <v>-</v>
      </c>
      <c r="I370" s="17"/>
      <c r="J370" s="18"/>
      <c r="K370" s="19" t="str">
        <f>+IFERROR(IF(G370="Regular",VLOOKUP(C370,'PRECIO TERMINAL PEMEX'!$B$4:$E$35,2,0),IF(G370="Premium",VLOOKUP(C370,'PRECIO TERMINAL PEMEX'!$B$4:$E$35,3,0),IF(G370="Diesel",VLOOKUP(C370,'PRECIO TERMINAL PEMEX'!$B$4:$E$35,4,0),"Seleccione Producto"))),"-")</f>
        <v>Seleccione Producto</v>
      </c>
      <c r="L370" s="93" t="str">
        <f>+IFERROR(IF(F370="VHSA",VLOOKUP(B370,Listas!$C$4:$F$17,2,0),IF(F370="DOS BOCAS",VLOOKUP(B370,Listas!$C$4:$F$17,3,0),IF(F370="GLENCORE",VLOOKUP(B370,Listas!$C$4:$F$17,4,0),"Seleccione TAR"))),"-")</f>
        <v>Seleccione TAR</v>
      </c>
      <c r="M370" s="19" t="str">
        <f>+IFERROR(IF(G370="Regular",VLOOKUP(C370,'DESCUENTO PROVEEDORES'!$B$4:$E$35,2,0),IF(G370="Premium",VLOOKUP(C370,'DESCUENTO PROVEEDORES'!$B$4:$E$35,3,0),IF(G370="Diesel",VLOOKUP(C370,'DESCUENTO PROVEEDORES'!$B$4:$E$35,4,0),"Seleccione Proveedor"))),"-")</f>
        <v>Seleccione Proveedor</v>
      </c>
      <c r="N370" s="20" t="e">
        <f>((((K370-H370)/1.16)-M370))</f>
        <v>#VALUE!</v>
      </c>
      <c r="O370" s="21" t="e">
        <f>((N370*16%)+N370)+H370+L370</f>
        <v>#VALUE!</v>
      </c>
      <c r="P370" s="21" t="e">
        <f>(((J370-O370)-H370)/1.16)+H370</f>
        <v>#VALUE!</v>
      </c>
      <c r="Q370" s="44"/>
      <c r="R370" s="24"/>
      <c r="S370" s="23" t="e">
        <f t="shared" si="15"/>
        <v>#DIV/0!</v>
      </c>
      <c r="T370" s="23" t="e">
        <f t="shared" si="16"/>
        <v>#DIV/0!</v>
      </c>
      <c r="U370" s="22" t="e">
        <f t="shared" si="17"/>
        <v>#DIV/0!</v>
      </c>
      <c r="V370" s="44"/>
      <c r="W370" s="44"/>
      <c r="X370" s="44"/>
      <c r="Y370" s="44"/>
      <c r="Z370" s="44"/>
    </row>
    <row r="371" spans="1:26" ht="15.75" customHeight="1">
      <c r="A371" s="44"/>
      <c r="B371" s="14"/>
      <c r="C371" s="53"/>
      <c r="D371" s="15"/>
      <c r="E371" s="89"/>
      <c r="F371" s="16"/>
      <c r="G371" s="16"/>
      <c r="H371" s="90" t="str">
        <f>IF(G371="Regular",Listas!$K$16,IF(G371="Premium",Listas!$K$17,IF(G371="Diesel",Listas!$K$18,"-")))</f>
        <v>-</v>
      </c>
      <c r="I371" s="17"/>
      <c r="J371" s="18"/>
      <c r="K371" s="19" t="str">
        <f>+IFERROR(IF(G371="Regular",VLOOKUP(C371,'PRECIO TERMINAL PEMEX'!$B$4:$E$35,2,0),IF(G371="Premium",VLOOKUP(C371,'PRECIO TERMINAL PEMEX'!$B$4:$E$35,3,0),IF(G371="Diesel",VLOOKUP(C371,'PRECIO TERMINAL PEMEX'!$B$4:$E$35,4,0),"Seleccione Producto"))),"-")</f>
        <v>Seleccione Producto</v>
      </c>
      <c r="L371" s="93" t="str">
        <f>+IFERROR(IF(F371="VHSA",VLOOKUP(B371,Listas!$C$4:$F$17,2,0),IF(F371="DOS BOCAS",VLOOKUP(B371,Listas!$C$4:$F$17,3,0),IF(F371="GLENCORE",VLOOKUP(B371,Listas!$C$4:$F$17,4,0),"Seleccione TAR"))),"-")</f>
        <v>Seleccione TAR</v>
      </c>
      <c r="M371" s="19" t="str">
        <f>+IFERROR(IF(G371="Regular",VLOOKUP(C371,'DESCUENTO PROVEEDORES'!$B$4:$E$35,2,0),IF(G371="Premium",VLOOKUP(C371,'DESCUENTO PROVEEDORES'!$B$4:$E$35,3,0),IF(G371="Diesel",VLOOKUP(C371,'DESCUENTO PROVEEDORES'!$B$4:$E$35,4,0),"Seleccione Proveedor"))),"-")</f>
        <v>Seleccione Proveedor</v>
      </c>
      <c r="N371" s="20" t="e">
        <f>((((K371-H371)/1.16)-M371))</f>
        <v>#VALUE!</v>
      </c>
      <c r="O371" s="21" t="e">
        <f>((N371*16%)+N371)+H371+L371</f>
        <v>#VALUE!</v>
      </c>
      <c r="P371" s="21" t="e">
        <f>(((J371-O371)-H371)/1.16)+H371</f>
        <v>#VALUE!</v>
      </c>
      <c r="Q371" s="44"/>
      <c r="R371" s="24"/>
      <c r="S371" s="23" t="e">
        <f t="shared" si="15"/>
        <v>#DIV/0!</v>
      </c>
      <c r="T371" s="23" t="e">
        <f t="shared" si="16"/>
        <v>#DIV/0!</v>
      </c>
      <c r="U371" s="22" t="e">
        <f t="shared" si="17"/>
        <v>#DIV/0!</v>
      </c>
      <c r="V371" s="44"/>
      <c r="W371" s="44"/>
      <c r="X371" s="44"/>
      <c r="Y371" s="44"/>
      <c r="Z371" s="44"/>
    </row>
    <row r="372" spans="1:26" ht="15.75" customHeight="1">
      <c r="A372" s="44"/>
      <c r="B372" s="14"/>
      <c r="C372" s="53"/>
      <c r="D372" s="15"/>
      <c r="E372" s="89"/>
      <c r="F372" s="16"/>
      <c r="G372" s="16"/>
      <c r="H372" s="90" t="str">
        <f>IF(G372="Regular",Listas!$K$16,IF(G372="Premium",Listas!$K$17,IF(G372="Diesel",Listas!$K$18,"-")))</f>
        <v>-</v>
      </c>
      <c r="I372" s="17"/>
      <c r="J372" s="18"/>
      <c r="K372" s="19" t="str">
        <f>+IFERROR(IF(G372="Regular",VLOOKUP(C372,'PRECIO TERMINAL PEMEX'!$B$4:$E$35,2,0),IF(G372="Premium",VLOOKUP(C372,'PRECIO TERMINAL PEMEX'!$B$4:$E$35,3,0),IF(G372="Diesel",VLOOKUP(C372,'PRECIO TERMINAL PEMEX'!$B$4:$E$35,4,0),"Seleccione Producto"))),"-")</f>
        <v>Seleccione Producto</v>
      </c>
      <c r="L372" s="93" t="str">
        <f>+IFERROR(IF(F372="VHSA",VLOOKUP(B372,Listas!$C$4:$F$17,2,0),IF(F372="DOS BOCAS",VLOOKUP(B372,Listas!$C$4:$F$17,3,0),IF(F372="GLENCORE",VLOOKUP(B372,Listas!$C$4:$F$17,4,0),"Seleccione TAR"))),"-")</f>
        <v>Seleccione TAR</v>
      </c>
      <c r="M372" s="19" t="str">
        <f>+IFERROR(IF(G372="Regular",VLOOKUP(C372,'DESCUENTO PROVEEDORES'!$B$4:$E$35,2,0),IF(G372="Premium",VLOOKUP(C372,'DESCUENTO PROVEEDORES'!$B$4:$E$35,3,0),IF(G372="Diesel",VLOOKUP(C372,'DESCUENTO PROVEEDORES'!$B$4:$E$35,4,0),"Seleccione Proveedor"))),"-")</f>
        <v>Seleccione Proveedor</v>
      </c>
      <c r="N372" s="20" t="e">
        <f>((((K372-H372)/1.16)-M372))</f>
        <v>#VALUE!</v>
      </c>
      <c r="O372" s="21" t="e">
        <f>((N372*16%)+N372)+H372+L372</f>
        <v>#VALUE!</v>
      </c>
      <c r="P372" s="21" t="e">
        <f>(((J372-O372)-H372)/1.16)+H372</f>
        <v>#VALUE!</v>
      </c>
      <c r="Q372" s="44"/>
      <c r="R372" s="24"/>
      <c r="S372" s="23" t="e">
        <f t="shared" si="15"/>
        <v>#DIV/0!</v>
      </c>
      <c r="T372" s="23" t="e">
        <f t="shared" si="16"/>
        <v>#DIV/0!</v>
      </c>
      <c r="U372" s="22" t="e">
        <f t="shared" si="17"/>
        <v>#DIV/0!</v>
      </c>
      <c r="V372" s="44"/>
      <c r="W372" s="44"/>
      <c r="X372" s="44"/>
      <c r="Y372" s="44"/>
      <c r="Z372" s="44"/>
    </row>
    <row r="373" spans="1:26" ht="15.75" customHeight="1">
      <c r="A373" s="44"/>
      <c r="B373" s="14"/>
      <c r="C373" s="53"/>
      <c r="D373" s="15"/>
      <c r="E373" s="89"/>
      <c r="F373" s="16"/>
      <c r="G373" s="16"/>
      <c r="H373" s="90" t="str">
        <f>IF(G373="Regular",Listas!$K$16,IF(G373="Premium",Listas!$K$17,IF(G373="Diesel",Listas!$K$18,"-")))</f>
        <v>-</v>
      </c>
      <c r="I373" s="17"/>
      <c r="J373" s="18"/>
      <c r="K373" s="19" t="str">
        <f>+IFERROR(IF(G373="Regular",VLOOKUP(C373,'PRECIO TERMINAL PEMEX'!$B$4:$E$35,2,0),IF(G373="Premium",VLOOKUP(C373,'PRECIO TERMINAL PEMEX'!$B$4:$E$35,3,0),IF(G373="Diesel",VLOOKUP(C373,'PRECIO TERMINAL PEMEX'!$B$4:$E$35,4,0),"Seleccione Producto"))),"-")</f>
        <v>Seleccione Producto</v>
      </c>
      <c r="L373" s="93" t="str">
        <f>+IFERROR(IF(F373="VHSA",VLOOKUP(B373,Listas!$C$4:$F$17,2,0),IF(F373="DOS BOCAS",VLOOKUP(B373,Listas!$C$4:$F$17,3,0),IF(F373="GLENCORE",VLOOKUP(B373,Listas!$C$4:$F$17,4,0),"Seleccione TAR"))),"-")</f>
        <v>Seleccione TAR</v>
      </c>
      <c r="M373" s="19" t="str">
        <f>+IFERROR(IF(G373="Regular",VLOOKUP(C373,'DESCUENTO PROVEEDORES'!$B$4:$E$35,2,0),IF(G373="Premium",VLOOKUP(C373,'DESCUENTO PROVEEDORES'!$B$4:$E$35,3,0),IF(G373="Diesel",VLOOKUP(C373,'DESCUENTO PROVEEDORES'!$B$4:$E$35,4,0),"Seleccione Proveedor"))),"-")</f>
        <v>Seleccione Proveedor</v>
      </c>
      <c r="N373" s="20" t="e">
        <f>((((K373-H373)/1.16)-M373))</f>
        <v>#VALUE!</v>
      </c>
      <c r="O373" s="21" t="e">
        <f>((N373*16%)+N373)+H373+L373</f>
        <v>#VALUE!</v>
      </c>
      <c r="P373" s="21" t="e">
        <f>(((J373-O373)-H373)/1.16)+H373</f>
        <v>#VALUE!</v>
      </c>
      <c r="Q373" s="44"/>
      <c r="R373" s="24"/>
      <c r="S373" s="23" t="e">
        <f t="shared" si="15"/>
        <v>#DIV/0!</v>
      </c>
      <c r="T373" s="23" t="e">
        <f t="shared" si="16"/>
        <v>#DIV/0!</v>
      </c>
      <c r="U373" s="22" t="e">
        <f t="shared" si="17"/>
        <v>#DIV/0!</v>
      </c>
      <c r="V373" s="44"/>
      <c r="W373" s="44"/>
      <c r="X373" s="44"/>
      <c r="Y373" s="44"/>
      <c r="Z373" s="44"/>
    </row>
    <row r="374" spans="1:26" ht="15.75" customHeight="1">
      <c r="A374" s="44"/>
      <c r="B374" s="14"/>
      <c r="C374" s="53"/>
      <c r="D374" s="15"/>
      <c r="E374" s="89"/>
      <c r="F374" s="16"/>
      <c r="G374" s="16"/>
      <c r="H374" s="90" t="str">
        <f>IF(G374="Regular",Listas!$K$16,IF(G374="Premium",Listas!$K$17,IF(G374="Diesel",Listas!$K$18,"-")))</f>
        <v>-</v>
      </c>
      <c r="I374" s="17"/>
      <c r="J374" s="18"/>
      <c r="K374" s="19" t="str">
        <f>+IFERROR(IF(G374="Regular",VLOOKUP(C374,'PRECIO TERMINAL PEMEX'!$B$4:$E$35,2,0),IF(G374="Premium",VLOOKUP(C374,'PRECIO TERMINAL PEMEX'!$B$4:$E$35,3,0),IF(G374="Diesel",VLOOKUP(C374,'PRECIO TERMINAL PEMEX'!$B$4:$E$35,4,0),"Seleccione Producto"))),"-")</f>
        <v>Seleccione Producto</v>
      </c>
      <c r="L374" s="93" t="str">
        <f>+IFERROR(IF(F374="VHSA",VLOOKUP(B374,Listas!$C$4:$F$17,2,0),IF(F374="DOS BOCAS",VLOOKUP(B374,Listas!$C$4:$F$17,3,0),IF(F374="GLENCORE",VLOOKUP(B374,Listas!$C$4:$F$17,4,0),"Seleccione TAR"))),"-")</f>
        <v>Seleccione TAR</v>
      </c>
      <c r="M374" s="19" t="str">
        <f>+IFERROR(IF(G374="Regular",VLOOKUP(C374,'DESCUENTO PROVEEDORES'!$B$4:$E$35,2,0),IF(G374="Premium",VLOOKUP(C374,'DESCUENTO PROVEEDORES'!$B$4:$E$35,3,0),IF(G374="Diesel",VLOOKUP(C374,'DESCUENTO PROVEEDORES'!$B$4:$E$35,4,0),"Seleccione Proveedor"))),"-")</f>
        <v>Seleccione Proveedor</v>
      </c>
      <c r="N374" s="20" t="e">
        <f>((((K374-H374)/1.16)-M374))</f>
        <v>#VALUE!</v>
      </c>
      <c r="O374" s="21" t="e">
        <f>((N374*16%)+N374)+H374+L374</f>
        <v>#VALUE!</v>
      </c>
      <c r="P374" s="21" t="e">
        <f>(((J374-O374)-H374)/1.16)+H374</f>
        <v>#VALUE!</v>
      </c>
      <c r="Q374" s="44"/>
      <c r="R374" s="24"/>
      <c r="S374" s="23" t="e">
        <f t="shared" si="15"/>
        <v>#DIV/0!</v>
      </c>
      <c r="T374" s="23" t="e">
        <f t="shared" si="16"/>
        <v>#DIV/0!</v>
      </c>
      <c r="U374" s="22" t="e">
        <f t="shared" si="17"/>
        <v>#DIV/0!</v>
      </c>
      <c r="V374" s="44"/>
      <c r="W374" s="44"/>
      <c r="X374" s="44"/>
      <c r="Y374" s="44"/>
      <c r="Z374" s="44"/>
    </row>
    <row r="375" spans="1:26" ht="15.75" customHeight="1">
      <c r="A375" s="44"/>
      <c r="B375" s="14"/>
      <c r="C375" s="53"/>
      <c r="D375" s="15"/>
      <c r="E375" s="89"/>
      <c r="F375" s="16"/>
      <c r="G375" s="16"/>
      <c r="H375" s="90" t="str">
        <f>IF(G375="Regular",Listas!$K$16,IF(G375="Premium",Listas!$K$17,IF(G375="Diesel",Listas!$K$18,"-")))</f>
        <v>-</v>
      </c>
      <c r="I375" s="17"/>
      <c r="J375" s="18"/>
      <c r="K375" s="19" t="str">
        <f>+IFERROR(IF(G375="Regular",VLOOKUP(C375,'PRECIO TERMINAL PEMEX'!$B$4:$E$35,2,0),IF(G375="Premium",VLOOKUP(C375,'PRECIO TERMINAL PEMEX'!$B$4:$E$35,3,0),IF(G375="Diesel",VLOOKUP(C375,'PRECIO TERMINAL PEMEX'!$B$4:$E$35,4,0),"Seleccione Producto"))),"-")</f>
        <v>Seleccione Producto</v>
      </c>
      <c r="L375" s="93" t="str">
        <f>+IFERROR(IF(F375="VHSA",VLOOKUP(B375,Listas!$C$4:$F$17,2,0),IF(F375="DOS BOCAS",VLOOKUP(B375,Listas!$C$4:$F$17,3,0),IF(F375="GLENCORE",VLOOKUP(B375,Listas!$C$4:$F$17,4,0),"Seleccione TAR"))),"-")</f>
        <v>Seleccione TAR</v>
      </c>
      <c r="M375" s="19" t="str">
        <f>+IFERROR(IF(G375="Regular",VLOOKUP(C375,'DESCUENTO PROVEEDORES'!$B$4:$E$35,2,0),IF(G375="Premium",VLOOKUP(C375,'DESCUENTO PROVEEDORES'!$B$4:$E$35,3,0),IF(G375="Diesel",VLOOKUP(C375,'DESCUENTO PROVEEDORES'!$B$4:$E$35,4,0),"Seleccione Proveedor"))),"-")</f>
        <v>Seleccione Proveedor</v>
      </c>
      <c r="N375" s="20" t="e">
        <f>((((K375-H375)/1.16)-M375))</f>
        <v>#VALUE!</v>
      </c>
      <c r="O375" s="21" t="e">
        <f>((N375*16%)+N375)+H375+L375</f>
        <v>#VALUE!</v>
      </c>
      <c r="P375" s="21" t="e">
        <f>(((J375-O375)-H375)/1.16)+H375</f>
        <v>#VALUE!</v>
      </c>
      <c r="Q375" s="44"/>
      <c r="R375" s="24"/>
      <c r="S375" s="23" t="e">
        <f t="shared" si="15"/>
        <v>#DIV/0!</v>
      </c>
      <c r="T375" s="23" t="e">
        <f t="shared" si="16"/>
        <v>#DIV/0!</v>
      </c>
      <c r="U375" s="22" t="e">
        <f t="shared" si="17"/>
        <v>#DIV/0!</v>
      </c>
      <c r="V375" s="44"/>
      <c r="W375" s="44"/>
      <c r="X375" s="44"/>
      <c r="Y375" s="44"/>
      <c r="Z375" s="44"/>
    </row>
    <row r="376" spans="1:26" ht="15.75" customHeight="1">
      <c r="A376" s="44"/>
      <c r="B376" s="14"/>
      <c r="C376" s="53"/>
      <c r="D376" s="15"/>
      <c r="E376" s="89"/>
      <c r="F376" s="16"/>
      <c r="G376" s="16"/>
      <c r="H376" s="90" t="str">
        <f>IF(G376="Regular",Listas!$K$16,IF(G376="Premium",Listas!$K$17,IF(G376="Diesel",Listas!$K$18,"-")))</f>
        <v>-</v>
      </c>
      <c r="I376" s="17"/>
      <c r="J376" s="18"/>
      <c r="K376" s="19" t="str">
        <f>+IFERROR(IF(G376="Regular",VLOOKUP(C376,'PRECIO TERMINAL PEMEX'!$B$4:$E$35,2,0),IF(G376="Premium",VLOOKUP(C376,'PRECIO TERMINAL PEMEX'!$B$4:$E$35,3,0),IF(G376="Diesel",VLOOKUP(C376,'PRECIO TERMINAL PEMEX'!$B$4:$E$35,4,0),"Seleccione Producto"))),"-")</f>
        <v>Seleccione Producto</v>
      </c>
      <c r="L376" s="93" t="str">
        <f>+IFERROR(IF(F376="VHSA",VLOOKUP(B376,Listas!$C$4:$F$17,2,0),IF(F376="DOS BOCAS",VLOOKUP(B376,Listas!$C$4:$F$17,3,0),IF(F376="GLENCORE",VLOOKUP(B376,Listas!$C$4:$F$17,4,0),"Seleccione TAR"))),"-")</f>
        <v>Seleccione TAR</v>
      </c>
      <c r="M376" s="19" t="str">
        <f>+IFERROR(IF(G376="Regular",VLOOKUP(C376,'DESCUENTO PROVEEDORES'!$B$4:$E$35,2,0),IF(G376="Premium",VLOOKUP(C376,'DESCUENTO PROVEEDORES'!$B$4:$E$35,3,0),IF(G376="Diesel",VLOOKUP(C376,'DESCUENTO PROVEEDORES'!$B$4:$E$35,4,0),"Seleccione Proveedor"))),"-")</f>
        <v>Seleccione Proveedor</v>
      </c>
      <c r="N376" s="20" t="e">
        <f>((((K376-H376)/1.16)-M376))</f>
        <v>#VALUE!</v>
      </c>
      <c r="O376" s="21" t="e">
        <f>((N376*16%)+N376)+H376+L376</f>
        <v>#VALUE!</v>
      </c>
      <c r="P376" s="21" t="e">
        <f>(((J376-O376)-H376)/1.16)+H376</f>
        <v>#VALUE!</v>
      </c>
      <c r="Q376" s="44"/>
      <c r="R376" s="24"/>
      <c r="S376" s="23" t="e">
        <f t="shared" si="15"/>
        <v>#DIV/0!</v>
      </c>
      <c r="T376" s="23" t="e">
        <f t="shared" si="16"/>
        <v>#DIV/0!</v>
      </c>
      <c r="U376" s="22" t="e">
        <f t="shared" si="17"/>
        <v>#DIV/0!</v>
      </c>
      <c r="V376" s="44"/>
      <c r="W376" s="44"/>
      <c r="X376" s="44"/>
      <c r="Y376" s="44"/>
      <c r="Z376" s="44"/>
    </row>
    <row r="377" spans="1:26" ht="15.75" customHeight="1">
      <c r="A377" s="44"/>
      <c r="B377" s="14"/>
      <c r="C377" s="53"/>
      <c r="D377" s="15"/>
      <c r="E377" s="89"/>
      <c r="F377" s="16"/>
      <c r="G377" s="16"/>
      <c r="H377" s="90" t="str">
        <f>IF(G377="Regular",Listas!$K$16,IF(G377="Premium",Listas!$K$17,IF(G377="Diesel",Listas!$K$18,"-")))</f>
        <v>-</v>
      </c>
      <c r="I377" s="17"/>
      <c r="J377" s="18"/>
      <c r="K377" s="19" t="str">
        <f>+IFERROR(IF(G377="Regular",VLOOKUP(C377,'PRECIO TERMINAL PEMEX'!$B$4:$E$35,2,0),IF(G377="Premium",VLOOKUP(C377,'PRECIO TERMINAL PEMEX'!$B$4:$E$35,3,0),IF(G377="Diesel",VLOOKUP(C377,'PRECIO TERMINAL PEMEX'!$B$4:$E$35,4,0),"Seleccione Producto"))),"-")</f>
        <v>Seleccione Producto</v>
      </c>
      <c r="L377" s="93" t="str">
        <f>+IFERROR(IF(F377="VHSA",VLOOKUP(B377,Listas!$C$4:$F$17,2,0),IF(F377="DOS BOCAS",VLOOKUP(B377,Listas!$C$4:$F$17,3,0),IF(F377="GLENCORE",VLOOKUP(B377,Listas!$C$4:$F$17,4,0),"Seleccione TAR"))),"-")</f>
        <v>Seleccione TAR</v>
      </c>
      <c r="M377" s="19" t="str">
        <f>+IFERROR(IF(G377="Regular",VLOOKUP(C377,'DESCUENTO PROVEEDORES'!$B$4:$E$35,2,0),IF(G377="Premium",VLOOKUP(C377,'DESCUENTO PROVEEDORES'!$B$4:$E$35,3,0),IF(G377="Diesel",VLOOKUP(C377,'DESCUENTO PROVEEDORES'!$B$4:$E$35,4,0),"Seleccione Proveedor"))),"-")</f>
        <v>Seleccione Proveedor</v>
      </c>
      <c r="N377" s="20" t="e">
        <f>((((K377-H377)/1.16)-M377))</f>
        <v>#VALUE!</v>
      </c>
      <c r="O377" s="21" t="e">
        <f>((N377*16%)+N377)+H377+L377</f>
        <v>#VALUE!</v>
      </c>
      <c r="P377" s="21" t="e">
        <f>(((J377-O377)-H377)/1.16)+H377</f>
        <v>#VALUE!</v>
      </c>
      <c r="Q377" s="44"/>
      <c r="R377" s="24"/>
      <c r="S377" s="23" t="e">
        <f t="shared" si="15"/>
        <v>#DIV/0!</v>
      </c>
      <c r="T377" s="23" t="e">
        <f t="shared" si="16"/>
        <v>#DIV/0!</v>
      </c>
      <c r="U377" s="22" t="e">
        <f t="shared" si="17"/>
        <v>#DIV/0!</v>
      </c>
      <c r="V377" s="44"/>
      <c r="W377" s="44"/>
      <c r="X377" s="44"/>
      <c r="Y377" s="44"/>
      <c r="Z377" s="44"/>
    </row>
    <row r="378" spans="1:26" ht="15.75" customHeight="1">
      <c r="A378" s="44"/>
      <c r="B378" s="14"/>
      <c r="C378" s="53"/>
      <c r="D378" s="15"/>
      <c r="E378" s="89"/>
      <c r="F378" s="16"/>
      <c r="G378" s="16"/>
      <c r="H378" s="90" t="str">
        <f>IF(G378="Regular",Listas!$K$16,IF(G378="Premium",Listas!$K$17,IF(G378="Diesel",Listas!$K$18,"-")))</f>
        <v>-</v>
      </c>
      <c r="I378" s="17"/>
      <c r="J378" s="18"/>
      <c r="K378" s="19" t="str">
        <f>+IFERROR(IF(G378="Regular",VLOOKUP(C378,'PRECIO TERMINAL PEMEX'!$B$4:$E$35,2,0),IF(G378="Premium",VLOOKUP(C378,'PRECIO TERMINAL PEMEX'!$B$4:$E$35,3,0),IF(G378="Diesel",VLOOKUP(C378,'PRECIO TERMINAL PEMEX'!$B$4:$E$35,4,0),"Seleccione Producto"))),"-")</f>
        <v>Seleccione Producto</v>
      </c>
      <c r="L378" s="93" t="str">
        <f>+IFERROR(IF(F378="VHSA",VLOOKUP(B378,Listas!$C$4:$F$17,2,0),IF(F378="DOS BOCAS",VLOOKUP(B378,Listas!$C$4:$F$17,3,0),IF(F378="GLENCORE",VLOOKUP(B378,Listas!$C$4:$F$17,4,0),"Seleccione TAR"))),"-")</f>
        <v>Seleccione TAR</v>
      </c>
      <c r="M378" s="19" t="str">
        <f>+IFERROR(IF(G378="Regular",VLOOKUP(C378,'DESCUENTO PROVEEDORES'!$B$4:$E$35,2,0),IF(G378="Premium",VLOOKUP(C378,'DESCUENTO PROVEEDORES'!$B$4:$E$35,3,0),IF(G378="Diesel",VLOOKUP(C378,'DESCUENTO PROVEEDORES'!$B$4:$E$35,4,0),"Seleccione Proveedor"))),"-")</f>
        <v>Seleccione Proveedor</v>
      </c>
      <c r="N378" s="20" t="e">
        <f>((((K378-H378)/1.16)-M378))</f>
        <v>#VALUE!</v>
      </c>
      <c r="O378" s="21" t="e">
        <f>((N378*16%)+N378)+H378+L378</f>
        <v>#VALUE!</v>
      </c>
      <c r="P378" s="21" t="e">
        <f>(((J378-O378)-H378)/1.16)+H378</f>
        <v>#VALUE!</v>
      </c>
      <c r="Q378" s="44"/>
      <c r="R378" s="24"/>
      <c r="S378" s="23" t="e">
        <f t="shared" si="15"/>
        <v>#DIV/0!</v>
      </c>
      <c r="T378" s="23" t="e">
        <f t="shared" si="16"/>
        <v>#DIV/0!</v>
      </c>
      <c r="U378" s="22" t="e">
        <f t="shared" si="17"/>
        <v>#DIV/0!</v>
      </c>
      <c r="V378" s="44"/>
      <c r="W378" s="44"/>
      <c r="X378" s="44"/>
      <c r="Y378" s="44"/>
      <c r="Z378" s="44"/>
    </row>
    <row r="379" spans="1:26" ht="15.75" customHeight="1">
      <c r="A379" s="44"/>
      <c r="B379" s="14"/>
      <c r="C379" s="53"/>
      <c r="D379" s="15"/>
      <c r="E379" s="89"/>
      <c r="F379" s="16"/>
      <c r="G379" s="16"/>
      <c r="H379" s="90" t="str">
        <f>IF(G379="Regular",Listas!$K$16,IF(G379="Premium",Listas!$K$17,IF(G379="Diesel",Listas!$K$18,"-")))</f>
        <v>-</v>
      </c>
      <c r="I379" s="17"/>
      <c r="J379" s="18"/>
      <c r="K379" s="19" t="str">
        <f>+IFERROR(IF(G379="Regular",VLOOKUP(C379,'PRECIO TERMINAL PEMEX'!$B$4:$E$35,2,0),IF(G379="Premium",VLOOKUP(C379,'PRECIO TERMINAL PEMEX'!$B$4:$E$35,3,0),IF(G379="Diesel",VLOOKUP(C379,'PRECIO TERMINAL PEMEX'!$B$4:$E$35,4,0),"Seleccione Producto"))),"-")</f>
        <v>Seleccione Producto</v>
      </c>
      <c r="L379" s="93" t="str">
        <f>+IFERROR(IF(F379="VHSA",VLOOKUP(B379,Listas!$C$4:$F$17,2,0),IF(F379="DOS BOCAS",VLOOKUP(B379,Listas!$C$4:$F$17,3,0),IF(F379="GLENCORE",VLOOKUP(B379,Listas!$C$4:$F$17,4,0),"Seleccione TAR"))),"-")</f>
        <v>Seleccione TAR</v>
      </c>
      <c r="M379" s="19" t="str">
        <f>+IFERROR(IF(G379="Regular",VLOOKUP(C379,'DESCUENTO PROVEEDORES'!$B$4:$E$35,2,0),IF(G379="Premium",VLOOKUP(C379,'DESCUENTO PROVEEDORES'!$B$4:$E$35,3,0),IF(G379="Diesel",VLOOKUP(C379,'DESCUENTO PROVEEDORES'!$B$4:$E$35,4,0),"Seleccione Proveedor"))),"-")</f>
        <v>Seleccione Proveedor</v>
      </c>
      <c r="N379" s="20" t="e">
        <f>((((K379-H379)/1.16)-M379))</f>
        <v>#VALUE!</v>
      </c>
      <c r="O379" s="21" t="e">
        <f>((N379*16%)+N379)+H379+L379</f>
        <v>#VALUE!</v>
      </c>
      <c r="P379" s="21" t="e">
        <f>(((J379-O379)-H379)/1.16)+H379</f>
        <v>#VALUE!</v>
      </c>
      <c r="Q379" s="44"/>
      <c r="R379" s="24"/>
      <c r="S379" s="23" t="e">
        <f t="shared" si="15"/>
        <v>#DIV/0!</v>
      </c>
      <c r="T379" s="23" t="e">
        <f t="shared" si="16"/>
        <v>#DIV/0!</v>
      </c>
      <c r="U379" s="22" t="e">
        <f t="shared" si="17"/>
        <v>#DIV/0!</v>
      </c>
      <c r="V379" s="44"/>
      <c r="W379" s="44"/>
      <c r="X379" s="44"/>
      <c r="Y379" s="44"/>
      <c r="Z379" s="44"/>
    </row>
    <row r="380" spans="1:26" ht="15.75" customHeight="1">
      <c r="A380" s="44"/>
      <c r="B380" s="14"/>
      <c r="C380" s="53"/>
      <c r="D380" s="15"/>
      <c r="E380" s="89"/>
      <c r="F380" s="16"/>
      <c r="G380" s="16"/>
      <c r="H380" s="90" t="str">
        <f>IF(G380="Regular",Listas!$K$16,IF(G380="Premium",Listas!$K$17,IF(G380="Diesel",Listas!$K$18,"-")))</f>
        <v>-</v>
      </c>
      <c r="I380" s="17"/>
      <c r="J380" s="18"/>
      <c r="K380" s="19" t="str">
        <f>+IFERROR(IF(G380="Regular",VLOOKUP(C380,'PRECIO TERMINAL PEMEX'!$B$4:$E$35,2,0),IF(G380="Premium",VLOOKUP(C380,'PRECIO TERMINAL PEMEX'!$B$4:$E$35,3,0),IF(G380="Diesel",VLOOKUP(C380,'PRECIO TERMINAL PEMEX'!$B$4:$E$35,4,0),"Seleccione Producto"))),"-")</f>
        <v>Seleccione Producto</v>
      </c>
      <c r="L380" s="93" t="str">
        <f>+IFERROR(IF(F380="VHSA",VLOOKUP(B380,Listas!$C$4:$F$17,2,0),IF(F380="DOS BOCAS",VLOOKUP(B380,Listas!$C$4:$F$17,3,0),IF(F380="GLENCORE",VLOOKUP(B380,Listas!$C$4:$F$17,4,0),"Seleccione TAR"))),"-")</f>
        <v>Seleccione TAR</v>
      </c>
      <c r="M380" s="19" t="str">
        <f>+IFERROR(IF(G380="Regular",VLOOKUP(C380,'DESCUENTO PROVEEDORES'!$B$4:$E$35,2,0),IF(G380="Premium",VLOOKUP(C380,'DESCUENTO PROVEEDORES'!$B$4:$E$35,3,0),IF(G380="Diesel",VLOOKUP(C380,'DESCUENTO PROVEEDORES'!$B$4:$E$35,4,0),"Seleccione Proveedor"))),"-")</f>
        <v>Seleccione Proveedor</v>
      </c>
      <c r="N380" s="20" t="e">
        <f>((((K380-H380)/1.16)-M380))</f>
        <v>#VALUE!</v>
      </c>
      <c r="O380" s="21" t="e">
        <f>((N380*16%)+N380)+H380+L380</f>
        <v>#VALUE!</v>
      </c>
      <c r="P380" s="21" t="e">
        <f>(((J380-O380)-H380)/1.16)+H380</f>
        <v>#VALUE!</v>
      </c>
      <c r="Q380" s="44"/>
      <c r="R380" s="24"/>
      <c r="S380" s="23" t="e">
        <f t="shared" si="15"/>
        <v>#DIV/0!</v>
      </c>
      <c r="T380" s="23" t="e">
        <f t="shared" si="16"/>
        <v>#DIV/0!</v>
      </c>
      <c r="U380" s="22" t="e">
        <f t="shared" si="17"/>
        <v>#DIV/0!</v>
      </c>
      <c r="V380" s="44"/>
      <c r="W380" s="44"/>
      <c r="X380" s="44"/>
      <c r="Y380" s="44"/>
      <c r="Z380" s="44"/>
    </row>
    <row r="381" spans="1:26" ht="15.75" customHeight="1">
      <c r="A381" s="44"/>
      <c r="B381" s="14"/>
      <c r="C381" s="53"/>
      <c r="D381" s="15"/>
      <c r="E381" s="89"/>
      <c r="F381" s="16"/>
      <c r="G381" s="16"/>
      <c r="H381" s="90" t="str">
        <f>IF(G381="Regular",Listas!$K$16,IF(G381="Premium",Listas!$K$17,IF(G381="Diesel",Listas!$K$18,"-")))</f>
        <v>-</v>
      </c>
      <c r="I381" s="17"/>
      <c r="J381" s="18"/>
      <c r="K381" s="19" t="str">
        <f>+IFERROR(IF(G381="Regular",VLOOKUP(C381,'PRECIO TERMINAL PEMEX'!$B$4:$E$35,2,0),IF(G381="Premium",VLOOKUP(C381,'PRECIO TERMINAL PEMEX'!$B$4:$E$35,3,0),IF(G381="Diesel",VLOOKUP(C381,'PRECIO TERMINAL PEMEX'!$B$4:$E$35,4,0),"Seleccione Producto"))),"-")</f>
        <v>Seleccione Producto</v>
      </c>
      <c r="L381" s="93" t="str">
        <f>+IFERROR(IF(F381="VHSA",VLOOKUP(B381,Listas!$C$4:$F$17,2,0),IF(F381="DOS BOCAS",VLOOKUP(B381,Listas!$C$4:$F$17,3,0),IF(F381="GLENCORE",VLOOKUP(B381,Listas!$C$4:$F$17,4,0),"Seleccione TAR"))),"-")</f>
        <v>Seleccione TAR</v>
      </c>
      <c r="M381" s="19" t="str">
        <f>+IFERROR(IF(G381="Regular",VLOOKUP(C381,'DESCUENTO PROVEEDORES'!$B$4:$E$35,2,0),IF(G381="Premium",VLOOKUP(C381,'DESCUENTO PROVEEDORES'!$B$4:$E$35,3,0),IF(G381="Diesel",VLOOKUP(C381,'DESCUENTO PROVEEDORES'!$B$4:$E$35,4,0),"Seleccione Proveedor"))),"-")</f>
        <v>Seleccione Proveedor</v>
      </c>
      <c r="N381" s="20" t="e">
        <f>((((K381-H381)/1.16)-M381))</f>
        <v>#VALUE!</v>
      </c>
      <c r="O381" s="21" t="e">
        <f>((N381*16%)+N381)+H381+L381</f>
        <v>#VALUE!</v>
      </c>
      <c r="P381" s="21" t="e">
        <f>(((J381-O381)-H381)/1.16)+H381</f>
        <v>#VALUE!</v>
      </c>
      <c r="Q381" s="44"/>
      <c r="R381" s="24"/>
      <c r="S381" s="23" t="e">
        <f t="shared" si="15"/>
        <v>#DIV/0!</v>
      </c>
      <c r="T381" s="23" t="e">
        <f t="shared" si="16"/>
        <v>#DIV/0!</v>
      </c>
      <c r="U381" s="22" t="e">
        <f t="shared" si="17"/>
        <v>#DIV/0!</v>
      </c>
      <c r="V381" s="44"/>
      <c r="W381" s="44"/>
      <c r="X381" s="44"/>
      <c r="Y381" s="44"/>
      <c r="Z381" s="44"/>
    </row>
    <row r="382" spans="1:26" ht="15.75" customHeight="1">
      <c r="A382" s="44"/>
      <c r="B382" s="14"/>
      <c r="C382" s="53"/>
      <c r="D382" s="15"/>
      <c r="E382" s="89"/>
      <c r="F382" s="16"/>
      <c r="G382" s="16"/>
      <c r="H382" s="90" t="str">
        <f>IF(G382="Regular",Listas!$K$16,IF(G382="Premium",Listas!$K$17,IF(G382="Diesel",Listas!$K$18,"-")))</f>
        <v>-</v>
      </c>
      <c r="I382" s="17"/>
      <c r="J382" s="18"/>
      <c r="K382" s="19" t="str">
        <f>+IFERROR(IF(G382="Regular",VLOOKUP(C382,'PRECIO TERMINAL PEMEX'!$B$4:$E$35,2,0),IF(G382="Premium",VLOOKUP(C382,'PRECIO TERMINAL PEMEX'!$B$4:$E$35,3,0),IF(G382="Diesel",VLOOKUP(C382,'PRECIO TERMINAL PEMEX'!$B$4:$E$35,4,0),"Seleccione Producto"))),"-")</f>
        <v>Seleccione Producto</v>
      </c>
      <c r="L382" s="93" t="str">
        <f>+IFERROR(IF(F382="VHSA",VLOOKUP(B382,Listas!$C$4:$F$17,2,0),IF(F382="DOS BOCAS",VLOOKUP(B382,Listas!$C$4:$F$17,3,0),IF(F382="GLENCORE",VLOOKUP(B382,Listas!$C$4:$F$17,4,0),"Seleccione TAR"))),"-")</f>
        <v>Seleccione TAR</v>
      </c>
      <c r="M382" s="19" t="str">
        <f>+IFERROR(IF(G382="Regular",VLOOKUP(C382,'DESCUENTO PROVEEDORES'!$B$4:$E$35,2,0),IF(G382="Premium",VLOOKUP(C382,'DESCUENTO PROVEEDORES'!$B$4:$E$35,3,0),IF(G382="Diesel",VLOOKUP(C382,'DESCUENTO PROVEEDORES'!$B$4:$E$35,4,0),"Seleccione Proveedor"))),"-")</f>
        <v>Seleccione Proveedor</v>
      </c>
      <c r="N382" s="20" t="e">
        <f>((((K382-H382)/1.16)-M382))</f>
        <v>#VALUE!</v>
      </c>
      <c r="O382" s="21" t="e">
        <f>((N382*16%)+N382)+H382+L382</f>
        <v>#VALUE!</v>
      </c>
      <c r="P382" s="21" t="e">
        <f>(((J382-O382)-H382)/1.16)+H382</f>
        <v>#VALUE!</v>
      </c>
      <c r="Q382" s="44"/>
      <c r="R382" s="24"/>
      <c r="S382" s="23" t="e">
        <f t="shared" si="15"/>
        <v>#DIV/0!</v>
      </c>
      <c r="T382" s="23" t="e">
        <f t="shared" si="16"/>
        <v>#DIV/0!</v>
      </c>
      <c r="U382" s="22" t="e">
        <f t="shared" si="17"/>
        <v>#DIV/0!</v>
      </c>
      <c r="V382" s="44"/>
      <c r="W382" s="44"/>
      <c r="X382" s="44"/>
      <c r="Y382" s="44"/>
      <c r="Z382" s="44"/>
    </row>
    <row r="383" spans="1:26" ht="15.75" customHeight="1">
      <c r="A383" s="44"/>
      <c r="B383" s="14"/>
      <c r="C383" s="53"/>
      <c r="D383" s="15"/>
      <c r="E383" s="89"/>
      <c r="F383" s="16"/>
      <c r="G383" s="16"/>
      <c r="H383" s="90" t="str">
        <f>IF(G383="Regular",Listas!$K$16,IF(G383="Premium",Listas!$K$17,IF(G383="Diesel",Listas!$K$18,"-")))</f>
        <v>-</v>
      </c>
      <c r="I383" s="17"/>
      <c r="J383" s="18"/>
      <c r="K383" s="19" t="str">
        <f>+IFERROR(IF(G383="Regular",VLOOKUP(C383,'PRECIO TERMINAL PEMEX'!$B$4:$E$35,2,0),IF(G383="Premium",VLOOKUP(C383,'PRECIO TERMINAL PEMEX'!$B$4:$E$35,3,0),IF(G383="Diesel",VLOOKUP(C383,'PRECIO TERMINAL PEMEX'!$B$4:$E$35,4,0),"Seleccione Producto"))),"-")</f>
        <v>Seleccione Producto</v>
      </c>
      <c r="L383" s="93" t="str">
        <f>+IFERROR(IF(F383="VHSA",VLOOKUP(B383,Listas!$C$4:$F$17,2,0),IF(F383="DOS BOCAS",VLOOKUP(B383,Listas!$C$4:$F$17,3,0),IF(F383="GLENCORE",VLOOKUP(B383,Listas!$C$4:$F$17,4,0),"Seleccione TAR"))),"-")</f>
        <v>Seleccione TAR</v>
      </c>
      <c r="M383" s="19" t="str">
        <f>+IFERROR(IF(G383="Regular",VLOOKUP(C383,'DESCUENTO PROVEEDORES'!$B$4:$E$35,2,0),IF(G383="Premium",VLOOKUP(C383,'DESCUENTO PROVEEDORES'!$B$4:$E$35,3,0),IF(G383="Diesel",VLOOKUP(C383,'DESCUENTO PROVEEDORES'!$B$4:$E$35,4,0),"Seleccione Proveedor"))),"-")</f>
        <v>Seleccione Proveedor</v>
      </c>
      <c r="N383" s="20" t="e">
        <f>((((K383-H383)/1.16)-M383))</f>
        <v>#VALUE!</v>
      </c>
      <c r="O383" s="21" t="e">
        <f>((N383*16%)+N383)+H383+L383</f>
        <v>#VALUE!</v>
      </c>
      <c r="P383" s="21" t="e">
        <f>(((J383-O383)-H383)/1.16)+H383</f>
        <v>#VALUE!</v>
      </c>
      <c r="Q383" s="44"/>
      <c r="R383" s="24"/>
      <c r="S383" s="23" t="e">
        <f t="shared" si="15"/>
        <v>#DIV/0!</v>
      </c>
      <c r="T383" s="23" t="e">
        <f t="shared" si="16"/>
        <v>#DIV/0!</v>
      </c>
      <c r="U383" s="22" t="e">
        <f t="shared" si="17"/>
        <v>#DIV/0!</v>
      </c>
      <c r="V383" s="44"/>
      <c r="W383" s="44"/>
      <c r="X383" s="44"/>
      <c r="Y383" s="44"/>
      <c r="Z383" s="44"/>
    </row>
    <row r="384" spans="1:26" ht="15.75" customHeight="1">
      <c r="A384" s="44"/>
      <c r="B384" s="14"/>
      <c r="C384" s="53"/>
      <c r="D384" s="15"/>
      <c r="E384" s="89"/>
      <c r="F384" s="16"/>
      <c r="G384" s="16"/>
      <c r="H384" s="90" t="str">
        <f>IF(G384="Regular",Listas!$K$16,IF(G384="Premium",Listas!$K$17,IF(G384="Diesel",Listas!$K$18,"-")))</f>
        <v>-</v>
      </c>
      <c r="I384" s="17"/>
      <c r="J384" s="18"/>
      <c r="K384" s="19" t="str">
        <f>+IFERROR(IF(G384="Regular",VLOOKUP(C384,'PRECIO TERMINAL PEMEX'!$B$4:$E$35,2,0),IF(G384="Premium",VLOOKUP(C384,'PRECIO TERMINAL PEMEX'!$B$4:$E$35,3,0),IF(G384="Diesel",VLOOKUP(C384,'PRECIO TERMINAL PEMEX'!$B$4:$E$35,4,0),"Seleccione Producto"))),"-")</f>
        <v>Seleccione Producto</v>
      </c>
      <c r="L384" s="93" t="str">
        <f>+IFERROR(IF(F384="VHSA",VLOOKUP(B384,Listas!$C$4:$F$17,2,0),IF(F384="DOS BOCAS",VLOOKUP(B384,Listas!$C$4:$F$17,3,0),IF(F384="GLENCORE",VLOOKUP(B384,Listas!$C$4:$F$17,4,0),"Seleccione TAR"))),"-")</f>
        <v>Seleccione TAR</v>
      </c>
      <c r="M384" s="19" t="str">
        <f>+IFERROR(IF(G384="Regular",VLOOKUP(C384,'DESCUENTO PROVEEDORES'!$B$4:$E$35,2,0),IF(G384="Premium",VLOOKUP(C384,'DESCUENTO PROVEEDORES'!$B$4:$E$35,3,0),IF(G384="Diesel",VLOOKUP(C384,'DESCUENTO PROVEEDORES'!$B$4:$E$35,4,0),"Seleccione Proveedor"))),"-")</f>
        <v>Seleccione Proveedor</v>
      </c>
      <c r="N384" s="20" t="e">
        <f>((((K384-H384)/1.16)-M384))</f>
        <v>#VALUE!</v>
      </c>
      <c r="O384" s="21" t="e">
        <f>((N384*16%)+N384)+H384+L384</f>
        <v>#VALUE!</v>
      </c>
      <c r="P384" s="21" t="e">
        <f>(((J384-O384)-H384)/1.16)+H384</f>
        <v>#VALUE!</v>
      </c>
      <c r="Q384" s="44"/>
      <c r="R384" s="24"/>
      <c r="S384" s="23" t="e">
        <f t="shared" si="15"/>
        <v>#DIV/0!</v>
      </c>
      <c r="T384" s="23" t="e">
        <f t="shared" si="16"/>
        <v>#DIV/0!</v>
      </c>
      <c r="U384" s="22" t="e">
        <f t="shared" si="17"/>
        <v>#DIV/0!</v>
      </c>
      <c r="V384" s="44"/>
      <c r="W384" s="44"/>
      <c r="X384" s="44"/>
      <c r="Y384" s="44"/>
      <c r="Z384" s="44"/>
    </row>
    <row r="385" spans="1:26" ht="15.75" customHeight="1">
      <c r="A385" s="44"/>
      <c r="B385" s="14"/>
      <c r="C385" s="53"/>
      <c r="D385" s="15"/>
      <c r="E385" s="89"/>
      <c r="F385" s="16"/>
      <c r="G385" s="16"/>
      <c r="H385" s="90" t="str">
        <f>IF(G385="Regular",Listas!$K$16,IF(G385="Premium",Listas!$K$17,IF(G385="Diesel",Listas!$K$18,"-")))</f>
        <v>-</v>
      </c>
      <c r="I385" s="17"/>
      <c r="J385" s="18"/>
      <c r="K385" s="19" t="str">
        <f>+IFERROR(IF(G385="Regular",VLOOKUP(C385,'PRECIO TERMINAL PEMEX'!$B$4:$E$35,2,0),IF(G385="Premium",VLOOKUP(C385,'PRECIO TERMINAL PEMEX'!$B$4:$E$35,3,0),IF(G385="Diesel",VLOOKUP(C385,'PRECIO TERMINAL PEMEX'!$B$4:$E$35,4,0),"Seleccione Producto"))),"-")</f>
        <v>Seleccione Producto</v>
      </c>
      <c r="L385" s="93" t="str">
        <f>+IFERROR(IF(F385="VHSA",VLOOKUP(B385,Listas!$C$4:$F$17,2,0),IF(F385="DOS BOCAS",VLOOKUP(B385,Listas!$C$4:$F$17,3,0),IF(F385="GLENCORE",VLOOKUP(B385,Listas!$C$4:$F$17,4,0),"Seleccione TAR"))),"-")</f>
        <v>Seleccione TAR</v>
      </c>
      <c r="M385" s="19" t="str">
        <f>+IFERROR(IF(G385="Regular",VLOOKUP(C385,'DESCUENTO PROVEEDORES'!$B$4:$E$35,2,0),IF(G385="Premium",VLOOKUP(C385,'DESCUENTO PROVEEDORES'!$B$4:$E$35,3,0),IF(G385="Diesel",VLOOKUP(C385,'DESCUENTO PROVEEDORES'!$B$4:$E$35,4,0),"Seleccione Proveedor"))),"-")</f>
        <v>Seleccione Proveedor</v>
      </c>
      <c r="N385" s="20" t="e">
        <f>((((K385-H385)/1.16)-M385))</f>
        <v>#VALUE!</v>
      </c>
      <c r="O385" s="21" t="e">
        <f>((N385*16%)+N385)+H385+L385</f>
        <v>#VALUE!</v>
      </c>
      <c r="P385" s="21" t="e">
        <f>(((J385-O385)-H385)/1.16)+H385</f>
        <v>#VALUE!</v>
      </c>
      <c r="Q385" s="44"/>
      <c r="R385" s="24"/>
      <c r="S385" s="23" t="e">
        <f t="shared" si="15"/>
        <v>#DIV/0!</v>
      </c>
      <c r="T385" s="23" t="e">
        <f t="shared" si="16"/>
        <v>#DIV/0!</v>
      </c>
      <c r="U385" s="22" t="e">
        <f t="shared" si="17"/>
        <v>#DIV/0!</v>
      </c>
      <c r="V385" s="44"/>
      <c r="W385" s="44"/>
      <c r="X385" s="44"/>
      <c r="Y385" s="44"/>
      <c r="Z385" s="44"/>
    </row>
    <row r="386" spans="1:26" ht="15.75" customHeight="1">
      <c r="A386" s="44"/>
      <c r="B386" s="14"/>
      <c r="C386" s="53"/>
      <c r="D386" s="15"/>
      <c r="E386" s="89"/>
      <c r="F386" s="16"/>
      <c r="G386" s="16"/>
      <c r="H386" s="90" t="str">
        <f>IF(G386="Regular",Listas!$K$16,IF(G386="Premium",Listas!$K$17,IF(G386="Diesel",Listas!$K$18,"-")))</f>
        <v>-</v>
      </c>
      <c r="I386" s="17"/>
      <c r="J386" s="18"/>
      <c r="K386" s="19" t="str">
        <f>+IFERROR(IF(G386="Regular",VLOOKUP(C386,'PRECIO TERMINAL PEMEX'!$B$4:$E$35,2,0),IF(G386="Premium",VLOOKUP(C386,'PRECIO TERMINAL PEMEX'!$B$4:$E$35,3,0),IF(G386="Diesel",VLOOKUP(C386,'PRECIO TERMINAL PEMEX'!$B$4:$E$35,4,0),"Seleccione Producto"))),"-")</f>
        <v>Seleccione Producto</v>
      </c>
      <c r="L386" s="93" t="str">
        <f>+IFERROR(IF(F386="VHSA",VLOOKUP(B386,Listas!$C$4:$F$17,2,0),IF(F386="DOS BOCAS",VLOOKUP(B386,Listas!$C$4:$F$17,3,0),IF(F386="GLENCORE",VLOOKUP(B386,Listas!$C$4:$F$17,4,0),"Seleccione TAR"))),"-")</f>
        <v>Seleccione TAR</v>
      </c>
      <c r="M386" s="19" t="str">
        <f>+IFERROR(IF(G386="Regular",VLOOKUP(C386,'DESCUENTO PROVEEDORES'!$B$4:$E$35,2,0),IF(G386="Premium",VLOOKUP(C386,'DESCUENTO PROVEEDORES'!$B$4:$E$35,3,0),IF(G386="Diesel",VLOOKUP(C386,'DESCUENTO PROVEEDORES'!$B$4:$E$35,4,0),"Seleccione Proveedor"))),"-")</f>
        <v>Seleccione Proveedor</v>
      </c>
      <c r="N386" s="20" t="e">
        <f>((((K386-H386)/1.16)-M386))</f>
        <v>#VALUE!</v>
      </c>
      <c r="O386" s="21" t="e">
        <f>((N386*16%)+N386)+H386+L386</f>
        <v>#VALUE!</v>
      </c>
      <c r="P386" s="21" t="e">
        <f>(((J386-O386)-H386)/1.16)+H386</f>
        <v>#VALUE!</v>
      </c>
      <c r="Q386" s="44"/>
      <c r="R386" s="24"/>
      <c r="S386" s="23" t="e">
        <f t="shared" si="15"/>
        <v>#DIV/0!</v>
      </c>
      <c r="T386" s="23" t="e">
        <f t="shared" si="16"/>
        <v>#DIV/0!</v>
      </c>
      <c r="U386" s="22" t="e">
        <f t="shared" si="17"/>
        <v>#DIV/0!</v>
      </c>
      <c r="V386" s="44"/>
      <c r="W386" s="44"/>
      <c r="X386" s="44"/>
      <c r="Y386" s="44"/>
      <c r="Z386" s="44"/>
    </row>
    <row r="387" spans="1:26" ht="15.75" customHeight="1">
      <c r="A387" s="44"/>
      <c r="B387" s="14"/>
      <c r="C387" s="53"/>
      <c r="D387" s="15"/>
      <c r="E387" s="89"/>
      <c r="F387" s="16"/>
      <c r="G387" s="16"/>
      <c r="H387" s="90" t="str">
        <f>IF(G387="Regular",Listas!$K$16,IF(G387="Premium",Listas!$K$17,IF(G387="Diesel",Listas!$K$18,"-")))</f>
        <v>-</v>
      </c>
      <c r="I387" s="17"/>
      <c r="J387" s="18"/>
      <c r="K387" s="19" t="str">
        <f>+IFERROR(IF(G387="Regular",VLOOKUP(C387,'PRECIO TERMINAL PEMEX'!$B$4:$E$35,2,0),IF(G387="Premium",VLOOKUP(C387,'PRECIO TERMINAL PEMEX'!$B$4:$E$35,3,0),IF(G387="Diesel",VLOOKUP(C387,'PRECIO TERMINAL PEMEX'!$B$4:$E$35,4,0),"Seleccione Producto"))),"-")</f>
        <v>Seleccione Producto</v>
      </c>
      <c r="L387" s="93" t="str">
        <f>+IFERROR(IF(F387="VHSA",VLOOKUP(B387,Listas!$C$4:$F$17,2,0),IF(F387="DOS BOCAS",VLOOKUP(B387,Listas!$C$4:$F$17,3,0),IF(F387="GLENCORE",VLOOKUP(B387,Listas!$C$4:$F$17,4,0),"Seleccione TAR"))),"-")</f>
        <v>Seleccione TAR</v>
      </c>
      <c r="M387" s="19" t="str">
        <f>+IFERROR(IF(G387="Regular",VLOOKUP(C387,'DESCUENTO PROVEEDORES'!$B$4:$E$35,2,0),IF(G387="Premium",VLOOKUP(C387,'DESCUENTO PROVEEDORES'!$B$4:$E$35,3,0),IF(G387="Diesel",VLOOKUP(C387,'DESCUENTO PROVEEDORES'!$B$4:$E$35,4,0),"Seleccione Proveedor"))),"-")</f>
        <v>Seleccione Proveedor</v>
      </c>
      <c r="N387" s="20" t="e">
        <f>((((K387-H387)/1.16)-M387))</f>
        <v>#VALUE!</v>
      </c>
      <c r="O387" s="21" t="e">
        <f>((N387*16%)+N387)+H387+L387</f>
        <v>#VALUE!</v>
      </c>
      <c r="P387" s="21" t="e">
        <f>(((J387-O387)-H387)/1.16)+H387</f>
        <v>#VALUE!</v>
      </c>
      <c r="Q387" s="44"/>
      <c r="R387" s="24"/>
      <c r="S387" s="23" t="e">
        <f t="shared" si="15"/>
        <v>#DIV/0!</v>
      </c>
      <c r="T387" s="23" t="e">
        <f t="shared" si="16"/>
        <v>#DIV/0!</v>
      </c>
      <c r="U387" s="22" t="e">
        <f t="shared" si="17"/>
        <v>#DIV/0!</v>
      </c>
      <c r="V387" s="44"/>
      <c r="W387" s="44"/>
      <c r="X387" s="44"/>
      <c r="Y387" s="44"/>
      <c r="Z387" s="44"/>
    </row>
    <row r="388" spans="1:26" ht="15.75" customHeight="1">
      <c r="A388" s="44"/>
      <c r="B388" s="14"/>
      <c r="C388" s="53"/>
      <c r="D388" s="15"/>
      <c r="E388" s="89"/>
      <c r="F388" s="16"/>
      <c r="G388" s="16"/>
      <c r="H388" s="90" t="str">
        <f>IF(G388="Regular",Listas!$K$16,IF(G388="Premium",Listas!$K$17,IF(G388="Diesel",Listas!$K$18,"-")))</f>
        <v>-</v>
      </c>
      <c r="I388" s="17"/>
      <c r="J388" s="18"/>
      <c r="K388" s="19" t="str">
        <f>+IFERROR(IF(G388="Regular",VLOOKUP(C388,'PRECIO TERMINAL PEMEX'!$B$4:$E$35,2,0),IF(G388="Premium",VLOOKUP(C388,'PRECIO TERMINAL PEMEX'!$B$4:$E$35,3,0),IF(G388="Diesel",VLOOKUP(C388,'PRECIO TERMINAL PEMEX'!$B$4:$E$35,4,0),"Seleccione Producto"))),"-")</f>
        <v>Seleccione Producto</v>
      </c>
      <c r="L388" s="93" t="str">
        <f>+IFERROR(IF(F388="VHSA",VLOOKUP(B388,Listas!$C$4:$F$17,2,0),IF(F388="DOS BOCAS",VLOOKUP(B388,Listas!$C$4:$F$17,3,0),IF(F388="GLENCORE",VLOOKUP(B388,Listas!$C$4:$F$17,4,0),"Seleccione TAR"))),"-")</f>
        <v>Seleccione TAR</v>
      </c>
      <c r="M388" s="19" t="str">
        <f>+IFERROR(IF(G388="Regular",VLOOKUP(C388,'DESCUENTO PROVEEDORES'!$B$4:$E$35,2,0),IF(G388="Premium",VLOOKUP(C388,'DESCUENTO PROVEEDORES'!$B$4:$E$35,3,0),IF(G388="Diesel",VLOOKUP(C388,'DESCUENTO PROVEEDORES'!$B$4:$E$35,4,0),"Seleccione Proveedor"))),"-")</f>
        <v>Seleccione Proveedor</v>
      </c>
      <c r="N388" s="20" t="e">
        <f>((((K388-H388)/1.16)-M388))</f>
        <v>#VALUE!</v>
      </c>
      <c r="O388" s="21" t="e">
        <f>((N388*16%)+N388)+H388+L388</f>
        <v>#VALUE!</v>
      </c>
      <c r="P388" s="21" t="e">
        <f>(((J388-O388)-H388)/1.16)+H388</f>
        <v>#VALUE!</v>
      </c>
      <c r="Q388" s="44"/>
      <c r="R388" s="24"/>
      <c r="S388" s="23" t="e">
        <f t="shared" si="15"/>
        <v>#DIV/0!</v>
      </c>
      <c r="T388" s="23" t="e">
        <f t="shared" si="16"/>
        <v>#DIV/0!</v>
      </c>
      <c r="U388" s="22" t="e">
        <f t="shared" si="17"/>
        <v>#DIV/0!</v>
      </c>
      <c r="V388" s="44"/>
      <c r="W388" s="44"/>
      <c r="X388" s="44"/>
      <c r="Y388" s="44"/>
      <c r="Z388" s="44"/>
    </row>
    <row r="389" spans="1:26" ht="15.75" customHeight="1">
      <c r="A389" s="44"/>
      <c r="B389" s="14"/>
      <c r="C389" s="53"/>
      <c r="D389" s="15"/>
      <c r="E389" s="89"/>
      <c r="F389" s="16"/>
      <c r="G389" s="16"/>
      <c r="H389" s="90" t="str">
        <f>IF(G389="Regular",Listas!$K$16,IF(G389="Premium",Listas!$K$17,IF(G389="Diesel",Listas!$K$18,"-")))</f>
        <v>-</v>
      </c>
      <c r="I389" s="17"/>
      <c r="J389" s="18"/>
      <c r="K389" s="19" t="str">
        <f>+IFERROR(IF(G389="Regular",VLOOKUP(C389,'PRECIO TERMINAL PEMEX'!$B$4:$E$35,2,0),IF(G389="Premium",VLOOKUP(C389,'PRECIO TERMINAL PEMEX'!$B$4:$E$35,3,0),IF(G389="Diesel",VLOOKUP(C389,'PRECIO TERMINAL PEMEX'!$B$4:$E$35,4,0),"Seleccione Producto"))),"-")</f>
        <v>Seleccione Producto</v>
      </c>
      <c r="L389" s="93" t="str">
        <f>+IFERROR(IF(F389="VHSA",VLOOKUP(B389,Listas!$C$4:$F$17,2,0),IF(F389="DOS BOCAS",VLOOKUP(B389,Listas!$C$4:$F$17,3,0),IF(F389="GLENCORE",VLOOKUP(B389,Listas!$C$4:$F$17,4,0),"Seleccione TAR"))),"-")</f>
        <v>Seleccione TAR</v>
      </c>
      <c r="M389" s="19" t="str">
        <f>+IFERROR(IF(G389="Regular",VLOOKUP(C389,'DESCUENTO PROVEEDORES'!$B$4:$E$35,2,0),IF(G389="Premium",VLOOKUP(C389,'DESCUENTO PROVEEDORES'!$B$4:$E$35,3,0),IF(G389="Diesel",VLOOKUP(C389,'DESCUENTO PROVEEDORES'!$B$4:$E$35,4,0),"Seleccione Proveedor"))),"-")</f>
        <v>Seleccione Proveedor</v>
      </c>
      <c r="N389" s="20" t="e">
        <f>((((K389-H389)/1.16)-M389))</f>
        <v>#VALUE!</v>
      </c>
      <c r="O389" s="21" t="e">
        <f>((N389*16%)+N389)+H389+L389</f>
        <v>#VALUE!</v>
      </c>
      <c r="P389" s="21" t="e">
        <f>(((J389-O389)-H389)/1.16)+H389</f>
        <v>#VALUE!</v>
      </c>
      <c r="Q389" s="44"/>
      <c r="R389" s="24"/>
      <c r="S389" s="23" t="e">
        <f t="shared" ref="S389:S452" si="18">R389/I389</f>
        <v>#DIV/0!</v>
      </c>
      <c r="T389" s="23" t="e">
        <f t="shared" ref="T389:T452" si="19">(J389-S389)/1.16</f>
        <v>#DIV/0!</v>
      </c>
      <c r="U389" s="22" t="e">
        <f t="shared" ref="U389:U452" si="20">+T389-P389</f>
        <v>#DIV/0!</v>
      </c>
      <c r="V389" s="44"/>
      <c r="W389" s="44"/>
      <c r="X389" s="44"/>
      <c r="Y389" s="44"/>
      <c r="Z389" s="44"/>
    </row>
    <row r="390" spans="1:26" ht="15.75" customHeight="1">
      <c r="A390" s="44"/>
      <c r="B390" s="14"/>
      <c r="C390" s="53"/>
      <c r="D390" s="15"/>
      <c r="E390" s="89"/>
      <c r="F390" s="16"/>
      <c r="G390" s="16"/>
      <c r="H390" s="90" t="str">
        <f>IF(G390="Regular",Listas!$K$16,IF(G390="Premium",Listas!$K$17,IF(G390="Diesel",Listas!$K$18,"-")))</f>
        <v>-</v>
      </c>
      <c r="I390" s="17"/>
      <c r="J390" s="18"/>
      <c r="K390" s="19" t="str">
        <f>+IFERROR(IF(G390="Regular",VLOOKUP(C390,'PRECIO TERMINAL PEMEX'!$B$4:$E$35,2,0),IF(G390="Premium",VLOOKUP(C390,'PRECIO TERMINAL PEMEX'!$B$4:$E$35,3,0),IF(G390="Diesel",VLOOKUP(C390,'PRECIO TERMINAL PEMEX'!$B$4:$E$35,4,0),"Seleccione Producto"))),"-")</f>
        <v>Seleccione Producto</v>
      </c>
      <c r="L390" s="93" t="str">
        <f>+IFERROR(IF(F390="VHSA",VLOOKUP(B390,Listas!$C$4:$F$17,2,0),IF(F390="DOS BOCAS",VLOOKUP(B390,Listas!$C$4:$F$17,3,0),IF(F390="GLENCORE",VLOOKUP(B390,Listas!$C$4:$F$17,4,0),"Seleccione TAR"))),"-")</f>
        <v>Seleccione TAR</v>
      </c>
      <c r="M390" s="19" t="str">
        <f>+IFERROR(IF(G390="Regular",VLOOKUP(C390,'DESCUENTO PROVEEDORES'!$B$4:$E$35,2,0),IF(G390="Premium",VLOOKUP(C390,'DESCUENTO PROVEEDORES'!$B$4:$E$35,3,0),IF(G390="Diesel",VLOOKUP(C390,'DESCUENTO PROVEEDORES'!$B$4:$E$35,4,0),"Seleccione Proveedor"))),"-")</f>
        <v>Seleccione Proveedor</v>
      </c>
      <c r="N390" s="20" t="e">
        <f>((((K390-H390)/1.16)-M390))</f>
        <v>#VALUE!</v>
      </c>
      <c r="O390" s="21" t="e">
        <f>((N390*16%)+N390)+H390+L390</f>
        <v>#VALUE!</v>
      </c>
      <c r="P390" s="21" t="e">
        <f>(((J390-O390)-H390)/1.16)+H390</f>
        <v>#VALUE!</v>
      </c>
      <c r="Q390" s="44"/>
      <c r="R390" s="24"/>
      <c r="S390" s="23" t="e">
        <f t="shared" si="18"/>
        <v>#DIV/0!</v>
      </c>
      <c r="T390" s="23" t="e">
        <f t="shared" si="19"/>
        <v>#DIV/0!</v>
      </c>
      <c r="U390" s="22" t="e">
        <f t="shared" si="20"/>
        <v>#DIV/0!</v>
      </c>
      <c r="V390" s="44"/>
      <c r="W390" s="44"/>
      <c r="X390" s="44"/>
      <c r="Y390" s="44"/>
      <c r="Z390" s="44"/>
    </row>
    <row r="391" spans="1:26" ht="15.75" customHeight="1">
      <c r="A391" s="44"/>
      <c r="B391" s="14"/>
      <c r="C391" s="53"/>
      <c r="D391" s="15"/>
      <c r="E391" s="89"/>
      <c r="F391" s="16"/>
      <c r="G391" s="16"/>
      <c r="H391" s="90" t="str">
        <f>IF(G391="Regular",Listas!$K$16,IF(G391="Premium",Listas!$K$17,IF(G391="Diesel",Listas!$K$18,"-")))</f>
        <v>-</v>
      </c>
      <c r="I391" s="17"/>
      <c r="J391" s="18"/>
      <c r="K391" s="19" t="str">
        <f>+IFERROR(IF(G391="Regular",VLOOKUP(C391,'PRECIO TERMINAL PEMEX'!$B$4:$E$35,2,0),IF(G391="Premium",VLOOKUP(C391,'PRECIO TERMINAL PEMEX'!$B$4:$E$35,3,0),IF(G391="Diesel",VLOOKUP(C391,'PRECIO TERMINAL PEMEX'!$B$4:$E$35,4,0),"Seleccione Producto"))),"-")</f>
        <v>Seleccione Producto</v>
      </c>
      <c r="L391" s="93" t="str">
        <f>+IFERROR(IF(F391="VHSA",VLOOKUP(B391,Listas!$C$4:$F$17,2,0),IF(F391="DOS BOCAS",VLOOKUP(B391,Listas!$C$4:$F$17,3,0),IF(F391="GLENCORE",VLOOKUP(B391,Listas!$C$4:$F$17,4,0),"Seleccione TAR"))),"-")</f>
        <v>Seleccione TAR</v>
      </c>
      <c r="M391" s="19" t="str">
        <f>+IFERROR(IF(G391="Regular",VLOOKUP(C391,'DESCUENTO PROVEEDORES'!$B$4:$E$35,2,0),IF(G391="Premium",VLOOKUP(C391,'DESCUENTO PROVEEDORES'!$B$4:$E$35,3,0),IF(G391="Diesel",VLOOKUP(C391,'DESCUENTO PROVEEDORES'!$B$4:$E$35,4,0),"Seleccione Proveedor"))),"-")</f>
        <v>Seleccione Proveedor</v>
      </c>
      <c r="N391" s="20" t="e">
        <f>((((K391-H391)/1.16)-M391))</f>
        <v>#VALUE!</v>
      </c>
      <c r="O391" s="21" t="e">
        <f>((N391*16%)+N391)+H391+L391</f>
        <v>#VALUE!</v>
      </c>
      <c r="P391" s="21" t="e">
        <f>(((J391-O391)-H391)/1.16)+H391</f>
        <v>#VALUE!</v>
      </c>
      <c r="Q391" s="44"/>
      <c r="R391" s="24"/>
      <c r="S391" s="23" t="e">
        <f t="shared" si="18"/>
        <v>#DIV/0!</v>
      </c>
      <c r="T391" s="23" t="e">
        <f t="shared" si="19"/>
        <v>#DIV/0!</v>
      </c>
      <c r="U391" s="22" t="e">
        <f t="shared" si="20"/>
        <v>#DIV/0!</v>
      </c>
      <c r="V391" s="44"/>
      <c r="W391" s="44"/>
      <c r="X391" s="44"/>
      <c r="Y391" s="44"/>
      <c r="Z391" s="44"/>
    </row>
    <row r="392" spans="1:26" ht="15.75" customHeight="1">
      <c r="A392" s="44"/>
      <c r="B392" s="14"/>
      <c r="C392" s="53"/>
      <c r="D392" s="15"/>
      <c r="E392" s="89"/>
      <c r="F392" s="16"/>
      <c r="G392" s="16"/>
      <c r="H392" s="90" t="str">
        <f>IF(G392="Regular",Listas!$K$16,IF(G392="Premium",Listas!$K$17,IF(G392="Diesel",Listas!$K$18,"-")))</f>
        <v>-</v>
      </c>
      <c r="I392" s="17"/>
      <c r="J392" s="18"/>
      <c r="K392" s="19" t="str">
        <f>+IFERROR(IF(G392="Regular",VLOOKUP(C392,'PRECIO TERMINAL PEMEX'!$B$4:$E$35,2,0),IF(G392="Premium",VLOOKUP(C392,'PRECIO TERMINAL PEMEX'!$B$4:$E$35,3,0),IF(G392="Diesel",VLOOKUP(C392,'PRECIO TERMINAL PEMEX'!$B$4:$E$35,4,0),"Seleccione Producto"))),"-")</f>
        <v>Seleccione Producto</v>
      </c>
      <c r="L392" s="93" t="str">
        <f>+IFERROR(IF(F392="VHSA",VLOOKUP(B392,Listas!$C$4:$F$17,2,0),IF(F392="DOS BOCAS",VLOOKUP(B392,Listas!$C$4:$F$17,3,0),IF(F392="GLENCORE",VLOOKUP(B392,Listas!$C$4:$F$17,4,0),"Seleccione TAR"))),"-")</f>
        <v>Seleccione TAR</v>
      </c>
      <c r="M392" s="19" t="str">
        <f>+IFERROR(IF(G392="Regular",VLOOKUP(C392,'DESCUENTO PROVEEDORES'!$B$4:$E$35,2,0),IF(G392="Premium",VLOOKUP(C392,'DESCUENTO PROVEEDORES'!$B$4:$E$35,3,0),IF(G392="Diesel",VLOOKUP(C392,'DESCUENTO PROVEEDORES'!$B$4:$E$35,4,0),"Seleccione Proveedor"))),"-")</f>
        <v>Seleccione Proveedor</v>
      </c>
      <c r="N392" s="20" t="e">
        <f>((((K392-H392)/1.16)-M392))</f>
        <v>#VALUE!</v>
      </c>
      <c r="O392" s="21" t="e">
        <f>((N392*16%)+N392)+H392+L392</f>
        <v>#VALUE!</v>
      </c>
      <c r="P392" s="21" t="e">
        <f>(((J392-O392)-H392)/1.16)+H392</f>
        <v>#VALUE!</v>
      </c>
      <c r="Q392" s="44"/>
      <c r="R392" s="24"/>
      <c r="S392" s="23" t="e">
        <f t="shared" si="18"/>
        <v>#DIV/0!</v>
      </c>
      <c r="T392" s="23" t="e">
        <f t="shared" si="19"/>
        <v>#DIV/0!</v>
      </c>
      <c r="U392" s="22" t="e">
        <f t="shared" si="20"/>
        <v>#DIV/0!</v>
      </c>
      <c r="V392" s="44"/>
      <c r="W392" s="44"/>
      <c r="X392" s="44"/>
      <c r="Y392" s="44"/>
      <c r="Z392" s="44"/>
    </row>
    <row r="393" spans="1:26" ht="15.75" customHeight="1">
      <c r="A393" s="44"/>
      <c r="B393" s="14"/>
      <c r="C393" s="53"/>
      <c r="D393" s="15"/>
      <c r="E393" s="89"/>
      <c r="F393" s="16"/>
      <c r="G393" s="16"/>
      <c r="H393" s="90" t="str">
        <f>IF(G393="Regular",Listas!$K$16,IF(G393="Premium",Listas!$K$17,IF(G393="Diesel",Listas!$K$18,"-")))</f>
        <v>-</v>
      </c>
      <c r="I393" s="17"/>
      <c r="J393" s="18"/>
      <c r="K393" s="19" t="str">
        <f>+IFERROR(IF(G393="Regular",VLOOKUP(C393,'PRECIO TERMINAL PEMEX'!$B$4:$E$35,2,0),IF(G393="Premium",VLOOKUP(C393,'PRECIO TERMINAL PEMEX'!$B$4:$E$35,3,0),IF(G393="Diesel",VLOOKUP(C393,'PRECIO TERMINAL PEMEX'!$B$4:$E$35,4,0),"Seleccione Producto"))),"-")</f>
        <v>Seleccione Producto</v>
      </c>
      <c r="L393" s="93" t="str">
        <f>+IFERROR(IF(F393="VHSA",VLOOKUP(B393,Listas!$C$4:$F$17,2,0),IF(F393="DOS BOCAS",VLOOKUP(B393,Listas!$C$4:$F$17,3,0),IF(F393="GLENCORE",VLOOKUP(B393,Listas!$C$4:$F$17,4,0),"Seleccione TAR"))),"-")</f>
        <v>Seleccione TAR</v>
      </c>
      <c r="M393" s="19" t="str">
        <f>+IFERROR(IF(G393="Regular",VLOOKUP(C393,'DESCUENTO PROVEEDORES'!$B$4:$E$35,2,0),IF(G393="Premium",VLOOKUP(C393,'DESCUENTO PROVEEDORES'!$B$4:$E$35,3,0),IF(G393="Diesel",VLOOKUP(C393,'DESCUENTO PROVEEDORES'!$B$4:$E$35,4,0),"Seleccione Proveedor"))),"-")</f>
        <v>Seleccione Proveedor</v>
      </c>
      <c r="N393" s="20" t="e">
        <f>((((K393-H393)/1.16)-M393))</f>
        <v>#VALUE!</v>
      </c>
      <c r="O393" s="21" t="e">
        <f>((N393*16%)+N393)+H393+L393</f>
        <v>#VALUE!</v>
      </c>
      <c r="P393" s="21" t="e">
        <f>(((J393-O393)-H393)/1.16)+H393</f>
        <v>#VALUE!</v>
      </c>
      <c r="Q393" s="44"/>
      <c r="R393" s="24"/>
      <c r="S393" s="23" t="e">
        <f t="shared" si="18"/>
        <v>#DIV/0!</v>
      </c>
      <c r="T393" s="23" t="e">
        <f t="shared" si="19"/>
        <v>#DIV/0!</v>
      </c>
      <c r="U393" s="22" t="e">
        <f t="shared" si="20"/>
        <v>#DIV/0!</v>
      </c>
      <c r="V393" s="44"/>
      <c r="W393" s="44"/>
      <c r="X393" s="44"/>
      <c r="Y393" s="44"/>
      <c r="Z393" s="44"/>
    </row>
    <row r="394" spans="1:26" ht="15.75" customHeight="1">
      <c r="A394" s="44"/>
      <c r="B394" s="14"/>
      <c r="C394" s="53"/>
      <c r="D394" s="15"/>
      <c r="E394" s="89"/>
      <c r="F394" s="16"/>
      <c r="G394" s="16"/>
      <c r="H394" s="90" t="str">
        <f>IF(G394="Regular",Listas!$K$16,IF(G394="Premium",Listas!$K$17,IF(G394="Diesel",Listas!$K$18,"-")))</f>
        <v>-</v>
      </c>
      <c r="I394" s="17"/>
      <c r="J394" s="18"/>
      <c r="K394" s="19" t="str">
        <f>+IFERROR(IF(G394="Regular",VLOOKUP(C394,'PRECIO TERMINAL PEMEX'!$B$4:$E$35,2,0),IF(G394="Premium",VLOOKUP(C394,'PRECIO TERMINAL PEMEX'!$B$4:$E$35,3,0),IF(G394="Diesel",VLOOKUP(C394,'PRECIO TERMINAL PEMEX'!$B$4:$E$35,4,0),"Seleccione Producto"))),"-")</f>
        <v>Seleccione Producto</v>
      </c>
      <c r="L394" s="93" t="str">
        <f>+IFERROR(IF(F394="VHSA",VLOOKUP(B394,Listas!$C$4:$F$17,2,0),IF(F394="DOS BOCAS",VLOOKUP(B394,Listas!$C$4:$F$17,3,0),IF(F394="GLENCORE",VLOOKUP(B394,Listas!$C$4:$F$17,4,0),"Seleccione TAR"))),"-")</f>
        <v>Seleccione TAR</v>
      </c>
      <c r="M394" s="19" t="str">
        <f>+IFERROR(IF(G394="Regular",VLOOKUP(C394,'DESCUENTO PROVEEDORES'!$B$4:$E$35,2,0),IF(G394="Premium",VLOOKUP(C394,'DESCUENTO PROVEEDORES'!$B$4:$E$35,3,0),IF(G394="Diesel",VLOOKUP(C394,'DESCUENTO PROVEEDORES'!$B$4:$E$35,4,0),"Seleccione Proveedor"))),"-")</f>
        <v>Seleccione Proveedor</v>
      </c>
      <c r="N394" s="20" t="e">
        <f>((((K394-H394)/1.16)-M394))</f>
        <v>#VALUE!</v>
      </c>
      <c r="O394" s="21" t="e">
        <f>((N394*16%)+N394)+H394+L394</f>
        <v>#VALUE!</v>
      </c>
      <c r="P394" s="21" t="e">
        <f>(((J394-O394)-H394)/1.16)+H394</f>
        <v>#VALUE!</v>
      </c>
      <c r="Q394" s="44"/>
      <c r="R394" s="24"/>
      <c r="S394" s="23" t="e">
        <f t="shared" si="18"/>
        <v>#DIV/0!</v>
      </c>
      <c r="T394" s="23" t="e">
        <f t="shared" si="19"/>
        <v>#DIV/0!</v>
      </c>
      <c r="U394" s="22" t="e">
        <f t="shared" si="20"/>
        <v>#DIV/0!</v>
      </c>
      <c r="V394" s="44"/>
      <c r="W394" s="44"/>
      <c r="X394" s="44"/>
      <c r="Y394" s="44"/>
      <c r="Z394" s="44"/>
    </row>
    <row r="395" spans="1:26" ht="15.75" customHeight="1">
      <c r="A395" s="44"/>
      <c r="B395" s="14"/>
      <c r="C395" s="53"/>
      <c r="D395" s="15"/>
      <c r="E395" s="89"/>
      <c r="F395" s="16"/>
      <c r="G395" s="16"/>
      <c r="H395" s="90" t="str">
        <f>IF(G395="Regular",Listas!$K$16,IF(G395="Premium",Listas!$K$17,IF(G395="Diesel",Listas!$K$18,"-")))</f>
        <v>-</v>
      </c>
      <c r="I395" s="17"/>
      <c r="J395" s="18"/>
      <c r="K395" s="19" t="str">
        <f>+IFERROR(IF(G395="Regular",VLOOKUP(C395,'PRECIO TERMINAL PEMEX'!$B$4:$E$35,2,0),IF(G395="Premium",VLOOKUP(C395,'PRECIO TERMINAL PEMEX'!$B$4:$E$35,3,0),IF(G395="Diesel",VLOOKUP(C395,'PRECIO TERMINAL PEMEX'!$B$4:$E$35,4,0),"Seleccione Producto"))),"-")</f>
        <v>Seleccione Producto</v>
      </c>
      <c r="L395" s="93" t="str">
        <f>+IFERROR(IF(F395="VHSA",VLOOKUP(B395,Listas!$C$4:$F$17,2,0),IF(F395="DOS BOCAS",VLOOKUP(B395,Listas!$C$4:$F$17,3,0),IF(F395="GLENCORE",VLOOKUP(B395,Listas!$C$4:$F$17,4,0),"Seleccione TAR"))),"-")</f>
        <v>Seleccione TAR</v>
      </c>
      <c r="M395" s="19" t="str">
        <f>+IFERROR(IF(G395="Regular",VLOOKUP(C395,'DESCUENTO PROVEEDORES'!$B$4:$E$35,2,0),IF(G395="Premium",VLOOKUP(C395,'DESCUENTO PROVEEDORES'!$B$4:$E$35,3,0),IF(G395="Diesel",VLOOKUP(C395,'DESCUENTO PROVEEDORES'!$B$4:$E$35,4,0),"Seleccione Proveedor"))),"-")</f>
        <v>Seleccione Proveedor</v>
      </c>
      <c r="N395" s="20" t="e">
        <f>((((K395-H395)/1.16)-M395))</f>
        <v>#VALUE!</v>
      </c>
      <c r="O395" s="21" t="e">
        <f>((N395*16%)+N395)+H395+L395</f>
        <v>#VALUE!</v>
      </c>
      <c r="P395" s="21" t="e">
        <f>(((J395-O395)-H395)/1.16)+H395</f>
        <v>#VALUE!</v>
      </c>
      <c r="Q395" s="44"/>
      <c r="R395" s="24"/>
      <c r="S395" s="23" t="e">
        <f t="shared" si="18"/>
        <v>#DIV/0!</v>
      </c>
      <c r="T395" s="23" t="e">
        <f t="shared" si="19"/>
        <v>#DIV/0!</v>
      </c>
      <c r="U395" s="22" t="e">
        <f t="shared" si="20"/>
        <v>#DIV/0!</v>
      </c>
      <c r="V395" s="44"/>
      <c r="W395" s="44"/>
      <c r="X395" s="44"/>
      <c r="Y395" s="44"/>
      <c r="Z395" s="44"/>
    </row>
    <row r="396" spans="1:26" ht="15.75" customHeight="1">
      <c r="A396" s="44"/>
      <c r="B396" s="14"/>
      <c r="C396" s="53"/>
      <c r="D396" s="15"/>
      <c r="E396" s="89"/>
      <c r="F396" s="16"/>
      <c r="G396" s="16"/>
      <c r="H396" s="90" t="str">
        <f>IF(G396="Regular",Listas!$K$16,IF(G396="Premium",Listas!$K$17,IF(G396="Diesel",Listas!$K$18,"-")))</f>
        <v>-</v>
      </c>
      <c r="I396" s="17"/>
      <c r="J396" s="18"/>
      <c r="K396" s="19" t="str">
        <f>+IFERROR(IF(G396="Regular",VLOOKUP(C396,'PRECIO TERMINAL PEMEX'!$B$4:$E$35,2,0),IF(G396="Premium",VLOOKUP(C396,'PRECIO TERMINAL PEMEX'!$B$4:$E$35,3,0),IF(G396="Diesel",VLOOKUP(C396,'PRECIO TERMINAL PEMEX'!$B$4:$E$35,4,0),"Seleccione Producto"))),"-")</f>
        <v>Seleccione Producto</v>
      </c>
      <c r="L396" s="93" t="str">
        <f>+IFERROR(IF(F396="VHSA",VLOOKUP(B396,Listas!$C$4:$F$17,2,0),IF(F396="DOS BOCAS",VLOOKUP(B396,Listas!$C$4:$F$17,3,0),IF(F396="GLENCORE",VLOOKUP(B396,Listas!$C$4:$F$17,4,0),"Seleccione TAR"))),"-")</f>
        <v>Seleccione TAR</v>
      </c>
      <c r="M396" s="19" t="str">
        <f>+IFERROR(IF(G396="Regular",VLOOKUP(C396,'DESCUENTO PROVEEDORES'!$B$4:$E$35,2,0),IF(G396="Premium",VLOOKUP(C396,'DESCUENTO PROVEEDORES'!$B$4:$E$35,3,0),IF(G396="Diesel",VLOOKUP(C396,'DESCUENTO PROVEEDORES'!$B$4:$E$35,4,0),"Seleccione Proveedor"))),"-")</f>
        <v>Seleccione Proveedor</v>
      </c>
      <c r="N396" s="20" t="e">
        <f>((((K396-H396)/1.16)-M396))</f>
        <v>#VALUE!</v>
      </c>
      <c r="O396" s="21" t="e">
        <f>((N396*16%)+N396)+H396+L396</f>
        <v>#VALUE!</v>
      </c>
      <c r="P396" s="21" t="e">
        <f>(((J396-O396)-H396)/1.16)+H396</f>
        <v>#VALUE!</v>
      </c>
      <c r="Q396" s="44"/>
      <c r="R396" s="24"/>
      <c r="S396" s="23" t="e">
        <f t="shared" si="18"/>
        <v>#DIV/0!</v>
      </c>
      <c r="T396" s="23" t="e">
        <f t="shared" si="19"/>
        <v>#DIV/0!</v>
      </c>
      <c r="U396" s="22" t="e">
        <f t="shared" si="20"/>
        <v>#DIV/0!</v>
      </c>
      <c r="V396" s="44"/>
      <c r="W396" s="44"/>
      <c r="X396" s="44"/>
      <c r="Y396" s="44"/>
      <c r="Z396" s="44"/>
    </row>
    <row r="397" spans="1:26" ht="15.75" customHeight="1">
      <c r="A397" s="44"/>
      <c r="B397" s="14"/>
      <c r="C397" s="53"/>
      <c r="D397" s="15"/>
      <c r="E397" s="89"/>
      <c r="F397" s="16"/>
      <c r="G397" s="16"/>
      <c r="H397" s="90" t="str">
        <f>IF(G397="Regular",Listas!$K$16,IF(G397="Premium",Listas!$K$17,IF(G397="Diesel",Listas!$K$18,"-")))</f>
        <v>-</v>
      </c>
      <c r="I397" s="17"/>
      <c r="J397" s="18"/>
      <c r="K397" s="19" t="str">
        <f>+IFERROR(IF(G397="Regular",VLOOKUP(C397,'PRECIO TERMINAL PEMEX'!$B$4:$E$35,2,0),IF(G397="Premium",VLOOKUP(C397,'PRECIO TERMINAL PEMEX'!$B$4:$E$35,3,0),IF(G397="Diesel",VLOOKUP(C397,'PRECIO TERMINAL PEMEX'!$B$4:$E$35,4,0),"Seleccione Producto"))),"-")</f>
        <v>Seleccione Producto</v>
      </c>
      <c r="L397" s="93" t="str">
        <f>+IFERROR(IF(F397="VHSA",VLOOKUP(B397,Listas!$C$4:$F$17,2,0),IF(F397="DOS BOCAS",VLOOKUP(B397,Listas!$C$4:$F$17,3,0),IF(F397="GLENCORE",VLOOKUP(B397,Listas!$C$4:$F$17,4,0),"Seleccione TAR"))),"-")</f>
        <v>Seleccione TAR</v>
      </c>
      <c r="M397" s="19" t="str">
        <f>+IFERROR(IF(G397="Regular",VLOOKUP(C397,'DESCUENTO PROVEEDORES'!$B$4:$E$35,2,0),IF(G397="Premium",VLOOKUP(C397,'DESCUENTO PROVEEDORES'!$B$4:$E$35,3,0),IF(G397="Diesel",VLOOKUP(C397,'DESCUENTO PROVEEDORES'!$B$4:$E$35,4,0),"Seleccione Proveedor"))),"-")</f>
        <v>Seleccione Proveedor</v>
      </c>
      <c r="N397" s="20" t="e">
        <f>((((K397-H397)/1.16)-M397))</f>
        <v>#VALUE!</v>
      </c>
      <c r="O397" s="21" t="e">
        <f>((N397*16%)+N397)+H397+L397</f>
        <v>#VALUE!</v>
      </c>
      <c r="P397" s="21" t="e">
        <f>(((J397-O397)-H397)/1.16)+H397</f>
        <v>#VALUE!</v>
      </c>
      <c r="Q397" s="44"/>
      <c r="R397" s="24"/>
      <c r="S397" s="23" t="e">
        <f t="shared" si="18"/>
        <v>#DIV/0!</v>
      </c>
      <c r="T397" s="23" t="e">
        <f t="shared" si="19"/>
        <v>#DIV/0!</v>
      </c>
      <c r="U397" s="22" t="e">
        <f t="shared" si="20"/>
        <v>#DIV/0!</v>
      </c>
      <c r="V397" s="44"/>
      <c r="W397" s="44"/>
      <c r="X397" s="44"/>
      <c r="Y397" s="44"/>
      <c r="Z397" s="44"/>
    </row>
    <row r="398" spans="1:26" ht="15.75" customHeight="1">
      <c r="A398" s="44"/>
      <c r="B398" s="14"/>
      <c r="C398" s="53"/>
      <c r="D398" s="15"/>
      <c r="E398" s="89"/>
      <c r="F398" s="16"/>
      <c r="G398" s="16"/>
      <c r="H398" s="90" t="str">
        <f>IF(G398="Regular",Listas!$K$16,IF(G398="Premium",Listas!$K$17,IF(G398="Diesel",Listas!$K$18,"-")))</f>
        <v>-</v>
      </c>
      <c r="I398" s="17"/>
      <c r="J398" s="18"/>
      <c r="K398" s="19" t="str">
        <f>+IFERROR(IF(G398="Regular",VLOOKUP(C398,'PRECIO TERMINAL PEMEX'!$B$4:$E$35,2,0),IF(G398="Premium",VLOOKUP(C398,'PRECIO TERMINAL PEMEX'!$B$4:$E$35,3,0),IF(G398="Diesel",VLOOKUP(C398,'PRECIO TERMINAL PEMEX'!$B$4:$E$35,4,0),"Seleccione Producto"))),"-")</f>
        <v>Seleccione Producto</v>
      </c>
      <c r="L398" s="93" t="str">
        <f>+IFERROR(IF(F398="VHSA",VLOOKUP(B398,Listas!$C$4:$F$17,2,0),IF(F398="DOS BOCAS",VLOOKUP(B398,Listas!$C$4:$F$17,3,0),IF(F398="GLENCORE",VLOOKUP(B398,Listas!$C$4:$F$17,4,0),"Seleccione TAR"))),"-")</f>
        <v>Seleccione TAR</v>
      </c>
      <c r="M398" s="19" t="str">
        <f>+IFERROR(IF(G398="Regular",VLOOKUP(C398,'DESCUENTO PROVEEDORES'!$B$4:$E$35,2,0),IF(G398="Premium",VLOOKUP(C398,'DESCUENTO PROVEEDORES'!$B$4:$E$35,3,0),IF(G398="Diesel",VLOOKUP(C398,'DESCUENTO PROVEEDORES'!$B$4:$E$35,4,0),"Seleccione Proveedor"))),"-")</f>
        <v>Seleccione Proveedor</v>
      </c>
      <c r="N398" s="20" t="e">
        <f>((((K398-H398)/1.16)-M398))</f>
        <v>#VALUE!</v>
      </c>
      <c r="O398" s="21" t="e">
        <f>((N398*16%)+N398)+H398+L398</f>
        <v>#VALUE!</v>
      </c>
      <c r="P398" s="21" t="e">
        <f>(((J398-O398)-H398)/1.16)+H398</f>
        <v>#VALUE!</v>
      </c>
      <c r="Q398" s="44"/>
      <c r="R398" s="24"/>
      <c r="S398" s="23" t="e">
        <f t="shared" si="18"/>
        <v>#DIV/0!</v>
      </c>
      <c r="T398" s="23" t="e">
        <f t="shared" si="19"/>
        <v>#DIV/0!</v>
      </c>
      <c r="U398" s="22" t="e">
        <f t="shared" si="20"/>
        <v>#DIV/0!</v>
      </c>
      <c r="V398" s="44"/>
      <c r="W398" s="44"/>
      <c r="X398" s="44"/>
      <c r="Y398" s="44"/>
      <c r="Z398" s="44"/>
    </row>
    <row r="399" spans="1:26" ht="15.75" customHeight="1">
      <c r="A399" s="44"/>
      <c r="B399" s="14"/>
      <c r="C399" s="53"/>
      <c r="D399" s="15"/>
      <c r="E399" s="89"/>
      <c r="F399" s="16"/>
      <c r="G399" s="16"/>
      <c r="H399" s="90" t="str">
        <f>IF(G399="Regular",Listas!$K$16,IF(G399="Premium",Listas!$K$17,IF(G399="Diesel",Listas!$K$18,"-")))</f>
        <v>-</v>
      </c>
      <c r="I399" s="17"/>
      <c r="J399" s="18"/>
      <c r="K399" s="19" t="str">
        <f>+IFERROR(IF(G399="Regular",VLOOKUP(C399,'PRECIO TERMINAL PEMEX'!$B$4:$E$35,2,0),IF(G399="Premium",VLOOKUP(C399,'PRECIO TERMINAL PEMEX'!$B$4:$E$35,3,0),IF(G399="Diesel",VLOOKUP(C399,'PRECIO TERMINAL PEMEX'!$B$4:$E$35,4,0),"Seleccione Producto"))),"-")</f>
        <v>Seleccione Producto</v>
      </c>
      <c r="L399" s="93" t="str">
        <f>+IFERROR(IF(F399="VHSA",VLOOKUP(B399,Listas!$C$4:$F$17,2,0),IF(F399="DOS BOCAS",VLOOKUP(B399,Listas!$C$4:$F$17,3,0),IF(F399="GLENCORE",VLOOKUP(B399,Listas!$C$4:$F$17,4,0),"Seleccione TAR"))),"-")</f>
        <v>Seleccione TAR</v>
      </c>
      <c r="M399" s="19" t="str">
        <f>+IFERROR(IF(G399="Regular",VLOOKUP(C399,'DESCUENTO PROVEEDORES'!$B$4:$E$35,2,0),IF(G399="Premium",VLOOKUP(C399,'DESCUENTO PROVEEDORES'!$B$4:$E$35,3,0),IF(G399="Diesel",VLOOKUP(C399,'DESCUENTO PROVEEDORES'!$B$4:$E$35,4,0),"Seleccione Proveedor"))),"-")</f>
        <v>Seleccione Proveedor</v>
      </c>
      <c r="N399" s="20" t="e">
        <f>((((K399-H399)/1.16)-M399))</f>
        <v>#VALUE!</v>
      </c>
      <c r="O399" s="21" t="e">
        <f>((N399*16%)+N399)+H399+L399</f>
        <v>#VALUE!</v>
      </c>
      <c r="P399" s="21" t="e">
        <f>(((J399-O399)-H399)/1.16)+H399</f>
        <v>#VALUE!</v>
      </c>
      <c r="Q399" s="44"/>
      <c r="R399" s="24"/>
      <c r="S399" s="23" t="e">
        <f t="shared" si="18"/>
        <v>#DIV/0!</v>
      </c>
      <c r="T399" s="23" t="e">
        <f t="shared" si="19"/>
        <v>#DIV/0!</v>
      </c>
      <c r="U399" s="22" t="e">
        <f t="shared" si="20"/>
        <v>#DIV/0!</v>
      </c>
      <c r="V399" s="44"/>
      <c r="W399" s="44"/>
      <c r="X399" s="44"/>
      <c r="Y399" s="44"/>
      <c r="Z399" s="44"/>
    </row>
    <row r="400" spans="1:26" ht="15.75" customHeight="1">
      <c r="A400" s="44"/>
      <c r="B400" s="14"/>
      <c r="C400" s="53"/>
      <c r="D400" s="15"/>
      <c r="E400" s="89"/>
      <c r="F400" s="16"/>
      <c r="G400" s="16"/>
      <c r="H400" s="90" t="str">
        <f>IF(G400="Regular",Listas!$K$16,IF(G400="Premium",Listas!$K$17,IF(G400="Diesel",Listas!$K$18,"-")))</f>
        <v>-</v>
      </c>
      <c r="I400" s="17"/>
      <c r="J400" s="18"/>
      <c r="K400" s="19" t="str">
        <f>+IFERROR(IF(G400="Regular",VLOOKUP(C400,'PRECIO TERMINAL PEMEX'!$B$4:$E$35,2,0),IF(G400="Premium",VLOOKUP(C400,'PRECIO TERMINAL PEMEX'!$B$4:$E$35,3,0),IF(G400="Diesel",VLOOKUP(C400,'PRECIO TERMINAL PEMEX'!$B$4:$E$35,4,0),"Seleccione Producto"))),"-")</f>
        <v>Seleccione Producto</v>
      </c>
      <c r="L400" s="93" t="str">
        <f>+IFERROR(IF(F400="VHSA",VLOOKUP(B400,Listas!$C$4:$F$17,2,0),IF(F400="DOS BOCAS",VLOOKUP(B400,Listas!$C$4:$F$17,3,0),IF(F400="GLENCORE",VLOOKUP(B400,Listas!$C$4:$F$17,4,0),"Seleccione TAR"))),"-")</f>
        <v>Seleccione TAR</v>
      </c>
      <c r="M400" s="19" t="str">
        <f>+IFERROR(IF(G400="Regular",VLOOKUP(C400,'DESCUENTO PROVEEDORES'!$B$4:$E$35,2,0),IF(G400="Premium",VLOOKUP(C400,'DESCUENTO PROVEEDORES'!$B$4:$E$35,3,0),IF(G400="Diesel",VLOOKUP(C400,'DESCUENTO PROVEEDORES'!$B$4:$E$35,4,0),"Seleccione Proveedor"))),"-")</f>
        <v>Seleccione Proveedor</v>
      </c>
      <c r="N400" s="20" t="e">
        <f>((((K400-H400)/1.16)-M400))</f>
        <v>#VALUE!</v>
      </c>
      <c r="O400" s="21" t="e">
        <f>((N400*16%)+N400)+H400+L400</f>
        <v>#VALUE!</v>
      </c>
      <c r="P400" s="21" t="e">
        <f>(((J400-O400)-H400)/1.16)+H400</f>
        <v>#VALUE!</v>
      </c>
      <c r="Q400" s="44"/>
      <c r="R400" s="24"/>
      <c r="S400" s="23" t="e">
        <f t="shared" si="18"/>
        <v>#DIV/0!</v>
      </c>
      <c r="T400" s="23" t="e">
        <f t="shared" si="19"/>
        <v>#DIV/0!</v>
      </c>
      <c r="U400" s="22" t="e">
        <f t="shared" si="20"/>
        <v>#DIV/0!</v>
      </c>
      <c r="V400" s="44"/>
      <c r="W400" s="44"/>
      <c r="X400" s="44"/>
      <c r="Y400" s="44"/>
      <c r="Z400" s="44"/>
    </row>
    <row r="401" spans="1:26" ht="15.75" customHeight="1">
      <c r="A401" s="44"/>
      <c r="B401" s="14"/>
      <c r="C401" s="53"/>
      <c r="D401" s="15"/>
      <c r="E401" s="89"/>
      <c r="F401" s="16"/>
      <c r="G401" s="16"/>
      <c r="H401" s="90" t="str">
        <f>IF(G401="Regular",Listas!$K$16,IF(G401="Premium",Listas!$K$17,IF(G401="Diesel",Listas!$K$18,"-")))</f>
        <v>-</v>
      </c>
      <c r="I401" s="17"/>
      <c r="J401" s="18"/>
      <c r="K401" s="19" t="str">
        <f>+IFERROR(IF(G401="Regular",VLOOKUP(C401,'PRECIO TERMINAL PEMEX'!$B$4:$E$35,2,0),IF(G401="Premium",VLOOKUP(C401,'PRECIO TERMINAL PEMEX'!$B$4:$E$35,3,0),IF(G401="Diesel",VLOOKUP(C401,'PRECIO TERMINAL PEMEX'!$B$4:$E$35,4,0),"Seleccione Producto"))),"-")</f>
        <v>Seleccione Producto</v>
      </c>
      <c r="L401" s="93" t="str">
        <f>+IFERROR(IF(F401="VHSA",VLOOKUP(B401,Listas!$C$4:$F$17,2,0),IF(F401="DOS BOCAS",VLOOKUP(B401,Listas!$C$4:$F$17,3,0),IF(F401="GLENCORE",VLOOKUP(B401,Listas!$C$4:$F$17,4,0),"Seleccione TAR"))),"-")</f>
        <v>Seleccione TAR</v>
      </c>
      <c r="M401" s="19" t="str">
        <f>+IFERROR(IF(G401="Regular",VLOOKUP(C401,'DESCUENTO PROVEEDORES'!$B$4:$E$35,2,0),IF(G401="Premium",VLOOKUP(C401,'DESCUENTO PROVEEDORES'!$B$4:$E$35,3,0),IF(G401="Diesel",VLOOKUP(C401,'DESCUENTO PROVEEDORES'!$B$4:$E$35,4,0),"Seleccione Proveedor"))),"-")</f>
        <v>Seleccione Proveedor</v>
      </c>
      <c r="N401" s="20" t="e">
        <f>((((K401-H401)/1.16)-M401))</f>
        <v>#VALUE!</v>
      </c>
      <c r="O401" s="21" t="e">
        <f>((N401*16%)+N401)+H401+L401</f>
        <v>#VALUE!</v>
      </c>
      <c r="P401" s="21" t="e">
        <f>(((J401-O401)-H401)/1.16)+H401</f>
        <v>#VALUE!</v>
      </c>
      <c r="Q401" s="44"/>
      <c r="R401" s="24"/>
      <c r="S401" s="23" t="e">
        <f t="shared" si="18"/>
        <v>#DIV/0!</v>
      </c>
      <c r="T401" s="23" t="e">
        <f t="shared" si="19"/>
        <v>#DIV/0!</v>
      </c>
      <c r="U401" s="22" t="e">
        <f t="shared" si="20"/>
        <v>#DIV/0!</v>
      </c>
      <c r="V401" s="44"/>
      <c r="W401" s="44"/>
      <c r="X401" s="44"/>
      <c r="Y401" s="44"/>
      <c r="Z401" s="44"/>
    </row>
    <row r="402" spans="1:26" ht="15.75" customHeight="1">
      <c r="A402" s="44"/>
      <c r="B402" s="14"/>
      <c r="C402" s="53"/>
      <c r="D402" s="15"/>
      <c r="E402" s="89"/>
      <c r="F402" s="16"/>
      <c r="G402" s="16"/>
      <c r="H402" s="90" t="str">
        <f>IF(G402="Regular",Listas!$K$16,IF(G402="Premium",Listas!$K$17,IF(G402="Diesel",Listas!$K$18,"-")))</f>
        <v>-</v>
      </c>
      <c r="I402" s="17"/>
      <c r="J402" s="18"/>
      <c r="K402" s="19" t="str">
        <f>+IFERROR(IF(G402="Regular",VLOOKUP(C402,'PRECIO TERMINAL PEMEX'!$B$4:$E$35,2,0),IF(G402="Premium",VLOOKUP(C402,'PRECIO TERMINAL PEMEX'!$B$4:$E$35,3,0),IF(G402="Diesel",VLOOKUP(C402,'PRECIO TERMINAL PEMEX'!$B$4:$E$35,4,0),"Seleccione Producto"))),"-")</f>
        <v>Seleccione Producto</v>
      </c>
      <c r="L402" s="93" t="str">
        <f>+IFERROR(IF(F402="VHSA",VLOOKUP(B402,Listas!$C$4:$F$17,2,0),IF(F402="DOS BOCAS",VLOOKUP(B402,Listas!$C$4:$F$17,3,0),IF(F402="GLENCORE",VLOOKUP(B402,Listas!$C$4:$F$17,4,0),"Seleccione TAR"))),"-")</f>
        <v>Seleccione TAR</v>
      </c>
      <c r="M402" s="19" t="str">
        <f>+IFERROR(IF(G402="Regular",VLOOKUP(C402,'DESCUENTO PROVEEDORES'!$B$4:$E$35,2,0),IF(G402="Premium",VLOOKUP(C402,'DESCUENTO PROVEEDORES'!$B$4:$E$35,3,0),IF(G402="Diesel",VLOOKUP(C402,'DESCUENTO PROVEEDORES'!$B$4:$E$35,4,0),"Seleccione Proveedor"))),"-")</f>
        <v>Seleccione Proveedor</v>
      </c>
      <c r="N402" s="20" t="e">
        <f>((((K402-H402)/1.16)-M402))</f>
        <v>#VALUE!</v>
      </c>
      <c r="O402" s="21" t="e">
        <f>((N402*16%)+N402)+H402+L402</f>
        <v>#VALUE!</v>
      </c>
      <c r="P402" s="21" t="e">
        <f>(((J402-O402)-H402)/1.16)+H402</f>
        <v>#VALUE!</v>
      </c>
      <c r="Q402" s="44"/>
      <c r="R402" s="24"/>
      <c r="S402" s="23" t="e">
        <f t="shared" si="18"/>
        <v>#DIV/0!</v>
      </c>
      <c r="T402" s="23" t="e">
        <f t="shared" si="19"/>
        <v>#DIV/0!</v>
      </c>
      <c r="U402" s="22" t="e">
        <f t="shared" si="20"/>
        <v>#DIV/0!</v>
      </c>
      <c r="V402" s="44"/>
      <c r="W402" s="44"/>
      <c r="X402" s="44"/>
      <c r="Y402" s="44"/>
      <c r="Z402" s="44"/>
    </row>
    <row r="403" spans="1:26" ht="15.75" customHeight="1">
      <c r="A403" s="44"/>
      <c r="B403" s="14"/>
      <c r="C403" s="53"/>
      <c r="D403" s="15"/>
      <c r="E403" s="89"/>
      <c r="F403" s="16"/>
      <c r="G403" s="16"/>
      <c r="H403" s="90" t="str">
        <f>IF(G403="Regular",Listas!$K$16,IF(G403="Premium",Listas!$K$17,IF(G403="Diesel",Listas!$K$18,"-")))</f>
        <v>-</v>
      </c>
      <c r="I403" s="17"/>
      <c r="J403" s="18"/>
      <c r="K403" s="19" t="str">
        <f>+IFERROR(IF(G403="Regular",VLOOKUP(C403,'PRECIO TERMINAL PEMEX'!$B$4:$E$35,2,0),IF(G403="Premium",VLOOKUP(C403,'PRECIO TERMINAL PEMEX'!$B$4:$E$35,3,0),IF(G403="Diesel",VLOOKUP(C403,'PRECIO TERMINAL PEMEX'!$B$4:$E$35,4,0),"Seleccione Producto"))),"-")</f>
        <v>Seleccione Producto</v>
      </c>
      <c r="L403" s="93" t="str">
        <f>+IFERROR(IF(F403="VHSA",VLOOKUP(B403,Listas!$C$4:$F$17,2,0),IF(F403="DOS BOCAS",VLOOKUP(B403,Listas!$C$4:$F$17,3,0),IF(F403="GLENCORE",VLOOKUP(B403,Listas!$C$4:$F$17,4,0),"Seleccione TAR"))),"-")</f>
        <v>Seleccione TAR</v>
      </c>
      <c r="M403" s="19" t="str">
        <f>+IFERROR(IF(G403="Regular",VLOOKUP(C403,'DESCUENTO PROVEEDORES'!$B$4:$E$35,2,0),IF(G403="Premium",VLOOKUP(C403,'DESCUENTO PROVEEDORES'!$B$4:$E$35,3,0),IF(G403="Diesel",VLOOKUP(C403,'DESCUENTO PROVEEDORES'!$B$4:$E$35,4,0),"Seleccione Proveedor"))),"-")</f>
        <v>Seleccione Proveedor</v>
      </c>
      <c r="N403" s="20" t="e">
        <f>((((K403-H403)/1.16)-M403))</f>
        <v>#VALUE!</v>
      </c>
      <c r="O403" s="21" t="e">
        <f>((N403*16%)+N403)+H403+L403</f>
        <v>#VALUE!</v>
      </c>
      <c r="P403" s="21" t="e">
        <f>(((J403-O403)-H403)/1.16)+H403</f>
        <v>#VALUE!</v>
      </c>
      <c r="Q403" s="44"/>
      <c r="R403" s="24"/>
      <c r="S403" s="23" t="e">
        <f t="shared" si="18"/>
        <v>#DIV/0!</v>
      </c>
      <c r="T403" s="23" t="e">
        <f t="shared" si="19"/>
        <v>#DIV/0!</v>
      </c>
      <c r="U403" s="22" t="e">
        <f t="shared" si="20"/>
        <v>#DIV/0!</v>
      </c>
      <c r="V403" s="44"/>
      <c r="W403" s="44"/>
      <c r="X403" s="44"/>
      <c r="Y403" s="44"/>
      <c r="Z403" s="44"/>
    </row>
    <row r="404" spans="1:26" ht="15.75" customHeight="1">
      <c r="A404" s="44"/>
      <c r="B404" s="14"/>
      <c r="C404" s="53"/>
      <c r="D404" s="15"/>
      <c r="E404" s="89"/>
      <c r="F404" s="16"/>
      <c r="G404" s="16"/>
      <c r="H404" s="90" t="str">
        <f>IF(G404="Regular",Listas!$K$16,IF(G404="Premium",Listas!$K$17,IF(G404="Diesel",Listas!$K$18,"-")))</f>
        <v>-</v>
      </c>
      <c r="I404" s="17"/>
      <c r="J404" s="18"/>
      <c r="K404" s="19" t="str">
        <f>+IFERROR(IF(G404="Regular",VLOOKUP(C404,'PRECIO TERMINAL PEMEX'!$B$4:$E$35,2,0),IF(G404="Premium",VLOOKUP(C404,'PRECIO TERMINAL PEMEX'!$B$4:$E$35,3,0),IF(G404="Diesel",VLOOKUP(C404,'PRECIO TERMINAL PEMEX'!$B$4:$E$35,4,0),"Seleccione Producto"))),"-")</f>
        <v>Seleccione Producto</v>
      </c>
      <c r="L404" s="93" t="str">
        <f>+IFERROR(IF(F404="VHSA",VLOOKUP(B404,Listas!$C$4:$F$17,2,0),IF(F404="DOS BOCAS",VLOOKUP(B404,Listas!$C$4:$F$17,3,0),IF(F404="GLENCORE",VLOOKUP(B404,Listas!$C$4:$F$17,4,0),"Seleccione TAR"))),"-")</f>
        <v>Seleccione TAR</v>
      </c>
      <c r="M404" s="19" t="str">
        <f>+IFERROR(IF(G404="Regular",VLOOKUP(C404,'DESCUENTO PROVEEDORES'!$B$4:$E$35,2,0),IF(G404="Premium",VLOOKUP(C404,'DESCUENTO PROVEEDORES'!$B$4:$E$35,3,0),IF(G404="Diesel",VLOOKUP(C404,'DESCUENTO PROVEEDORES'!$B$4:$E$35,4,0),"Seleccione Proveedor"))),"-")</f>
        <v>Seleccione Proveedor</v>
      </c>
      <c r="N404" s="20" t="e">
        <f>((((K404-H404)/1.16)-M404))</f>
        <v>#VALUE!</v>
      </c>
      <c r="O404" s="21" t="e">
        <f>((N404*16%)+N404)+H404+L404</f>
        <v>#VALUE!</v>
      </c>
      <c r="P404" s="21" t="e">
        <f>(((J404-O404)-H404)/1.16)+H404</f>
        <v>#VALUE!</v>
      </c>
      <c r="Q404" s="44"/>
      <c r="R404" s="24"/>
      <c r="S404" s="23" t="e">
        <f t="shared" si="18"/>
        <v>#DIV/0!</v>
      </c>
      <c r="T404" s="23" t="e">
        <f t="shared" si="19"/>
        <v>#DIV/0!</v>
      </c>
      <c r="U404" s="22" t="e">
        <f t="shared" si="20"/>
        <v>#DIV/0!</v>
      </c>
      <c r="V404" s="44"/>
      <c r="W404" s="44"/>
      <c r="X404" s="44"/>
      <c r="Y404" s="44"/>
      <c r="Z404" s="44"/>
    </row>
    <row r="405" spans="1:26" ht="15.75" customHeight="1">
      <c r="A405" s="44"/>
      <c r="B405" s="14"/>
      <c r="C405" s="53"/>
      <c r="D405" s="15"/>
      <c r="E405" s="89"/>
      <c r="F405" s="16"/>
      <c r="G405" s="16"/>
      <c r="H405" s="90" t="str">
        <f>IF(G405="Regular",Listas!$K$16,IF(G405="Premium",Listas!$K$17,IF(G405="Diesel",Listas!$K$18,"-")))</f>
        <v>-</v>
      </c>
      <c r="I405" s="17"/>
      <c r="J405" s="18"/>
      <c r="K405" s="19" t="str">
        <f>+IFERROR(IF(G405="Regular",VLOOKUP(C405,'PRECIO TERMINAL PEMEX'!$B$4:$E$35,2,0),IF(G405="Premium",VLOOKUP(C405,'PRECIO TERMINAL PEMEX'!$B$4:$E$35,3,0),IF(G405="Diesel",VLOOKUP(C405,'PRECIO TERMINAL PEMEX'!$B$4:$E$35,4,0),"Seleccione Producto"))),"-")</f>
        <v>Seleccione Producto</v>
      </c>
      <c r="L405" s="93" t="str">
        <f>+IFERROR(IF(F405="VHSA",VLOOKUP(B405,Listas!$C$4:$F$17,2,0),IF(F405="DOS BOCAS",VLOOKUP(B405,Listas!$C$4:$F$17,3,0),IF(F405="GLENCORE",VLOOKUP(B405,Listas!$C$4:$F$17,4,0),"Seleccione TAR"))),"-")</f>
        <v>Seleccione TAR</v>
      </c>
      <c r="M405" s="19" t="str">
        <f>+IFERROR(IF(G405="Regular",VLOOKUP(C405,'DESCUENTO PROVEEDORES'!$B$4:$E$35,2,0),IF(G405="Premium",VLOOKUP(C405,'DESCUENTO PROVEEDORES'!$B$4:$E$35,3,0),IF(G405="Diesel",VLOOKUP(C405,'DESCUENTO PROVEEDORES'!$B$4:$E$35,4,0),"Seleccione Proveedor"))),"-")</f>
        <v>Seleccione Proveedor</v>
      </c>
      <c r="N405" s="20" t="e">
        <f>((((K405-H405)/1.16)-M405))</f>
        <v>#VALUE!</v>
      </c>
      <c r="O405" s="21" t="e">
        <f>((N405*16%)+N405)+H405+L405</f>
        <v>#VALUE!</v>
      </c>
      <c r="P405" s="21" t="e">
        <f>(((J405-O405)-H405)/1.16)+H405</f>
        <v>#VALUE!</v>
      </c>
      <c r="Q405" s="44"/>
      <c r="R405" s="24"/>
      <c r="S405" s="23" t="e">
        <f t="shared" si="18"/>
        <v>#DIV/0!</v>
      </c>
      <c r="T405" s="23" t="e">
        <f t="shared" si="19"/>
        <v>#DIV/0!</v>
      </c>
      <c r="U405" s="22" t="e">
        <f t="shared" si="20"/>
        <v>#DIV/0!</v>
      </c>
      <c r="V405" s="44"/>
      <c r="W405" s="44"/>
      <c r="X405" s="44"/>
      <c r="Y405" s="44"/>
      <c r="Z405" s="44"/>
    </row>
    <row r="406" spans="1:26" ht="15.75" customHeight="1">
      <c r="A406" s="44"/>
      <c r="B406" s="14"/>
      <c r="C406" s="53"/>
      <c r="D406" s="15"/>
      <c r="E406" s="89"/>
      <c r="F406" s="16"/>
      <c r="G406" s="16"/>
      <c r="H406" s="90" t="str">
        <f>IF(G406="Regular",Listas!$K$16,IF(G406="Premium",Listas!$K$17,IF(G406="Diesel",Listas!$K$18,"-")))</f>
        <v>-</v>
      </c>
      <c r="I406" s="17"/>
      <c r="J406" s="18"/>
      <c r="K406" s="19" t="str">
        <f>+IFERROR(IF(G406="Regular",VLOOKUP(C406,'PRECIO TERMINAL PEMEX'!$B$4:$E$35,2,0),IF(G406="Premium",VLOOKUP(C406,'PRECIO TERMINAL PEMEX'!$B$4:$E$35,3,0),IF(G406="Diesel",VLOOKUP(C406,'PRECIO TERMINAL PEMEX'!$B$4:$E$35,4,0),"Seleccione Producto"))),"-")</f>
        <v>Seleccione Producto</v>
      </c>
      <c r="L406" s="93" t="str">
        <f>+IFERROR(IF(F406="VHSA",VLOOKUP(B406,Listas!$C$4:$F$17,2,0),IF(F406="DOS BOCAS",VLOOKUP(B406,Listas!$C$4:$F$17,3,0),IF(F406="GLENCORE",VLOOKUP(B406,Listas!$C$4:$F$17,4,0),"Seleccione TAR"))),"-")</f>
        <v>Seleccione TAR</v>
      </c>
      <c r="M406" s="19" t="str">
        <f>+IFERROR(IF(G406="Regular",VLOOKUP(C406,'DESCUENTO PROVEEDORES'!$B$4:$E$35,2,0),IF(G406="Premium",VLOOKUP(C406,'DESCUENTO PROVEEDORES'!$B$4:$E$35,3,0),IF(G406="Diesel",VLOOKUP(C406,'DESCUENTO PROVEEDORES'!$B$4:$E$35,4,0),"Seleccione Proveedor"))),"-")</f>
        <v>Seleccione Proveedor</v>
      </c>
      <c r="N406" s="20" t="e">
        <f>((((K406-H406)/1.16)-M406))</f>
        <v>#VALUE!</v>
      </c>
      <c r="O406" s="21" t="e">
        <f>((N406*16%)+N406)+H406+L406</f>
        <v>#VALUE!</v>
      </c>
      <c r="P406" s="21" t="e">
        <f>(((J406-O406)-H406)/1.16)+H406</f>
        <v>#VALUE!</v>
      </c>
      <c r="Q406" s="44"/>
      <c r="R406" s="24"/>
      <c r="S406" s="23" t="e">
        <f t="shared" si="18"/>
        <v>#DIV/0!</v>
      </c>
      <c r="T406" s="23" t="e">
        <f t="shared" si="19"/>
        <v>#DIV/0!</v>
      </c>
      <c r="U406" s="22" t="e">
        <f t="shared" si="20"/>
        <v>#DIV/0!</v>
      </c>
      <c r="V406" s="44"/>
      <c r="W406" s="44"/>
      <c r="X406" s="44"/>
      <c r="Y406" s="44"/>
      <c r="Z406" s="44"/>
    </row>
    <row r="407" spans="1:26" ht="15.75" customHeight="1">
      <c r="A407" s="44"/>
      <c r="B407" s="14"/>
      <c r="C407" s="53"/>
      <c r="D407" s="15"/>
      <c r="E407" s="89"/>
      <c r="F407" s="16"/>
      <c r="G407" s="16"/>
      <c r="H407" s="90" t="str">
        <f>IF(G407="Regular",Listas!$K$16,IF(G407="Premium",Listas!$K$17,IF(G407="Diesel",Listas!$K$18,"-")))</f>
        <v>-</v>
      </c>
      <c r="I407" s="17"/>
      <c r="J407" s="18"/>
      <c r="K407" s="19" t="str">
        <f>+IFERROR(IF(G407="Regular",VLOOKUP(C407,'PRECIO TERMINAL PEMEX'!$B$4:$E$35,2,0),IF(G407="Premium",VLOOKUP(C407,'PRECIO TERMINAL PEMEX'!$B$4:$E$35,3,0),IF(G407="Diesel",VLOOKUP(C407,'PRECIO TERMINAL PEMEX'!$B$4:$E$35,4,0),"Seleccione Producto"))),"-")</f>
        <v>Seleccione Producto</v>
      </c>
      <c r="L407" s="93" t="str">
        <f>+IFERROR(IF(F407="VHSA",VLOOKUP(B407,Listas!$C$4:$F$17,2,0),IF(F407="DOS BOCAS",VLOOKUP(B407,Listas!$C$4:$F$17,3,0),IF(F407="GLENCORE",VLOOKUP(B407,Listas!$C$4:$F$17,4,0),"Seleccione TAR"))),"-")</f>
        <v>Seleccione TAR</v>
      </c>
      <c r="M407" s="19" t="str">
        <f>+IFERROR(IF(G407="Regular",VLOOKUP(C407,'DESCUENTO PROVEEDORES'!$B$4:$E$35,2,0),IF(G407="Premium",VLOOKUP(C407,'DESCUENTO PROVEEDORES'!$B$4:$E$35,3,0),IF(G407="Diesel",VLOOKUP(C407,'DESCUENTO PROVEEDORES'!$B$4:$E$35,4,0),"Seleccione Proveedor"))),"-")</f>
        <v>Seleccione Proveedor</v>
      </c>
      <c r="N407" s="20" t="e">
        <f>((((K407-H407)/1.16)-M407))</f>
        <v>#VALUE!</v>
      </c>
      <c r="O407" s="21" t="e">
        <f>((N407*16%)+N407)+H407+L407</f>
        <v>#VALUE!</v>
      </c>
      <c r="P407" s="21" t="e">
        <f>(((J407-O407)-H407)/1.16)+H407</f>
        <v>#VALUE!</v>
      </c>
      <c r="Q407" s="44"/>
      <c r="R407" s="24"/>
      <c r="S407" s="23" t="e">
        <f t="shared" si="18"/>
        <v>#DIV/0!</v>
      </c>
      <c r="T407" s="23" t="e">
        <f t="shared" si="19"/>
        <v>#DIV/0!</v>
      </c>
      <c r="U407" s="22" t="e">
        <f t="shared" si="20"/>
        <v>#DIV/0!</v>
      </c>
      <c r="V407" s="44"/>
      <c r="W407" s="44"/>
      <c r="X407" s="44"/>
      <c r="Y407" s="44"/>
      <c r="Z407" s="44"/>
    </row>
    <row r="408" spans="1:26" ht="15.75" customHeight="1">
      <c r="A408" s="44"/>
      <c r="B408" s="14"/>
      <c r="C408" s="53"/>
      <c r="D408" s="15"/>
      <c r="E408" s="89"/>
      <c r="F408" s="16"/>
      <c r="G408" s="16"/>
      <c r="H408" s="90" t="str">
        <f>IF(G408="Regular",Listas!$K$16,IF(G408="Premium",Listas!$K$17,IF(G408="Diesel",Listas!$K$18,"-")))</f>
        <v>-</v>
      </c>
      <c r="I408" s="17"/>
      <c r="J408" s="18"/>
      <c r="K408" s="19" t="str">
        <f>+IFERROR(IF(G408="Regular",VLOOKUP(C408,'PRECIO TERMINAL PEMEX'!$B$4:$E$35,2,0),IF(G408="Premium",VLOOKUP(C408,'PRECIO TERMINAL PEMEX'!$B$4:$E$35,3,0),IF(G408="Diesel",VLOOKUP(C408,'PRECIO TERMINAL PEMEX'!$B$4:$E$35,4,0),"Seleccione Producto"))),"-")</f>
        <v>Seleccione Producto</v>
      </c>
      <c r="L408" s="93" t="str">
        <f>+IFERROR(IF(F408="VHSA",VLOOKUP(B408,Listas!$C$4:$F$17,2,0),IF(F408="DOS BOCAS",VLOOKUP(B408,Listas!$C$4:$F$17,3,0),IF(F408="GLENCORE",VLOOKUP(B408,Listas!$C$4:$F$17,4,0),"Seleccione TAR"))),"-")</f>
        <v>Seleccione TAR</v>
      </c>
      <c r="M408" s="19" t="str">
        <f>+IFERROR(IF(G408="Regular",VLOOKUP(C408,'DESCUENTO PROVEEDORES'!$B$4:$E$35,2,0),IF(G408="Premium",VLOOKUP(C408,'DESCUENTO PROVEEDORES'!$B$4:$E$35,3,0),IF(G408="Diesel",VLOOKUP(C408,'DESCUENTO PROVEEDORES'!$B$4:$E$35,4,0),"Seleccione Proveedor"))),"-")</f>
        <v>Seleccione Proveedor</v>
      </c>
      <c r="N408" s="20" t="e">
        <f>((((K408-H408)/1.16)-M408))</f>
        <v>#VALUE!</v>
      </c>
      <c r="O408" s="21" t="e">
        <f>((N408*16%)+N408)+H408+L408</f>
        <v>#VALUE!</v>
      </c>
      <c r="P408" s="21" t="e">
        <f>(((J408-O408)-H408)/1.16)+H408</f>
        <v>#VALUE!</v>
      </c>
      <c r="Q408" s="44"/>
      <c r="R408" s="24"/>
      <c r="S408" s="23" t="e">
        <f t="shared" si="18"/>
        <v>#DIV/0!</v>
      </c>
      <c r="T408" s="23" t="e">
        <f t="shared" si="19"/>
        <v>#DIV/0!</v>
      </c>
      <c r="U408" s="22" t="e">
        <f t="shared" si="20"/>
        <v>#DIV/0!</v>
      </c>
      <c r="V408" s="44"/>
      <c r="W408" s="44"/>
      <c r="X408" s="44"/>
      <c r="Y408" s="44"/>
      <c r="Z408" s="44"/>
    </row>
    <row r="409" spans="1:26" ht="15.75" customHeight="1">
      <c r="A409" s="44"/>
      <c r="B409" s="14"/>
      <c r="C409" s="53"/>
      <c r="D409" s="15"/>
      <c r="E409" s="89"/>
      <c r="F409" s="16"/>
      <c r="G409" s="16"/>
      <c r="H409" s="90" t="str">
        <f>IF(G409="Regular",Listas!$K$16,IF(G409="Premium",Listas!$K$17,IF(G409="Diesel",Listas!$K$18,"-")))</f>
        <v>-</v>
      </c>
      <c r="I409" s="17"/>
      <c r="J409" s="18"/>
      <c r="K409" s="19" t="str">
        <f>+IFERROR(IF(G409="Regular",VLOOKUP(C409,'PRECIO TERMINAL PEMEX'!$B$4:$E$35,2,0),IF(G409="Premium",VLOOKUP(C409,'PRECIO TERMINAL PEMEX'!$B$4:$E$35,3,0),IF(G409="Diesel",VLOOKUP(C409,'PRECIO TERMINAL PEMEX'!$B$4:$E$35,4,0),"Seleccione Producto"))),"-")</f>
        <v>Seleccione Producto</v>
      </c>
      <c r="L409" s="93" t="str">
        <f>+IFERROR(IF(F409="VHSA",VLOOKUP(B409,Listas!$C$4:$F$17,2,0),IF(F409="DOS BOCAS",VLOOKUP(B409,Listas!$C$4:$F$17,3,0),IF(F409="GLENCORE",VLOOKUP(B409,Listas!$C$4:$F$17,4,0),"Seleccione TAR"))),"-")</f>
        <v>Seleccione TAR</v>
      </c>
      <c r="M409" s="19" t="str">
        <f>+IFERROR(IF(G409="Regular",VLOOKUP(C409,'DESCUENTO PROVEEDORES'!$B$4:$E$35,2,0),IF(G409="Premium",VLOOKUP(C409,'DESCUENTO PROVEEDORES'!$B$4:$E$35,3,0),IF(G409="Diesel",VLOOKUP(C409,'DESCUENTO PROVEEDORES'!$B$4:$E$35,4,0),"Seleccione Proveedor"))),"-")</f>
        <v>Seleccione Proveedor</v>
      </c>
      <c r="N409" s="20" t="e">
        <f>((((K409-H409)/1.16)-M409))</f>
        <v>#VALUE!</v>
      </c>
      <c r="O409" s="21" t="e">
        <f>((N409*16%)+N409)+H409+L409</f>
        <v>#VALUE!</v>
      </c>
      <c r="P409" s="21" t="e">
        <f>(((J409-O409)-H409)/1.16)+H409</f>
        <v>#VALUE!</v>
      </c>
      <c r="Q409" s="44"/>
      <c r="R409" s="24"/>
      <c r="S409" s="23" t="e">
        <f t="shared" si="18"/>
        <v>#DIV/0!</v>
      </c>
      <c r="T409" s="23" t="e">
        <f t="shared" si="19"/>
        <v>#DIV/0!</v>
      </c>
      <c r="U409" s="22" t="e">
        <f t="shared" si="20"/>
        <v>#DIV/0!</v>
      </c>
      <c r="V409" s="44"/>
      <c r="W409" s="44"/>
      <c r="X409" s="44"/>
      <c r="Y409" s="44"/>
      <c r="Z409" s="44"/>
    </row>
    <row r="410" spans="1:26" ht="15.75" customHeight="1">
      <c r="A410" s="44"/>
      <c r="B410" s="14"/>
      <c r="C410" s="53"/>
      <c r="D410" s="15"/>
      <c r="E410" s="89"/>
      <c r="F410" s="16"/>
      <c r="G410" s="16"/>
      <c r="H410" s="90" t="str">
        <f>IF(G410="Regular",Listas!$K$16,IF(G410="Premium",Listas!$K$17,IF(G410="Diesel",Listas!$K$18,"-")))</f>
        <v>-</v>
      </c>
      <c r="I410" s="17"/>
      <c r="J410" s="18"/>
      <c r="K410" s="19" t="str">
        <f>+IFERROR(IF(G410="Regular",VLOOKUP(C410,'PRECIO TERMINAL PEMEX'!$B$4:$E$35,2,0),IF(G410="Premium",VLOOKUP(C410,'PRECIO TERMINAL PEMEX'!$B$4:$E$35,3,0),IF(G410="Diesel",VLOOKUP(C410,'PRECIO TERMINAL PEMEX'!$B$4:$E$35,4,0),"Seleccione Producto"))),"-")</f>
        <v>Seleccione Producto</v>
      </c>
      <c r="L410" s="93" t="str">
        <f>+IFERROR(IF(F410="VHSA",VLOOKUP(B410,Listas!$C$4:$F$17,2,0),IF(F410="DOS BOCAS",VLOOKUP(B410,Listas!$C$4:$F$17,3,0),IF(F410="GLENCORE",VLOOKUP(B410,Listas!$C$4:$F$17,4,0),"Seleccione TAR"))),"-")</f>
        <v>Seleccione TAR</v>
      </c>
      <c r="M410" s="19" t="str">
        <f>+IFERROR(IF(G410="Regular",VLOOKUP(C410,'DESCUENTO PROVEEDORES'!$B$4:$E$35,2,0),IF(G410="Premium",VLOOKUP(C410,'DESCUENTO PROVEEDORES'!$B$4:$E$35,3,0),IF(G410="Diesel",VLOOKUP(C410,'DESCUENTO PROVEEDORES'!$B$4:$E$35,4,0),"Seleccione Proveedor"))),"-")</f>
        <v>Seleccione Proveedor</v>
      </c>
      <c r="N410" s="20" t="e">
        <f>((((K410-H410)/1.16)-M410))</f>
        <v>#VALUE!</v>
      </c>
      <c r="O410" s="21" t="e">
        <f>((N410*16%)+N410)+H410+L410</f>
        <v>#VALUE!</v>
      </c>
      <c r="P410" s="21" t="e">
        <f>(((J410-O410)-H410)/1.16)+H410</f>
        <v>#VALUE!</v>
      </c>
      <c r="Q410" s="44"/>
      <c r="R410" s="24"/>
      <c r="S410" s="23" t="e">
        <f t="shared" si="18"/>
        <v>#DIV/0!</v>
      </c>
      <c r="T410" s="23" t="e">
        <f t="shared" si="19"/>
        <v>#DIV/0!</v>
      </c>
      <c r="U410" s="22" t="e">
        <f t="shared" si="20"/>
        <v>#DIV/0!</v>
      </c>
      <c r="V410" s="44"/>
      <c r="W410" s="44"/>
      <c r="X410" s="44"/>
      <c r="Y410" s="44"/>
      <c r="Z410" s="44"/>
    </row>
    <row r="411" spans="1:26" ht="15.75" customHeight="1">
      <c r="A411" s="44"/>
      <c r="B411" s="14"/>
      <c r="C411" s="53"/>
      <c r="D411" s="15"/>
      <c r="E411" s="89"/>
      <c r="F411" s="16"/>
      <c r="G411" s="16"/>
      <c r="H411" s="90" t="str">
        <f>IF(G411="Regular",Listas!$K$16,IF(G411="Premium",Listas!$K$17,IF(G411="Diesel",Listas!$K$18,"-")))</f>
        <v>-</v>
      </c>
      <c r="I411" s="17"/>
      <c r="J411" s="18"/>
      <c r="K411" s="19" t="str">
        <f>+IFERROR(IF(G411="Regular",VLOOKUP(C411,'PRECIO TERMINAL PEMEX'!$B$4:$E$35,2,0),IF(G411="Premium",VLOOKUP(C411,'PRECIO TERMINAL PEMEX'!$B$4:$E$35,3,0),IF(G411="Diesel",VLOOKUP(C411,'PRECIO TERMINAL PEMEX'!$B$4:$E$35,4,0),"Seleccione Producto"))),"-")</f>
        <v>Seleccione Producto</v>
      </c>
      <c r="L411" s="93" t="str">
        <f>+IFERROR(IF(F411="VHSA",VLOOKUP(B411,Listas!$C$4:$F$17,2,0),IF(F411="DOS BOCAS",VLOOKUP(B411,Listas!$C$4:$F$17,3,0),IF(F411="GLENCORE",VLOOKUP(B411,Listas!$C$4:$F$17,4,0),"Seleccione TAR"))),"-")</f>
        <v>Seleccione TAR</v>
      </c>
      <c r="M411" s="19" t="str">
        <f>+IFERROR(IF(G411="Regular",VLOOKUP(C411,'DESCUENTO PROVEEDORES'!$B$4:$E$35,2,0),IF(G411="Premium",VLOOKUP(C411,'DESCUENTO PROVEEDORES'!$B$4:$E$35,3,0),IF(G411="Diesel",VLOOKUP(C411,'DESCUENTO PROVEEDORES'!$B$4:$E$35,4,0),"Seleccione Proveedor"))),"-")</f>
        <v>Seleccione Proveedor</v>
      </c>
      <c r="N411" s="20" t="e">
        <f>((((K411-H411)/1.16)-M411))</f>
        <v>#VALUE!</v>
      </c>
      <c r="O411" s="21" t="e">
        <f>((N411*16%)+N411)+H411+L411</f>
        <v>#VALUE!</v>
      </c>
      <c r="P411" s="21" t="e">
        <f>(((J411-O411)-H411)/1.16)+H411</f>
        <v>#VALUE!</v>
      </c>
      <c r="Q411" s="44"/>
      <c r="R411" s="24"/>
      <c r="S411" s="23" t="e">
        <f t="shared" si="18"/>
        <v>#DIV/0!</v>
      </c>
      <c r="T411" s="23" t="e">
        <f t="shared" si="19"/>
        <v>#DIV/0!</v>
      </c>
      <c r="U411" s="22" t="e">
        <f t="shared" si="20"/>
        <v>#DIV/0!</v>
      </c>
      <c r="V411" s="44"/>
      <c r="W411" s="44"/>
      <c r="X411" s="44"/>
      <c r="Y411" s="44"/>
      <c r="Z411" s="44"/>
    </row>
    <row r="412" spans="1:26" ht="15.75" customHeight="1">
      <c r="A412" s="44"/>
      <c r="B412" s="14"/>
      <c r="C412" s="53"/>
      <c r="D412" s="15"/>
      <c r="E412" s="89"/>
      <c r="F412" s="16"/>
      <c r="G412" s="16"/>
      <c r="H412" s="90" t="str">
        <f>IF(G412="Regular",Listas!$K$16,IF(G412="Premium",Listas!$K$17,IF(G412="Diesel",Listas!$K$18,"-")))</f>
        <v>-</v>
      </c>
      <c r="I412" s="17"/>
      <c r="J412" s="18"/>
      <c r="K412" s="19" t="str">
        <f>+IFERROR(IF(G412="Regular",VLOOKUP(C412,'PRECIO TERMINAL PEMEX'!$B$4:$E$35,2,0),IF(G412="Premium",VLOOKUP(C412,'PRECIO TERMINAL PEMEX'!$B$4:$E$35,3,0),IF(G412="Diesel",VLOOKUP(C412,'PRECIO TERMINAL PEMEX'!$B$4:$E$35,4,0),"Seleccione Producto"))),"-")</f>
        <v>Seleccione Producto</v>
      </c>
      <c r="L412" s="93" t="str">
        <f>+IFERROR(IF(F412="VHSA",VLOOKUP(B412,Listas!$C$4:$F$17,2,0),IF(F412="DOS BOCAS",VLOOKUP(B412,Listas!$C$4:$F$17,3,0),IF(F412="GLENCORE",VLOOKUP(B412,Listas!$C$4:$F$17,4,0),"Seleccione TAR"))),"-")</f>
        <v>Seleccione TAR</v>
      </c>
      <c r="M412" s="19" t="str">
        <f>+IFERROR(IF(G412="Regular",VLOOKUP(C412,'DESCUENTO PROVEEDORES'!$B$4:$E$35,2,0),IF(G412="Premium",VLOOKUP(C412,'DESCUENTO PROVEEDORES'!$B$4:$E$35,3,0),IF(G412="Diesel",VLOOKUP(C412,'DESCUENTO PROVEEDORES'!$B$4:$E$35,4,0),"Seleccione Proveedor"))),"-")</f>
        <v>Seleccione Proveedor</v>
      </c>
      <c r="N412" s="20" t="e">
        <f>((((K412-H412)/1.16)-M412))</f>
        <v>#VALUE!</v>
      </c>
      <c r="O412" s="21" t="e">
        <f>((N412*16%)+N412)+H412+L412</f>
        <v>#VALUE!</v>
      </c>
      <c r="P412" s="21" t="e">
        <f>(((J412-O412)-H412)/1.16)+H412</f>
        <v>#VALUE!</v>
      </c>
      <c r="Q412" s="44"/>
      <c r="R412" s="24"/>
      <c r="S412" s="23" t="e">
        <f t="shared" si="18"/>
        <v>#DIV/0!</v>
      </c>
      <c r="T412" s="23" t="e">
        <f t="shared" si="19"/>
        <v>#DIV/0!</v>
      </c>
      <c r="U412" s="22" t="e">
        <f t="shared" si="20"/>
        <v>#DIV/0!</v>
      </c>
      <c r="V412" s="44"/>
      <c r="W412" s="44"/>
      <c r="X412" s="44"/>
      <c r="Y412" s="44"/>
      <c r="Z412" s="44"/>
    </row>
    <row r="413" spans="1:26" ht="15.75" customHeight="1">
      <c r="A413" s="44"/>
      <c r="B413" s="14"/>
      <c r="C413" s="53"/>
      <c r="D413" s="15"/>
      <c r="E413" s="89"/>
      <c r="F413" s="16"/>
      <c r="G413" s="16"/>
      <c r="H413" s="90" t="str">
        <f>IF(G413="Regular",Listas!$K$16,IF(G413="Premium",Listas!$K$17,IF(G413="Diesel",Listas!$K$18,"-")))</f>
        <v>-</v>
      </c>
      <c r="I413" s="17"/>
      <c r="J413" s="18"/>
      <c r="K413" s="19" t="str">
        <f>+IFERROR(IF(G413="Regular",VLOOKUP(C413,'PRECIO TERMINAL PEMEX'!$B$4:$E$35,2,0),IF(G413="Premium",VLOOKUP(C413,'PRECIO TERMINAL PEMEX'!$B$4:$E$35,3,0),IF(G413="Diesel",VLOOKUP(C413,'PRECIO TERMINAL PEMEX'!$B$4:$E$35,4,0),"Seleccione Producto"))),"-")</f>
        <v>Seleccione Producto</v>
      </c>
      <c r="L413" s="93" t="str">
        <f>+IFERROR(IF(F413="VHSA",VLOOKUP(B413,Listas!$C$4:$F$17,2,0),IF(F413="DOS BOCAS",VLOOKUP(B413,Listas!$C$4:$F$17,3,0),IF(F413="GLENCORE",VLOOKUP(B413,Listas!$C$4:$F$17,4,0),"Seleccione TAR"))),"-")</f>
        <v>Seleccione TAR</v>
      </c>
      <c r="M413" s="19" t="str">
        <f>+IFERROR(IF(G413="Regular",VLOOKUP(C413,'DESCUENTO PROVEEDORES'!$B$4:$E$35,2,0),IF(G413="Premium",VLOOKUP(C413,'DESCUENTO PROVEEDORES'!$B$4:$E$35,3,0),IF(G413="Diesel",VLOOKUP(C413,'DESCUENTO PROVEEDORES'!$B$4:$E$35,4,0),"Seleccione Proveedor"))),"-")</f>
        <v>Seleccione Proveedor</v>
      </c>
      <c r="N413" s="20" t="e">
        <f>((((K413-H413)/1.16)-M413))</f>
        <v>#VALUE!</v>
      </c>
      <c r="O413" s="21" t="e">
        <f>((N413*16%)+N413)+H413+L413</f>
        <v>#VALUE!</v>
      </c>
      <c r="P413" s="21" t="e">
        <f>(((J413-O413)-H413)/1.16)+H413</f>
        <v>#VALUE!</v>
      </c>
      <c r="Q413" s="44"/>
      <c r="R413" s="24"/>
      <c r="S413" s="23" t="e">
        <f t="shared" si="18"/>
        <v>#DIV/0!</v>
      </c>
      <c r="T413" s="23" t="e">
        <f t="shared" si="19"/>
        <v>#DIV/0!</v>
      </c>
      <c r="U413" s="22" t="e">
        <f t="shared" si="20"/>
        <v>#DIV/0!</v>
      </c>
      <c r="V413" s="44"/>
      <c r="W413" s="44"/>
      <c r="X413" s="44"/>
      <c r="Y413" s="44"/>
      <c r="Z413" s="44"/>
    </row>
    <row r="414" spans="1:26" ht="15.75" customHeight="1">
      <c r="A414" s="44"/>
      <c r="B414" s="14"/>
      <c r="C414" s="53"/>
      <c r="D414" s="15"/>
      <c r="E414" s="89"/>
      <c r="F414" s="16"/>
      <c r="G414" s="16"/>
      <c r="H414" s="90" t="str">
        <f>IF(G414="Regular",Listas!$K$16,IF(G414="Premium",Listas!$K$17,IF(G414="Diesel",Listas!$K$18,"-")))</f>
        <v>-</v>
      </c>
      <c r="I414" s="17"/>
      <c r="J414" s="18"/>
      <c r="K414" s="19" t="str">
        <f>+IFERROR(IF(G414="Regular",VLOOKUP(C414,'PRECIO TERMINAL PEMEX'!$B$4:$E$35,2,0),IF(G414="Premium",VLOOKUP(C414,'PRECIO TERMINAL PEMEX'!$B$4:$E$35,3,0),IF(G414="Diesel",VLOOKUP(C414,'PRECIO TERMINAL PEMEX'!$B$4:$E$35,4,0),"Seleccione Producto"))),"-")</f>
        <v>Seleccione Producto</v>
      </c>
      <c r="L414" s="93" t="str">
        <f>+IFERROR(IF(F414="VHSA",VLOOKUP(B414,Listas!$C$4:$F$17,2,0),IF(F414="DOS BOCAS",VLOOKUP(B414,Listas!$C$4:$F$17,3,0),IF(F414="GLENCORE",VLOOKUP(B414,Listas!$C$4:$F$17,4,0),"Seleccione TAR"))),"-")</f>
        <v>Seleccione TAR</v>
      </c>
      <c r="M414" s="19" t="str">
        <f>+IFERROR(IF(G414="Regular",VLOOKUP(C414,'DESCUENTO PROVEEDORES'!$B$4:$E$35,2,0),IF(G414="Premium",VLOOKUP(C414,'DESCUENTO PROVEEDORES'!$B$4:$E$35,3,0),IF(G414="Diesel",VLOOKUP(C414,'DESCUENTO PROVEEDORES'!$B$4:$E$35,4,0),"Seleccione Proveedor"))),"-")</f>
        <v>Seleccione Proveedor</v>
      </c>
      <c r="N414" s="20" t="e">
        <f>((((K414-H414)/1.16)-M414))</f>
        <v>#VALUE!</v>
      </c>
      <c r="O414" s="21" t="e">
        <f>((N414*16%)+N414)+H414+L414</f>
        <v>#VALUE!</v>
      </c>
      <c r="P414" s="21" t="e">
        <f>(((J414-O414)-H414)/1.16)+H414</f>
        <v>#VALUE!</v>
      </c>
      <c r="Q414" s="44"/>
      <c r="R414" s="24"/>
      <c r="S414" s="23" t="e">
        <f t="shared" si="18"/>
        <v>#DIV/0!</v>
      </c>
      <c r="T414" s="23" t="e">
        <f t="shared" si="19"/>
        <v>#DIV/0!</v>
      </c>
      <c r="U414" s="22" t="e">
        <f t="shared" si="20"/>
        <v>#DIV/0!</v>
      </c>
      <c r="V414" s="44"/>
      <c r="W414" s="44"/>
      <c r="X414" s="44"/>
      <c r="Y414" s="44"/>
      <c r="Z414" s="44"/>
    </row>
    <row r="415" spans="1:26" ht="15.75" customHeight="1">
      <c r="A415" s="44"/>
      <c r="B415" s="14"/>
      <c r="C415" s="53"/>
      <c r="D415" s="15"/>
      <c r="E415" s="89"/>
      <c r="F415" s="16"/>
      <c r="G415" s="16"/>
      <c r="H415" s="90" t="str">
        <f>IF(G415="Regular",Listas!$K$16,IF(G415="Premium",Listas!$K$17,IF(G415="Diesel",Listas!$K$18,"-")))</f>
        <v>-</v>
      </c>
      <c r="I415" s="17"/>
      <c r="J415" s="18"/>
      <c r="K415" s="19" t="str">
        <f>+IFERROR(IF(G415="Regular",VLOOKUP(C415,'PRECIO TERMINAL PEMEX'!$B$4:$E$35,2,0),IF(G415="Premium",VLOOKUP(C415,'PRECIO TERMINAL PEMEX'!$B$4:$E$35,3,0),IF(G415="Diesel",VLOOKUP(C415,'PRECIO TERMINAL PEMEX'!$B$4:$E$35,4,0),"Seleccione Producto"))),"-")</f>
        <v>Seleccione Producto</v>
      </c>
      <c r="L415" s="93" t="str">
        <f>+IFERROR(IF(F415="VHSA",VLOOKUP(B415,Listas!$C$4:$F$17,2,0),IF(F415="DOS BOCAS",VLOOKUP(B415,Listas!$C$4:$F$17,3,0),IF(F415="GLENCORE",VLOOKUP(B415,Listas!$C$4:$F$17,4,0),"Seleccione TAR"))),"-")</f>
        <v>Seleccione TAR</v>
      </c>
      <c r="M415" s="19" t="str">
        <f>+IFERROR(IF(G415="Regular",VLOOKUP(C415,'DESCUENTO PROVEEDORES'!$B$4:$E$35,2,0),IF(G415="Premium",VLOOKUP(C415,'DESCUENTO PROVEEDORES'!$B$4:$E$35,3,0),IF(G415="Diesel",VLOOKUP(C415,'DESCUENTO PROVEEDORES'!$B$4:$E$35,4,0),"Seleccione Proveedor"))),"-")</f>
        <v>Seleccione Proveedor</v>
      </c>
      <c r="N415" s="20" t="e">
        <f>((((K415-H415)/1.16)-M415))</f>
        <v>#VALUE!</v>
      </c>
      <c r="O415" s="21" t="e">
        <f>((N415*16%)+N415)+H415+L415</f>
        <v>#VALUE!</v>
      </c>
      <c r="P415" s="21" t="e">
        <f>(((J415-O415)-H415)/1.16)+H415</f>
        <v>#VALUE!</v>
      </c>
      <c r="Q415" s="44"/>
      <c r="R415" s="24"/>
      <c r="S415" s="23" t="e">
        <f t="shared" si="18"/>
        <v>#DIV/0!</v>
      </c>
      <c r="T415" s="23" t="e">
        <f t="shared" si="19"/>
        <v>#DIV/0!</v>
      </c>
      <c r="U415" s="22" t="e">
        <f t="shared" si="20"/>
        <v>#DIV/0!</v>
      </c>
      <c r="V415" s="44"/>
      <c r="W415" s="44"/>
      <c r="X415" s="44"/>
      <c r="Y415" s="44"/>
      <c r="Z415" s="44"/>
    </row>
    <row r="416" spans="1:26" ht="15.75" customHeight="1">
      <c r="A416" s="44"/>
      <c r="B416" s="14"/>
      <c r="C416" s="53"/>
      <c r="D416" s="15"/>
      <c r="E416" s="89"/>
      <c r="F416" s="16"/>
      <c r="G416" s="16"/>
      <c r="H416" s="90" t="str">
        <f>IF(G416="Regular",Listas!$K$16,IF(G416="Premium",Listas!$K$17,IF(G416="Diesel",Listas!$K$18,"-")))</f>
        <v>-</v>
      </c>
      <c r="I416" s="17"/>
      <c r="J416" s="18"/>
      <c r="K416" s="19" t="str">
        <f>+IFERROR(IF(G416="Regular",VLOOKUP(C416,'PRECIO TERMINAL PEMEX'!$B$4:$E$35,2,0),IF(G416="Premium",VLOOKUP(C416,'PRECIO TERMINAL PEMEX'!$B$4:$E$35,3,0),IF(G416="Diesel",VLOOKUP(C416,'PRECIO TERMINAL PEMEX'!$B$4:$E$35,4,0),"Seleccione Producto"))),"-")</f>
        <v>Seleccione Producto</v>
      </c>
      <c r="L416" s="93" t="str">
        <f>+IFERROR(IF(F416="VHSA",VLOOKUP(B416,Listas!$C$4:$F$17,2,0),IF(F416="DOS BOCAS",VLOOKUP(B416,Listas!$C$4:$F$17,3,0),IF(F416="GLENCORE",VLOOKUP(B416,Listas!$C$4:$F$17,4,0),"Seleccione TAR"))),"-")</f>
        <v>Seleccione TAR</v>
      </c>
      <c r="M416" s="19" t="str">
        <f>+IFERROR(IF(G416="Regular",VLOOKUP(C416,'DESCUENTO PROVEEDORES'!$B$4:$E$35,2,0),IF(G416="Premium",VLOOKUP(C416,'DESCUENTO PROVEEDORES'!$B$4:$E$35,3,0),IF(G416="Diesel",VLOOKUP(C416,'DESCUENTO PROVEEDORES'!$B$4:$E$35,4,0),"Seleccione Proveedor"))),"-")</f>
        <v>Seleccione Proveedor</v>
      </c>
      <c r="N416" s="20" t="e">
        <f>((((K416-H416)/1.16)-M416))</f>
        <v>#VALUE!</v>
      </c>
      <c r="O416" s="21" t="e">
        <f>((N416*16%)+N416)+H416+L416</f>
        <v>#VALUE!</v>
      </c>
      <c r="P416" s="21" t="e">
        <f>(((J416-O416)-H416)/1.16)+H416</f>
        <v>#VALUE!</v>
      </c>
      <c r="Q416" s="44"/>
      <c r="R416" s="24"/>
      <c r="S416" s="23" t="e">
        <f t="shared" si="18"/>
        <v>#DIV/0!</v>
      </c>
      <c r="T416" s="23" t="e">
        <f t="shared" si="19"/>
        <v>#DIV/0!</v>
      </c>
      <c r="U416" s="22" t="e">
        <f t="shared" si="20"/>
        <v>#DIV/0!</v>
      </c>
      <c r="V416" s="44"/>
      <c r="W416" s="44"/>
      <c r="X416" s="44"/>
      <c r="Y416" s="44"/>
      <c r="Z416" s="44"/>
    </row>
    <row r="417" spans="1:26" ht="15.75" customHeight="1">
      <c r="A417" s="44"/>
      <c r="B417" s="14"/>
      <c r="C417" s="53"/>
      <c r="D417" s="15"/>
      <c r="E417" s="89"/>
      <c r="F417" s="16"/>
      <c r="G417" s="16"/>
      <c r="H417" s="90" t="str">
        <f>IF(G417="Regular",Listas!$K$16,IF(G417="Premium",Listas!$K$17,IF(G417="Diesel",Listas!$K$18,"-")))</f>
        <v>-</v>
      </c>
      <c r="I417" s="17"/>
      <c r="J417" s="18"/>
      <c r="K417" s="19" t="str">
        <f>+IFERROR(IF(G417="Regular",VLOOKUP(C417,'PRECIO TERMINAL PEMEX'!$B$4:$E$35,2,0),IF(G417="Premium",VLOOKUP(C417,'PRECIO TERMINAL PEMEX'!$B$4:$E$35,3,0),IF(G417="Diesel",VLOOKUP(C417,'PRECIO TERMINAL PEMEX'!$B$4:$E$35,4,0),"Seleccione Producto"))),"-")</f>
        <v>Seleccione Producto</v>
      </c>
      <c r="L417" s="93" t="str">
        <f>+IFERROR(IF(F417="VHSA",VLOOKUP(B417,Listas!$C$4:$F$17,2,0),IF(F417="DOS BOCAS",VLOOKUP(B417,Listas!$C$4:$F$17,3,0),IF(F417="GLENCORE",VLOOKUP(B417,Listas!$C$4:$F$17,4,0),"Seleccione TAR"))),"-")</f>
        <v>Seleccione TAR</v>
      </c>
      <c r="M417" s="19" t="str">
        <f>+IFERROR(IF(G417="Regular",VLOOKUP(C417,'DESCUENTO PROVEEDORES'!$B$4:$E$35,2,0),IF(G417="Premium",VLOOKUP(C417,'DESCUENTO PROVEEDORES'!$B$4:$E$35,3,0),IF(G417="Diesel",VLOOKUP(C417,'DESCUENTO PROVEEDORES'!$B$4:$E$35,4,0),"Seleccione Proveedor"))),"-")</f>
        <v>Seleccione Proveedor</v>
      </c>
      <c r="N417" s="20" t="e">
        <f>((((K417-H417)/1.16)-M417))</f>
        <v>#VALUE!</v>
      </c>
      <c r="O417" s="21" t="e">
        <f>((N417*16%)+N417)+H417+L417</f>
        <v>#VALUE!</v>
      </c>
      <c r="P417" s="21" t="e">
        <f>(((J417-O417)-H417)/1.16)+H417</f>
        <v>#VALUE!</v>
      </c>
      <c r="Q417" s="44"/>
      <c r="R417" s="24"/>
      <c r="S417" s="23" t="e">
        <f t="shared" si="18"/>
        <v>#DIV/0!</v>
      </c>
      <c r="T417" s="23" t="e">
        <f t="shared" si="19"/>
        <v>#DIV/0!</v>
      </c>
      <c r="U417" s="22" t="e">
        <f t="shared" si="20"/>
        <v>#DIV/0!</v>
      </c>
      <c r="V417" s="44"/>
      <c r="W417" s="44"/>
      <c r="X417" s="44"/>
      <c r="Y417" s="44"/>
      <c r="Z417" s="44"/>
    </row>
    <row r="418" spans="1:26" ht="15.75" customHeight="1">
      <c r="A418" s="44"/>
      <c r="B418" s="14"/>
      <c r="C418" s="53"/>
      <c r="D418" s="15"/>
      <c r="E418" s="89"/>
      <c r="F418" s="16"/>
      <c r="G418" s="16"/>
      <c r="H418" s="90" t="str">
        <f>IF(G418="Regular",Listas!$K$16,IF(G418="Premium",Listas!$K$17,IF(G418="Diesel",Listas!$K$18,"-")))</f>
        <v>-</v>
      </c>
      <c r="I418" s="17"/>
      <c r="J418" s="18"/>
      <c r="K418" s="19" t="str">
        <f>+IFERROR(IF(G418="Regular",VLOOKUP(C418,'PRECIO TERMINAL PEMEX'!$B$4:$E$35,2,0),IF(G418="Premium",VLOOKUP(C418,'PRECIO TERMINAL PEMEX'!$B$4:$E$35,3,0),IF(G418="Diesel",VLOOKUP(C418,'PRECIO TERMINAL PEMEX'!$B$4:$E$35,4,0),"Seleccione Producto"))),"-")</f>
        <v>Seleccione Producto</v>
      </c>
      <c r="L418" s="93" t="str">
        <f>+IFERROR(IF(F418="VHSA",VLOOKUP(B418,Listas!$C$4:$F$17,2,0),IF(F418="DOS BOCAS",VLOOKUP(B418,Listas!$C$4:$F$17,3,0),IF(F418="GLENCORE",VLOOKUP(B418,Listas!$C$4:$F$17,4,0),"Seleccione TAR"))),"-")</f>
        <v>Seleccione TAR</v>
      </c>
      <c r="M418" s="19" t="str">
        <f>+IFERROR(IF(G418="Regular",VLOOKUP(C418,'DESCUENTO PROVEEDORES'!$B$4:$E$35,2,0),IF(G418="Premium",VLOOKUP(C418,'DESCUENTO PROVEEDORES'!$B$4:$E$35,3,0),IF(G418="Diesel",VLOOKUP(C418,'DESCUENTO PROVEEDORES'!$B$4:$E$35,4,0),"Seleccione Proveedor"))),"-")</f>
        <v>Seleccione Proveedor</v>
      </c>
      <c r="N418" s="20" t="e">
        <f>((((K418-H418)/1.16)-M418))</f>
        <v>#VALUE!</v>
      </c>
      <c r="O418" s="21" t="e">
        <f>((N418*16%)+N418)+H418+L418</f>
        <v>#VALUE!</v>
      </c>
      <c r="P418" s="21" t="e">
        <f>(((J418-O418)-H418)/1.16)+H418</f>
        <v>#VALUE!</v>
      </c>
      <c r="Q418" s="44"/>
      <c r="R418" s="24"/>
      <c r="S418" s="23" t="e">
        <f t="shared" si="18"/>
        <v>#DIV/0!</v>
      </c>
      <c r="T418" s="23" t="e">
        <f t="shared" si="19"/>
        <v>#DIV/0!</v>
      </c>
      <c r="U418" s="22" t="e">
        <f t="shared" si="20"/>
        <v>#DIV/0!</v>
      </c>
      <c r="V418" s="44"/>
      <c r="W418" s="44"/>
      <c r="X418" s="44"/>
      <c r="Y418" s="44"/>
      <c r="Z418" s="44"/>
    </row>
    <row r="419" spans="1:26" ht="15.75" customHeight="1">
      <c r="A419" s="44"/>
      <c r="B419" s="14"/>
      <c r="C419" s="53"/>
      <c r="D419" s="15"/>
      <c r="E419" s="89"/>
      <c r="F419" s="16"/>
      <c r="G419" s="16"/>
      <c r="H419" s="90" t="str">
        <f>IF(G419="Regular",Listas!$K$16,IF(G419="Premium",Listas!$K$17,IF(G419="Diesel",Listas!$K$18,"-")))</f>
        <v>-</v>
      </c>
      <c r="I419" s="17"/>
      <c r="J419" s="18"/>
      <c r="K419" s="19" t="str">
        <f>+IFERROR(IF(G419="Regular",VLOOKUP(C419,'PRECIO TERMINAL PEMEX'!$B$4:$E$35,2,0),IF(G419="Premium",VLOOKUP(C419,'PRECIO TERMINAL PEMEX'!$B$4:$E$35,3,0),IF(G419="Diesel",VLOOKUP(C419,'PRECIO TERMINAL PEMEX'!$B$4:$E$35,4,0),"Seleccione Producto"))),"-")</f>
        <v>Seleccione Producto</v>
      </c>
      <c r="L419" s="93" t="str">
        <f>+IFERROR(IF(F419="VHSA",VLOOKUP(B419,Listas!$C$4:$F$17,2,0),IF(F419="DOS BOCAS",VLOOKUP(B419,Listas!$C$4:$F$17,3,0),IF(F419="GLENCORE",VLOOKUP(B419,Listas!$C$4:$F$17,4,0),"Seleccione TAR"))),"-")</f>
        <v>Seleccione TAR</v>
      </c>
      <c r="M419" s="19" t="str">
        <f>+IFERROR(IF(G419="Regular",VLOOKUP(C419,'DESCUENTO PROVEEDORES'!$B$4:$E$35,2,0),IF(G419="Premium",VLOOKUP(C419,'DESCUENTO PROVEEDORES'!$B$4:$E$35,3,0),IF(G419="Diesel",VLOOKUP(C419,'DESCUENTO PROVEEDORES'!$B$4:$E$35,4,0),"Seleccione Proveedor"))),"-")</f>
        <v>Seleccione Proveedor</v>
      </c>
      <c r="N419" s="20" t="e">
        <f>((((K419-H419)/1.16)-M419))</f>
        <v>#VALUE!</v>
      </c>
      <c r="O419" s="21" t="e">
        <f>((N419*16%)+N419)+H419+L419</f>
        <v>#VALUE!</v>
      </c>
      <c r="P419" s="21" t="e">
        <f>(((J419-O419)-H419)/1.16)+H419</f>
        <v>#VALUE!</v>
      </c>
      <c r="Q419" s="44"/>
      <c r="R419" s="24"/>
      <c r="S419" s="23" t="e">
        <f t="shared" si="18"/>
        <v>#DIV/0!</v>
      </c>
      <c r="T419" s="23" t="e">
        <f t="shared" si="19"/>
        <v>#DIV/0!</v>
      </c>
      <c r="U419" s="22" t="e">
        <f t="shared" si="20"/>
        <v>#DIV/0!</v>
      </c>
      <c r="V419" s="44"/>
      <c r="W419" s="44"/>
      <c r="X419" s="44"/>
      <c r="Y419" s="44"/>
      <c r="Z419" s="44"/>
    </row>
    <row r="420" spans="1:26" ht="15.75" customHeight="1">
      <c r="A420" s="44"/>
      <c r="B420" s="14"/>
      <c r="C420" s="53"/>
      <c r="D420" s="15"/>
      <c r="E420" s="89"/>
      <c r="F420" s="16"/>
      <c r="G420" s="16"/>
      <c r="H420" s="90" t="str">
        <f>IF(G420="Regular",Listas!$K$16,IF(G420="Premium",Listas!$K$17,IF(G420="Diesel",Listas!$K$18,"-")))</f>
        <v>-</v>
      </c>
      <c r="I420" s="17"/>
      <c r="J420" s="18"/>
      <c r="K420" s="19" t="str">
        <f>+IFERROR(IF(G420="Regular",VLOOKUP(C420,'PRECIO TERMINAL PEMEX'!$B$4:$E$35,2,0),IF(G420="Premium",VLOOKUP(C420,'PRECIO TERMINAL PEMEX'!$B$4:$E$35,3,0),IF(G420="Diesel",VLOOKUP(C420,'PRECIO TERMINAL PEMEX'!$B$4:$E$35,4,0),"Seleccione Producto"))),"-")</f>
        <v>Seleccione Producto</v>
      </c>
      <c r="L420" s="93" t="str">
        <f>+IFERROR(IF(F420="VHSA",VLOOKUP(B420,Listas!$C$4:$F$17,2,0),IF(F420="DOS BOCAS",VLOOKUP(B420,Listas!$C$4:$F$17,3,0),IF(F420="GLENCORE",VLOOKUP(B420,Listas!$C$4:$F$17,4,0),"Seleccione TAR"))),"-")</f>
        <v>Seleccione TAR</v>
      </c>
      <c r="M420" s="19" t="str">
        <f>+IFERROR(IF(G420="Regular",VLOOKUP(C420,'DESCUENTO PROVEEDORES'!$B$4:$E$35,2,0),IF(G420="Premium",VLOOKUP(C420,'DESCUENTO PROVEEDORES'!$B$4:$E$35,3,0),IF(G420="Diesel",VLOOKUP(C420,'DESCUENTO PROVEEDORES'!$B$4:$E$35,4,0),"Seleccione Proveedor"))),"-")</f>
        <v>Seleccione Proveedor</v>
      </c>
      <c r="N420" s="20" t="e">
        <f>((((K420-H420)/1.16)-M420))</f>
        <v>#VALUE!</v>
      </c>
      <c r="O420" s="21" t="e">
        <f>((N420*16%)+N420)+H420+L420</f>
        <v>#VALUE!</v>
      </c>
      <c r="P420" s="21" t="e">
        <f>(((J420-O420)-H420)/1.16)+H420</f>
        <v>#VALUE!</v>
      </c>
      <c r="Q420" s="44"/>
      <c r="R420" s="24"/>
      <c r="S420" s="23" t="e">
        <f t="shared" si="18"/>
        <v>#DIV/0!</v>
      </c>
      <c r="T420" s="23" t="e">
        <f t="shared" si="19"/>
        <v>#DIV/0!</v>
      </c>
      <c r="U420" s="22" t="e">
        <f t="shared" si="20"/>
        <v>#DIV/0!</v>
      </c>
      <c r="V420" s="44"/>
      <c r="W420" s="44"/>
      <c r="X420" s="44"/>
      <c r="Y420" s="44"/>
      <c r="Z420" s="44"/>
    </row>
    <row r="421" spans="1:26" ht="15.75" customHeight="1">
      <c r="A421" s="44"/>
      <c r="B421" s="14"/>
      <c r="C421" s="53"/>
      <c r="D421" s="15"/>
      <c r="E421" s="89"/>
      <c r="F421" s="16"/>
      <c r="G421" s="16"/>
      <c r="H421" s="90" t="str">
        <f>IF(G421="Regular",Listas!$K$16,IF(G421="Premium",Listas!$K$17,IF(G421="Diesel",Listas!$K$18,"-")))</f>
        <v>-</v>
      </c>
      <c r="I421" s="17"/>
      <c r="J421" s="18"/>
      <c r="K421" s="19" t="str">
        <f>+IFERROR(IF(G421="Regular",VLOOKUP(C421,'PRECIO TERMINAL PEMEX'!$B$4:$E$35,2,0),IF(G421="Premium",VLOOKUP(C421,'PRECIO TERMINAL PEMEX'!$B$4:$E$35,3,0),IF(G421="Diesel",VLOOKUP(C421,'PRECIO TERMINAL PEMEX'!$B$4:$E$35,4,0),"Seleccione Producto"))),"-")</f>
        <v>Seleccione Producto</v>
      </c>
      <c r="L421" s="93" t="str">
        <f>+IFERROR(IF(F421="VHSA",VLOOKUP(B421,Listas!$C$4:$F$17,2,0),IF(F421="DOS BOCAS",VLOOKUP(B421,Listas!$C$4:$F$17,3,0),IF(F421="GLENCORE",VLOOKUP(B421,Listas!$C$4:$F$17,4,0),"Seleccione TAR"))),"-")</f>
        <v>Seleccione TAR</v>
      </c>
      <c r="M421" s="19" t="str">
        <f>+IFERROR(IF(G421="Regular",VLOOKUP(C421,'DESCUENTO PROVEEDORES'!$B$4:$E$35,2,0),IF(G421="Premium",VLOOKUP(C421,'DESCUENTO PROVEEDORES'!$B$4:$E$35,3,0),IF(G421="Diesel",VLOOKUP(C421,'DESCUENTO PROVEEDORES'!$B$4:$E$35,4,0),"Seleccione Proveedor"))),"-")</f>
        <v>Seleccione Proveedor</v>
      </c>
      <c r="N421" s="20" t="e">
        <f>((((K421-H421)/1.16)-M421))</f>
        <v>#VALUE!</v>
      </c>
      <c r="O421" s="21" t="e">
        <f>((N421*16%)+N421)+H421+L421</f>
        <v>#VALUE!</v>
      </c>
      <c r="P421" s="21" t="e">
        <f>(((J421-O421)-H421)/1.16)+H421</f>
        <v>#VALUE!</v>
      </c>
      <c r="Q421" s="44"/>
      <c r="R421" s="24"/>
      <c r="S421" s="23" t="e">
        <f t="shared" si="18"/>
        <v>#DIV/0!</v>
      </c>
      <c r="T421" s="23" t="e">
        <f t="shared" si="19"/>
        <v>#DIV/0!</v>
      </c>
      <c r="U421" s="22" t="e">
        <f t="shared" si="20"/>
        <v>#DIV/0!</v>
      </c>
      <c r="V421" s="44"/>
      <c r="W421" s="44"/>
      <c r="X421" s="44"/>
      <c r="Y421" s="44"/>
      <c r="Z421" s="44"/>
    </row>
    <row r="422" spans="1:26" ht="15.75" customHeight="1">
      <c r="A422" s="44"/>
      <c r="B422" s="14"/>
      <c r="C422" s="53"/>
      <c r="D422" s="15"/>
      <c r="E422" s="89"/>
      <c r="F422" s="16"/>
      <c r="G422" s="16"/>
      <c r="H422" s="90" t="str">
        <f>IF(G422="Regular",Listas!$K$16,IF(G422="Premium",Listas!$K$17,IF(G422="Diesel",Listas!$K$18,"-")))</f>
        <v>-</v>
      </c>
      <c r="I422" s="17"/>
      <c r="J422" s="18"/>
      <c r="K422" s="19" t="str">
        <f>+IFERROR(IF(G422="Regular",VLOOKUP(C422,'PRECIO TERMINAL PEMEX'!$B$4:$E$35,2,0),IF(G422="Premium",VLOOKUP(C422,'PRECIO TERMINAL PEMEX'!$B$4:$E$35,3,0),IF(G422="Diesel",VLOOKUP(C422,'PRECIO TERMINAL PEMEX'!$B$4:$E$35,4,0),"Seleccione Producto"))),"-")</f>
        <v>Seleccione Producto</v>
      </c>
      <c r="L422" s="93" t="str">
        <f>+IFERROR(IF(F422="VHSA",VLOOKUP(B422,Listas!$C$4:$F$17,2,0),IF(F422="DOS BOCAS",VLOOKUP(B422,Listas!$C$4:$F$17,3,0),IF(F422="GLENCORE",VLOOKUP(B422,Listas!$C$4:$F$17,4,0),"Seleccione TAR"))),"-")</f>
        <v>Seleccione TAR</v>
      </c>
      <c r="M422" s="19" t="str">
        <f>+IFERROR(IF(G422="Regular",VLOOKUP(C422,'DESCUENTO PROVEEDORES'!$B$4:$E$35,2,0),IF(G422="Premium",VLOOKUP(C422,'DESCUENTO PROVEEDORES'!$B$4:$E$35,3,0),IF(G422="Diesel",VLOOKUP(C422,'DESCUENTO PROVEEDORES'!$B$4:$E$35,4,0),"Seleccione Proveedor"))),"-")</f>
        <v>Seleccione Proveedor</v>
      </c>
      <c r="N422" s="20" t="e">
        <f>((((K422-H422)/1.16)-M422))</f>
        <v>#VALUE!</v>
      </c>
      <c r="O422" s="21" t="e">
        <f>((N422*16%)+N422)+H422+L422</f>
        <v>#VALUE!</v>
      </c>
      <c r="P422" s="21" t="e">
        <f>(((J422-O422)-H422)/1.16)+H422</f>
        <v>#VALUE!</v>
      </c>
      <c r="Q422" s="44"/>
      <c r="R422" s="24"/>
      <c r="S422" s="23" t="e">
        <f t="shared" si="18"/>
        <v>#DIV/0!</v>
      </c>
      <c r="T422" s="23" t="e">
        <f t="shared" si="19"/>
        <v>#DIV/0!</v>
      </c>
      <c r="U422" s="22" t="e">
        <f t="shared" si="20"/>
        <v>#DIV/0!</v>
      </c>
      <c r="V422" s="44"/>
      <c r="W422" s="44"/>
      <c r="X422" s="44"/>
      <c r="Y422" s="44"/>
      <c r="Z422" s="44"/>
    </row>
    <row r="423" spans="1:26" ht="15.75" customHeight="1">
      <c r="A423" s="44"/>
      <c r="B423" s="14"/>
      <c r="C423" s="53"/>
      <c r="D423" s="15"/>
      <c r="E423" s="89"/>
      <c r="F423" s="16"/>
      <c r="G423" s="16"/>
      <c r="H423" s="90" t="str">
        <f>IF(G423="Regular",Listas!$K$16,IF(G423="Premium",Listas!$K$17,IF(G423="Diesel",Listas!$K$18,"-")))</f>
        <v>-</v>
      </c>
      <c r="I423" s="17"/>
      <c r="J423" s="18"/>
      <c r="K423" s="19" t="str">
        <f>+IFERROR(IF(G423="Regular",VLOOKUP(C423,'PRECIO TERMINAL PEMEX'!$B$4:$E$35,2,0),IF(G423="Premium",VLOOKUP(C423,'PRECIO TERMINAL PEMEX'!$B$4:$E$35,3,0),IF(G423="Diesel",VLOOKUP(C423,'PRECIO TERMINAL PEMEX'!$B$4:$E$35,4,0),"Seleccione Producto"))),"-")</f>
        <v>Seleccione Producto</v>
      </c>
      <c r="L423" s="93" t="str">
        <f>+IFERROR(IF(F423="VHSA",VLOOKUP(B423,Listas!$C$4:$F$17,2,0),IF(F423="DOS BOCAS",VLOOKUP(B423,Listas!$C$4:$F$17,3,0),IF(F423="GLENCORE",VLOOKUP(B423,Listas!$C$4:$F$17,4,0),"Seleccione TAR"))),"-")</f>
        <v>Seleccione TAR</v>
      </c>
      <c r="M423" s="19" t="str">
        <f>+IFERROR(IF(G423="Regular",VLOOKUP(C423,'DESCUENTO PROVEEDORES'!$B$4:$E$35,2,0),IF(G423="Premium",VLOOKUP(C423,'DESCUENTO PROVEEDORES'!$B$4:$E$35,3,0),IF(G423="Diesel",VLOOKUP(C423,'DESCUENTO PROVEEDORES'!$B$4:$E$35,4,0),"Seleccione Proveedor"))),"-")</f>
        <v>Seleccione Proveedor</v>
      </c>
      <c r="N423" s="20" t="e">
        <f>((((K423-H423)/1.16)-M423))</f>
        <v>#VALUE!</v>
      </c>
      <c r="O423" s="21" t="e">
        <f>((N423*16%)+N423)+H423+L423</f>
        <v>#VALUE!</v>
      </c>
      <c r="P423" s="21" t="e">
        <f>(((J423-O423)-H423)/1.16)+H423</f>
        <v>#VALUE!</v>
      </c>
      <c r="Q423" s="44"/>
      <c r="R423" s="24"/>
      <c r="S423" s="23" t="e">
        <f t="shared" si="18"/>
        <v>#DIV/0!</v>
      </c>
      <c r="T423" s="23" t="e">
        <f t="shared" si="19"/>
        <v>#DIV/0!</v>
      </c>
      <c r="U423" s="22" t="e">
        <f t="shared" si="20"/>
        <v>#DIV/0!</v>
      </c>
      <c r="V423" s="44"/>
      <c r="W423" s="44"/>
      <c r="X423" s="44"/>
      <c r="Y423" s="44"/>
      <c r="Z423" s="44"/>
    </row>
    <row r="424" spans="1:26" ht="15.75" customHeight="1">
      <c r="A424" s="44"/>
      <c r="B424" s="14"/>
      <c r="C424" s="53"/>
      <c r="D424" s="15"/>
      <c r="E424" s="89"/>
      <c r="F424" s="16"/>
      <c r="G424" s="16"/>
      <c r="H424" s="90" t="str">
        <f>IF(G424="Regular",Listas!$K$16,IF(G424="Premium",Listas!$K$17,IF(G424="Diesel",Listas!$K$18,"-")))</f>
        <v>-</v>
      </c>
      <c r="I424" s="17"/>
      <c r="J424" s="18"/>
      <c r="K424" s="19" t="str">
        <f>+IFERROR(IF(G424="Regular",VLOOKUP(C424,'PRECIO TERMINAL PEMEX'!$B$4:$E$35,2,0),IF(G424="Premium",VLOOKUP(C424,'PRECIO TERMINAL PEMEX'!$B$4:$E$35,3,0),IF(G424="Diesel",VLOOKUP(C424,'PRECIO TERMINAL PEMEX'!$B$4:$E$35,4,0),"Seleccione Producto"))),"-")</f>
        <v>Seleccione Producto</v>
      </c>
      <c r="L424" s="93" t="str">
        <f>+IFERROR(IF(F424="VHSA",VLOOKUP(B424,Listas!$C$4:$F$17,2,0),IF(F424="DOS BOCAS",VLOOKUP(B424,Listas!$C$4:$F$17,3,0),IF(F424="GLENCORE",VLOOKUP(B424,Listas!$C$4:$F$17,4,0),"Seleccione TAR"))),"-")</f>
        <v>Seleccione TAR</v>
      </c>
      <c r="M424" s="19" t="str">
        <f>+IFERROR(IF(G424="Regular",VLOOKUP(C424,'DESCUENTO PROVEEDORES'!$B$4:$E$35,2,0),IF(G424="Premium",VLOOKUP(C424,'DESCUENTO PROVEEDORES'!$B$4:$E$35,3,0),IF(G424="Diesel",VLOOKUP(C424,'DESCUENTO PROVEEDORES'!$B$4:$E$35,4,0),"Seleccione Proveedor"))),"-")</f>
        <v>Seleccione Proveedor</v>
      </c>
      <c r="N424" s="20" t="e">
        <f>((((K424-H424)/1.16)-M424))</f>
        <v>#VALUE!</v>
      </c>
      <c r="O424" s="21" t="e">
        <f>((N424*16%)+N424)+H424+L424</f>
        <v>#VALUE!</v>
      </c>
      <c r="P424" s="21" t="e">
        <f>(((J424-O424)-H424)/1.16)+H424</f>
        <v>#VALUE!</v>
      </c>
      <c r="Q424" s="44"/>
      <c r="R424" s="24"/>
      <c r="S424" s="23" t="e">
        <f t="shared" si="18"/>
        <v>#DIV/0!</v>
      </c>
      <c r="T424" s="23" t="e">
        <f t="shared" si="19"/>
        <v>#DIV/0!</v>
      </c>
      <c r="U424" s="22" t="e">
        <f t="shared" si="20"/>
        <v>#DIV/0!</v>
      </c>
      <c r="V424" s="44"/>
      <c r="W424" s="44"/>
      <c r="X424" s="44"/>
      <c r="Y424" s="44"/>
      <c r="Z424" s="44"/>
    </row>
    <row r="425" spans="1:26" ht="15.75" customHeight="1">
      <c r="A425" s="44"/>
      <c r="B425" s="14"/>
      <c r="C425" s="53"/>
      <c r="D425" s="15"/>
      <c r="E425" s="89"/>
      <c r="F425" s="16"/>
      <c r="G425" s="16"/>
      <c r="H425" s="90" t="str">
        <f>IF(G425="Regular",Listas!$K$16,IF(G425="Premium",Listas!$K$17,IF(G425="Diesel",Listas!$K$18,"-")))</f>
        <v>-</v>
      </c>
      <c r="I425" s="17"/>
      <c r="J425" s="18"/>
      <c r="K425" s="19" t="str">
        <f>+IFERROR(IF(G425="Regular",VLOOKUP(C425,'PRECIO TERMINAL PEMEX'!$B$4:$E$35,2,0),IF(G425="Premium",VLOOKUP(C425,'PRECIO TERMINAL PEMEX'!$B$4:$E$35,3,0),IF(G425="Diesel",VLOOKUP(C425,'PRECIO TERMINAL PEMEX'!$B$4:$E$35,4,0),"Seleccione Producto"))),"-")</f>
        <v>Seleccione Producto</v>
      </c>
      <c r="L425" s="93" t="str">
        <f>+IFERROR(IF(F425="VHSA",VLOOKUP(B425,Listas!$C$4:$F$17,2,0),IF(F425="DOS BOCAS",VLOOKUP(B425,Listas!$C$4:$F$17,3,0),IF(F425="GLENCORE",VLOOKUP(B425,Listas!$C$4:$F$17,4,0),"Seleccione TAR"))),"-")</f>
        <v>Seleccione TAR</v>
      </c>
      <c r="M425" s="19" t="str">
        <f>+IFERROR(IF(G425="Regular",VLOOKUP(C425,'DESCUENTO PROVEEDORES'!$B$4:$E$35,2,0),IF(G425="Premium",VLOOKUP(C425,'DESCUENTO PROVEEDORES'!$B$4:$E$35,3,0),IF(G425="Diesel",VLOOKUP(C425,'DESCUENTO PROVEEDORES'!$B$4:$E$35,4,0),"Seleccione Proveedor"))),"-")</f>
        <v>Seleccione Proveedor</v>
      </c>
      <c r="N425" s="20" t="e">
        <f>((((K425-H425)/1.16)-M425))</f>
        <v>#VALUE!</v>
      </c>
      <c r="O425" s="21" t="e">
        <f>((N425*16%)+N425)+H425+L425</f>
        <v>#VALUE!</v>
      </c>
      <c r="P425" s="21" t="e">
        <f>(((J425-O425)-H425)/1.16)+H425</f>
        <v>#VALUE!</v>
      </c>
      <c r="Q425" s="44"/>
      <c r="R425" s="24"/>
      <c r="S425" s="23" t="e">
        <f t="shared" si="18"/>
        <v>#DIV/0!</v>
      </c>
      <c r="T425" s="23" t="e">
        <f t="shared" si="19"/>
        <v>#DIV/0!</v>
      </c>
      <c r="U425" s="22" t="e">
        <f t="shared" si="20"/>
        <v>#DIV/0!</v>
      </c>
      <c r="V425" s="44"/>
      <c r="W425" s="44"/>
      <c r="X425" s="44"/>
      <c r="Y425" s="44"/>
      <c r="Z425" s="44"/>
    </row>
    <row r="426" spans="1:26" ht="15.75" customHeight="1">
      <c r="A426" s="44"/>
      <c r="B426" s="14"/>
      <c r="C426" s="53"/>
      <c r="D426" s="15"/>
      <c r="E426" s="89"/>
      <c r="F426" s="16"/>
      <c r="G426" s="16"/>
      <c r="H426" s="90" t="str">
        <f>IF(G426="Regular",Listas!$K$16,IF(G426="Premium",Listas!$K$17,IF(G426="Diesel",Listas!$K$18,"-")))</f>
        <v>-</v>
      </c>
      <c r="I426" s="17"/>
      <c r="J426" s="18"/>
      <c r="K426" s="19" t="str">
        <f>+IFERROR(IF(G426="Regular",VLOOKUP(C426,'PRECIO TERMINAL PEMEX'!$B$4:$E$35,2,0),IF(G426="Premium",VLOOKUP(C426,'PRECIO TERMINAL PEMEX'!$B$4:$E$35,3,0),IF(G426="Diesel",VLOOKUP(C426,'PRECIO TERMINAL PEMEX'!$B$4:$E$35,4,0),"Seleccione Producto"))),"-")</f>
        <v>Seleccione Producto</v>
      </c>
      <c r="L426" s="93" t="str">
        <f>+IFERROR(IF(F426="VHSA",VLOOKUP(B426,Listas!$C$4:$F$17,2,0),IF(F426="DOS BOCAS",VLOOKUP(B426,Listas!$C$4:$F$17,3,0),IF(F426="GLENCORE",VLOOKUP(B426,Listas!$C$4:$F$17,4,0),"Seleccione TAR"))),"-")</f>
        <v>Seleccione TAR</v>
      </c>
      <c r="M426" s="19" t="str">
        <f>+IFERROR(IF(G426="Regular",VLOOKUP(C426,'DESCUENTO PROVEEDORES'!$B$4:$E$35,2,0),IF(G426="Premium",VLOOKUP(C426,'DESCUENTO PROVEEDORES'!$B$4:$E$35,3,0),IF(G426="Diesel",VLOOKUP(C426,'DESCUENTO PROVEEDORES'!$B$4:$E$35,4,0),"Seleccione Proveedor"))),"-")</f>
        <v>Seleccione Proveedor</v>
      </c>
      <c r="N426" s="20" t="e">
        <f>((((K426-H426)/1.16)-M426))</f>
        <v>#VALUE!</v>
      </c>
      <c r="O426" s="21" t="e">
        <f>((N426*16%)+N426)+H426+L426</f>
        <v>#VALUE!</v>
      </c>
      <c r="P426" s="21" t="e">
        <f>(((J426-O426)-H426)/1.16)+H426</f>
        <v>#VALUE!</v>
      </c>
      <c r="Q426" s="44"/>
      <c r="R426" s="24"/>
      <c r="S426" s="23" t="e">
        <f t="shared" si="18"/>
        <v>#DIV/0!</v>
      </c>
      <c r="T426" s="23" t="e">
        <f t="shared" si="19"/>
        <v>#DIV/0!</v>
      </c>
      <c r="U426" s="22" t="e">
        <f t="shared" si="20"/>
        <v>#DIV/0!</v>
      </c>
      <c r="V426" s="44"/>
      <c r="W426" s="44"/>
      <c r="X426" s="44"/>
      <c r="Y426" s="44"/>
      <c r="Z426" s="44"/>
    </row>
    <row r="427" spans="1:26" ht="15.75" customHeight="1">
      <c r="A427" s="44"/>
      <c r="B427" s="14"/>
      <c r="C427" s="53"/>
      <c r="D427" s="15"/>
      <c r="E427" s="89"/>
      <c r="F427" s="16"/>
      <c r="G427" s="16"/>
      <c r="H427" s="90" t="str">
        <f>IF(G427="Regular",Listas!$K$16,IF(G427="Premium",Listas!$K$17,IF(G427="Diesel",Listas!$K$18,"-")))</f>
        <v>-</v>
      </c>
      <c r="I427" s="17"/>
      <c r="J427" s="18"/>
      <c r="K427" s="19" t="str">
        <f>+IFERROR(IF(G427="Regular",VLOOKUP(C427,'PRECIO TERMINAL PEMEX'!$B$4:$E$35,2,0),IF(G427="Premium",VLOOKUP(C427,'PRECIO TERMINAL PEMEX'!$B$4:$E$35,3,0),IF(G427="Diesel",VLOOKUP(C427,'PRECIO TERMINAL PEMEX'!$B$4:$E$35,4,0),"Seleccione Producto"))),"-")</f>
        <v>Seleccione Producto</v>
      </c>
      <c r="L427" s="93" t="str">
        <f>+IFERROR(IF(F427="VHSA",VLOOKUP(B427,Listas!$C$4:$F$17,2,0),IF(F427="DOS BOCAS",VLOOKUP(B427,Listas!$C$4:$F$17,3,0),IF(F427="GLENCORE",VLOOKUP(B427,Listas!$C$4:$F$17,4,0),"Seleccione TAR"))),"-")</f>
        <v>Seleccione TAR</v>
      </c>
      <c r="M427" s="19" t="str">
        <f>+IFERROR(IF(G427="Regular",VLOOKUP(C427,'DESCUENTO PROVEEDORES'!$B$4:$E$35,2,0),IF(G427="Premium",VLOOKUP(C427,'DESCUENTO PROVEEDORES'!$B$4:$E$35,3,0),IF(G427="Diesel",VLOOKUP(C427,'DESCUENTO PROVEEDORES'!$B$4:$E$35,4,0),"Seleccione Proveedor"))),"-")</f>
        <v>Seleccione Proveedor</v>
      </c>
      <c r="N427" s="20" t="e">
        <f>((((K427-H427)/1.16)-M427))</f>
        <v>#VALUE!</v>
      </c>
      <c r="O427" s="21" t="e">
        <f>((N427*16%)+N427)+H427+L427</f>
        <v>#VALUE!</v>
      </c>
      <c r="P427" s="21" t="e">
        <f>(((J427-O427)-H427)/1.16)+H427</f>
        <v>#VALUE!</v>
      </c>
      <c r="Q427" s="44"/>
      <c r="R427" s="24"/>
      <c r="S427" s="23" t="e">
        <f t="shared" si="18"/>
        <v>#DIV/0!</v>
      </c>
      <c r="T427" s="23" t="e">
        <f t="shared" si="19"/>
        <v>#DIV/0!</v>
      </c>
      <c r="U427" s="22" t="e">
        <f t="shared" si="20"/>
        <v>#DIV/0!</v>
      </c>
      <c r="V427" s="44"/>
      <c r="W427" s="44"/>
      <c r="X427" s="44"/>
      <c r="Y427" s="44"/>
      <c r="Z427" s="44"/>
    </row>
    <row r="428" spans="1:26" ht="15.75" customHeight="1">
      <c r="A428" s="44"/>
      <c r="B428" s="14"/>
      <c r="C428" s="53"/>
      <c r="D428" s="15"/>
      <c r="E428" s="89"/>
      <c r="F428" s="16"/>
      <c r="G428" s="16"/>
      <c r="H428" s="90" t="str">
        <f>IF(G428="Regular",Listas!$K$16,IF(G428="Premium",Listas!$K$17,IF(G428="Diesel",Listas!$K$18,"-")))</f>
        <v>-</v>
      </c>
      <c r="I428" s="17"/>
      <c r="J428" s="18"/>
      <c r="K428" s="19" t="str">
        <f>+IFERROR(IF(G428="Regular",VLOOKUP(C428,'PRECIO TERMINAL PEMEX'!$B$4:$E$35,2,0),IF(G428="Premium",VLOOKUP(C428,'PRECIO TERMINAL PEMEX'!$B$4:$E$35,3,0),IF(G428="Diesel",VLOOKUP(C428,'PRECIO TERMINAL PEMEX'!$B$4:$E$35,4,0),"Seleccione Producto"))),"-")</f>
        <v>Seleccione Producto</v>
      </c>
      <c r="L428" s="93" t="str">
        <f>+IFERROR(IF(F428="VHSA",VLOOKUP(B428,Listas!$C$4:$F$17,2,0),IF(F428="DOS BOCAS",VLOOKUP(B428,Listas!$C$4:$F$17,3,0),IF(F428="GLENCORE",VLOOKUP(B428,Listas!$C$4:$F$17,4,0),"Seleccione TAR"))),"-")</f>
        <v>Seleccione TAR</v>
      </c>
      <c r="M428" s="19" t="str">
        <f>+IFERROR(IF(G428="Regular",VLOOKUP(C428,'DESCUENTO PROVEEDORES'!$B$4:$E$35,2,0),IF(G428="Premium",VLOOKUP(C428,'DESCUENTO PROVEEDORES'!$B$4:$E$35,3,0),IF(G428="Diesel",VLOOKUP(C428,'DESCUENTO PROVEEDORES'!$B$4:$E$35,4,0),"Seleccione Proveedor"))),"-")</f>
        <v>Seleccione Proveedor</v>
      </c>
      <c r="N428" s="20" t="e">
        <f>((((K428-H428)/1.16)-M428))</f>
        <v>#VALUE!</v>
      </c>
      <c r="O428" s="21" t="e">
        <f>((N428*16%)+N428)+H428+L428</f>
        <v>#VALUE!</v>
      </c>
      <c r="P428" s="21" t="e">
        <f>(((J428-O428)-H428)/1.16)+H428</f>
        <v>#VALUE!</v>
      </c>
      <c r="Q428" s="44"/>
      <c r="R428" s="24"/>
      <c r="S428" s="23" t="e">
        <f t="shared" si="18"/>
        <v>#DIV/0!</v>
      </c>
      <c r="T428" s="23" t="e">
        <f t="shared" si="19"/>
        <v>#DIV/0!</v>
      </c>
      <c r="U428" s="22" t="e">
        <f t="shared" si="20"/>
        <v>#DIV/0!</v>
      </c>
      <c r="V428" s="44"/>
      <c r="W428" s="44"/>
      <c r="X428" s="44"/>
      <c r="Y428" s="44"/>
      <c r="Z428" s="44"/>
    </row>
    <row r="429" spans="1:26" ht="15.75" customHeight="1">
      <c r="A429" s="44"/>
      <c r="B429" s="14"/>
      <c r="C429" s="53"/>
      <c r="D429" s="15"/>
      <c r="E429" s="89"/>
      <c r="F429" s="16"/>
      <c r="G429" s="16"/>
      <c r="H429" s="90" t="str">
        <f>IF(G429="Regular",Listas!$K$16,IF(G429="Premium",Listas!$K$17,IF(G429="Diesel",Listas!$K$18,"-")))</f>
        <v>-</v>
      </c>
      <c r="I429" s="17"/>
      <c r="J429" s="18"/>
      <c r="K429" s="19" t="str">
        <f>+IFERROR(IF(G429="Regular",VLOOKUP(C429,'PRECIO TERMINAL PEMEX'!$B$4:$E$35,2,0),IF(G429="Premium",VLOOKUP(C429,'PRECIO TERMINAL PEMEX'!$B$4:$E$35,3,0),IF(G429="Diesel",VLOOKUP(C429,'PRECIO TERMINAL PEMEX'!$B$4:$E$35,4,0),"Seleccione Producto"))),"-")</f>
        <v>Seleccione Producto</v>
      </c>
      <c r="L429" s="93" t="str">
        <f>+IFERROR(IF(F429="VHSA",VLOOKUP(B429,Listas!$C$4:$F$17,2,0),IF(F429="DOS BOCAS",VLOOKUP(B429,Listas!$C$4:$F$17,3,0),IF(F429="GLENCORE",VLOOKUP(B429,Listas!$C$4:$F$17,4,0),"Seleccione TAR"))),"-")</f>
        <v>Seleccione TAR</v>
      </c>
      <c r="M429" s="19" t="str">
        <f>+IFERROR(IF(G429="Regular",VLOOKUP(C429,'DESCUENTO PROVEEDORES'!$B$4:$E$35,2,0),IF(G429="Premium",VLOOKUP(C429,'DESCUENTO PROVEEDORES'!$B$4:$E$35,3,0),IF(G429="Diesel",VLOOKUP(C429,'DESCUENTO PROVEEDORES'!$B$4:$E$35,4,0),"Seleccione Proveedor"))),"-")</f>
        <v>Seleccione Proveedor</v>
      </c>
      <c r="N429" s="20" t="e">
        <f>((((K429-H429)/1.16)-M429))</f>
        <v>#VALUE!</v>
      </c>
      <c r="O429" s="21" t="e">
        <f>((N429*16%)+N429)+H429+L429</f>
        <v>#VALUE!</v>
      </c>
      <c r="P429" s="21" t="e">
        <f>(((J429-O429)-H429)/1.16)+H429</f>
        <v>#VALUE!</v>
      </c>
      <c r="Q429" s="44"/>
      <c r="R429" s="24"/>
      <c r="S429" s="23" t="e">
        <f t="shared" si="18"/>
        <v>#DIV/0!</v>
      </c>
      <c r="T429" s="23" t="e">
        <f t="shared" si="19"/>
        <v>#DIV/0!</v>
      </c>
      <c r="U429" s="22" t="e">
        <f t="shared" si="20"/>
        <v>#DIV/0!</v>
      </c>
      <c r="V429" s="44"/>
      <c r="W429" s="44"/>
      <c r="X429" s="44"/>
      <c r="Y429" s="44"/>
      <c r="Z429" s="44"/>
    </row>
    <row r="430" spans="1:26" ht="15.75" customHeight="1">
      <c r="A430" s="44"/>
      <c r="B430" s="14"/>
      <c r="C430" s="53"/>
      <c r="D430" s="15"/>
      <c r="E430" s="89"/>
      <c r="F430" s="16"/>
      <c r="G430" s="16"/>
      <c r="H430" s="90" t="str">
        <f>IF(G430="Regular",Listas!$K$16,IF(G430="Premium",Listas!$K$17,IF(G430="Diesel",Listas!$K$18,"-")))</f>
        <v>-</v>
      </c>
      <c r="I430" s="17"/>
      <c r="J430" s="18"/>
      <c r="K430" s="19" t="str">
        <f>+IFERROR(IF(G430="Regular",VLOOKUP(C430,'PRECIO TERMINAL PEMEX'!$B$4:$E$35,2,0),IF(G430="Premium",VLOOKUP(C430,'PRECIO TERMINAL PEMEX'!$B$4:$E$35,3,0),IF(G430="Diesel",VLOOKUP(C430,'PRECIO TERMINAL PEMEX'!$B$4:$E$35,4,0),"Seleccione Producto"))),"-")</f>
        <v>Seleccione Producto</v>
      </c>
      <c r="L430" s="93" t="str">
        <f>+IFERROR(IF(F430="VHSA",VLOOKUP(B430,Listas!$C$4:$F$17,2,0),IF(F430="DOS BOCAS",VLOOKUP(B430,Listas!$C$4:$F$17,3,0),IF(F430="GLENCORE",VLOOKUP(B430,Listas!$C$4:$F$17,4,0),"Seleccione TAR"))),"-")</f>
        <v>Seleccione TAR</v>
      </c>
      <c r="M430" s="19" t="str">
        <f>+IFERROR(IF(G430="Regular",VLOOKUP(C430,'DESCUENTO PROVEEDORES'!$B$4:$E$35,2,0),IF(G430="Premium",VLOOKUP(C430,'DESCUENTO PROVEEDORES'!$B$4:$E$35,3,0),IF(G430="Diesel",VLOOKUP(C430,'DESCUENTO PROVEEDORES'!$B$4:$E$35,4,0),"Seleccione Proveedor"))),"-")</f>
        <v>Seleccione Proveedor</v>
      </c>
      <c r="N430" s="20" t="e">
        <f>((((K430-H430)/1.16)-M430))</f>
        <v>#VALUE!</v>
      </c>
      <c r="O430" s="21" t="e">
        <f>((N430*16%)+N430)+H430+L430</f>
        <v>#VALUE!</v>
      </c>
      <c r="P430" s="21" t="e">
        <f>(((J430-O430)-H430)/1.16)+H430</f>
        <v>#VALUE!</v>
      </c>
      <c r="Q430" s="44"/>
      <c r="R430" s="24"/>
      <c r="S430" s="23" t="e">
        <f t="shared" si="18"/>
        <v>#DIV/0!</v>
      </c>
      <c r="T430" s="23" t="e">
        <f t="shared" si="19"/>
        <v>#DIV/0!</v>
      </c>
      <c r="U430" s="22" t="e">
        <f t="shared" si="20"/>
        <v>#DIV/0!</v>
      </c>
      <c r="V430" s="44"/>
      <c r="W430" s="44"/>
      <c r="X430" s="44"/>
      <c r="Y430" s="44"/>
      <c r="Z430" s="44"/>
    </row>
    <row r="431" spans="1:26" ht="15.75" customHeight="1">
      <c r="A431" s="44"/>
      <c r="B431" s="14"/>
      <c r="C431" s="53"/>
      <c r="D431" s="15"/>
      <c r="E431" s="89"/>
      <c r="F431" s="16"/>
      <c r="G431" s="16"/>
      <c r="H431" s="90" t="str">
        <f>IF(G431="Regular",Listas!$K$16,IF(G431="Premium",Listas!$K$17,IF(G431="Diesel",Listas!$K$18,"-")))</f>
        <v>-</v>
      </c>
      <c r="I431" s="17"/>
      <c r="J431" s="18"/>
      <c r="K431" s="19" t="str">
        <f>+IFERROR(IF(G431="Regular",VLOOKUP(C431,'PRECIO TERMINAL PEMEX'!$B$4:$E$35,2,0),IF(G431="Premium",VLOOKUP(C431,'PRECIO TERMINAL PEMEX'!$B$4:$E$35,3,0),IF(G431="Diesel",VLOOKUP(C431,'PRECIO TERMINAL PEMEX'!$B$4:$E$35,4,0),"Seleccione Producto"))),"-")</f>
        <v>Seleccione Producto</v>
      </c>
      <c r="L431" s="93" t="str">
        <f>+IFERROR(IF(F431="VHSA",VLOOKUP(B431,Listas!$C$4:$F$17,2,0),IF(F431="DOS BOCAS",VLOOKUP(B431,Listas!$C$4:$F$17,3,0),IF(F431="GLENCORE",VLOOKUP(B431,Listas!$C$4:$F$17,4,0),"Seleccione TAR"))),"-")</f>
        <v>Seleccione TAR</v>
      </c>
      <c r="M431" s="19" t="str">
        <f>+IFERROR(IF(G431="Regular",VLOOKUP(C431,'DESCUENTO PROVEEDORES'!$B$4:$E$35,2,0),IF(G431="Premium",VLOOKUP(C431,'DESCUENTO PROVEEDORES'!$B$4:$E$35,3,0),IF(G431="Diesel",VLOOKUP(C431,'DESCUENTO PROVEEDORES'!$B$4:$E$35,4,0),"Seleccione Proveedor"))),"-")</f>
        <v>Seleccione Proveedor</v>
      </c>
      <c r="N431" s="20" t="e">
        <f>((((K431-H431)/1.16)-M431))</f>
        <v>#VALUE!</v>
      </c>
      <c r="O431" s="21" t="e">
        <f>((N431*16%)+N431)+H431+L431</f>
        <v>#VALUE!</v>
      </c>
      <c r="P431" s="21" t="e">
        <f>(((J431-O431)-H431)/1.16)+H431</f>
        <v>#VALUE!</v>
      </c>
      <c r="Q431" s="44"/>
      <c r="R431" s="24"/>
      <c r="S431" s="23" t="e">
        <f t="shared" si="18"/>
        <v>#DIV/0!</v>
      </c>
      <c r="T431" s="23" t="e">
        <f t="shared" si="19"/>
        <v>#DIV/0!</v>
      </c>
      <c r="U431" s="22" t="e">
        <f t="shared" si="20"/>
        <v>#DIV/0!</v>
      </c>
      <c r="V431" s="44"/>
      <c r="W431" s="44"/>
      <c r="X431" s="44"/>
      <c r="Y431" s="44"/>
      <c r="Z431" s="44"/>
    </row>
    <row r="432" spans="1:26" ht="15.75" customHeight="1">
      <c r="A432" s="44"/>
      <c r="B432" s="14"/>
      <c r="C432" s="53"/>
      <c r="D432" s="15"/>
      <c r="E432" s="89"/>
      <c r="F432" s="16"/>
      <c r="G432" s="16"/>
      <c r="H432" s="90" t="str">
        <f>IF(G432="Regular",Listas!$K$16,IF(G432="Premium",Listas!$K$17,IF(G432="Diesel",Listas!$K$18,"-")))</f>
        <v>-</v>
      </c>
      <c r="I432" s="17"/>
      <c r="J432" s="18"/>
      <c r="K432" s="19" t="str">
        <f>+IFERROR(IF(G432="Regular",VLOOKUP(C432,'PRECIO TERMINAL PEMEX'!$B$4:$E$35,2,0),IF(G432="Premium",VLOOKUP(C432,'PRECIO TERMINAL PEMEX'!$B$4:$E$35,3,0),IF(G432="Diesel",VLOOKUP(C432,'PRECIO TERMINAL PEMEX'!$B$4:$E$35,4,0),"Seleccione Producto"))),"-")</f>
        <v>Seleccione Producto</v>
      </c>
      <c r="L432" s="93" t="str">
        <f>+IFERROR(IF(F432="VHSA",VLOOKUP(B432,Listas!$C$4:$F$17,2,0),IF(F432="DOS BOCAS",VLOOKUP(B432,Listas!$C$4:$F$17,3,0),IF(F432="GLENCORE",VLOOKUP(B432,Listas!$C$4:$F$17,4,0),"Seleccione TAR"))),"-")</f>
        <v>Seleccione TAR</v>
      </c>
      <c r="M432" s="19" t="str">
        <f>+IFERROR(IF(G432="Regular",VLOOKUP(C432,'DESCUENTO PROVEEDORES'!$B$4:$E$35,2,0),IF(G432="Premium",VLOOKUP(C432,'DESCUENTO PROVEEDORES'!$B$4:$E$35,3,0),IF(G432="Diesel",VLOOKUP(C432,'DESCUENTO PROVEEDORES'!$B$4:$E$35,4,0),"Seleccione Proveedor"))),"-")</f>
        <v>Seleccione Proveedor</v>
      </c>
      <c r="N432" s="20" t="e">
        <f>((((K432-H432)/1.16)-M432))</f>
        <v>#VALUE!</v>
      </c>
      <c r="O432" s="21" t="e">
        <f>((N432*16%)+N432)+H432+L432</f>
        <v>#VALUE!</v>
      </c>
      <c r="P432" s="21" t="e">
        <f>(((J432-O432)-H432)/1.16)+H432</f>
        <v>#VALUE!</v>
      </c>
      <c r="Q432" s="44"/>
      <c r="R432" s="24"/>
      <c r="S432" s="23" t="e">
        <f t="shared" si="18"/>
        <v>#DIV/0!</v>
      </c>
      <c r="T432" s="23" t="e">
        <f t="shared" si="19"/>
        <v>#DIV/0!</v>
      </c>
      <c r="U432" s="22" t="e">
        <f t="shared" si="20"/>
        <v>#DIV/0!</v>
      </c>
      <c r="V432" s="44"/>
      <c r="W432" s="44"/>
      <c r="X432" s="44"/>
      <c r="Y432" s="44"/>
      <c r="Z432" s="44"/>
    </row>
    <row r="433" spans="1:26" ht="15.75" customHeight="1">
      <c r="A433" s="44"/>
      <c r="B433" s="14"/>
      <c r="C433" s="53"/>
      <c r="D433" s="15"/>
      <c r="E433" s="89"/>
      <c r="F433" s="16"/>
      <c r="G433" s="16"/>
      <c r="H433" s="90" t="str">
        <f>IF(G433="Regular",Listas!$K$16,IF(G433="Premium",Listas!$K$17,IF(G433="Diesel",Listas!$K$18,"-")))</f>
        <v>-</v>
      </c>
      <c r="I433" s="17"/>
      <c r="J433" s="18"/>
      <c r="K433" s="19" t="str">
        <f>+IFERROR(IF(G433="Regular",VLOOKUP(C433,'PRECIO TERMINAL PEMEX'!$B$4:$E$35,2,0),IF(G433="Premium",VLOOKUP(C433,'PRECIO TERMINAL PEMEX'!$B$4:$E$35,3,0),IF(G433="Diesel",VLOOKUP(C433,'PRECIO TERMINAL PEMEX'!$B$4:$E$35,4,0),"Seleccione Producto"))),"-")</f>
        <v>Seleccione Producto</v>
      </c>
      <c r="L433" s="93" t="str">
        <f>+IFERROR(IF(F433="VHSA",VLOOKUP(B433,Listas!$C$4:$F$17,2,0),IF(F433="DOS BOCAS",VLOOKUP(B433,Listas!$C$4:$F$17,3,0),IF(F433="GLENCORE",VLOOKUP(B433,Listas!$C$4:$F$17,4,0),"Seleccione TAR"))),"-")</f>
        <v>Seleccione TAR</v>
      </c>
      <c r="M433" s="19" t="str">
        <f>+IFERROR(IF(G433="Regular",VLOOKUP(C433,'DESCUENTO PROVEEDORES'!$B$4:$E$35,2,0),IF(G433="Premium",VLOOKUP(C433,'DESCUENTO PROVEEDORES'!$B$4:$E$35,3,0),IF(G433="Diesel",VLOOKUP(C433,'DESCUENTO PROVEEDORES'!$B$4:$E$35,4,0),"Seleccione Proveedor"))),"-")</f>
        <v>Seleccione Proveedor</v>
      </c>
      <c r="N433" s="20" t="e">
        <f>((((K433-H433)/1.16)-M433))</f>
        <v>#VALUE!</v>
      </c>
      <c r="O433" s="21" t="e">
        <f>((N433*16%)+N433)+H433+L433</f>
        <v>#VALUE!</v>
      </c>
      <c r="P433" s="21" t="e">
        <f>(((J433-O433)-H433)/1.16)+H433</f>
        <v>#VALUE!</v>
      </c>
      <c r="Q433" s="44"/>
      <c r="R433" s="24"/>
      <c r="S433" s="23" t="e">
        <f t="shared" si="18"/>
        <v>#DIV/0!</v>
      </c>
      <c r="T433" s="23" t="e">
        <f t="shared" si="19"/>
        <v>#DIV/0!</v>
      </c>
      <c r="U433" s="22" t="e">
        <f t="shared" si="20"/>
        <v>#DIV/0!</v>
      </c>
      <c r="V433" s="44"/>
      <c r="W433" s="44"/>
      <c r="X433" s="44"/>
      <c r="Y433" s="44"/>
      <c r="Z433" s="44"/>
    </row>
    <row r="434" spans="1:26" ht="15.75" customHeight="1">
      <c r="A434" s="44"/>
      <c r="B434" s="14"/>
      <c r="C434" s="53"/>
      <c r="D434" s="15"/>
      <c r="E434" s="89"/>
      <c r="F434" s="16"/>
      <c r="G434" s="16"/>
      <c r="H434" s="90" t="str">
        <f>IF(G434="Regular",Listas!$K$16,IF(G434="Premium",Listas!$K$17,IF(G434="Diesel",Listas!$K$18,"-")))</f>
        <v>-</v>
      </c>
      <c r="I434" s="17"/>
      <c r="J434" s="18"/>
      <c r="K434" s="19" t="str">
        <f>+IFERROR(IF(G434="Regular",VLOOKUP(C434,'PRECIO TERMINAL PEMEX'!$B$4:$E$35,2,0),IF(G434="Premium",VLOOKUP(C434,'PRECIO TERMINAL PEMEX'!$B$4:$E$35,3,0),IF(G434="Diesel",VLOOKUP(C434,'PRECIO TERMINAL PEMEX'!$B$4:$E$35,4,0),"Seleccione Producto"))),"-")</f>
        <v>Seleccione Producto</v>
      </c>
      <c r="L434" s="93" t="str">
        <f>+IFERROR(IF(F434="VHSA",VLOOKUP(B434,Listas!$C$4:$F$17,2,0),IF(F434="DOS BOCAS",VLOOKUP(B434,Listas!$C$4:$F$17,3,0),IF(F434="GLENCORE",VLOOKUP(B434,Listas!$C$4:$F$17,4,0),"Seleccione TAR"))),"-")</f>
        <v>Seleccione TAR</v>
      </c>
      <c r="M434" s="19" t="str">
        <f>+IFERROR(IF(G434="Regular",VLOOKUP(C434,'DESCUENTO PROVEEDORES'!$B$4:$E$35,2,0),IF(G434="Premium",VLOOKUP(C434,'DESCUENTO PROVEEDORES'!$B$4:$E$35,3,0),IF(G434="Diesel",VLOOKUP(C434,'DESCUENTO PROVEEDORES'!$B$4:$E$35,4,0),"Seleccione Proveedor"))),"-")</f>
        <v>Seleccione Proveedor</v>
      </c>
      <c r="N434" s="20" t="e">
        <f>((((K434-H434)/1.16)-M434))</f>
        <v>#VALUE!</v>
      </c>
      <c r="O434" s="21" t="e">
        <f>((N434*16%)+N434)+H434+L434</f>
        <v>#VALUE!</v>
      </c>
      <c r="P434" s="21" t="e">
        <f>(((J434-O434)-H434)/1.16)+H434</f>
        <v>#VALUE!</v>
      </c>
      <c r="Q434" s="44"/>
      <c r="R434" s="24"/>
      <c r="S434" s="23" t="e">
        <f t="shared" si="18"/>
        <v>#DIV/0!</v>
      </c>
      <c r="T434" s="23" t="e">
        <f t="shared" si="19"/>
        <v>#DIV/0!</v>
      </c>
      <c r="U434" s="22" t="e">
        <f t="shared" si="20"/>
        <v>#DIV/0!</v>
      </c>
      <c r="V434" s="44"/>
      <c r="W434" s="44"/>
      <c r="X434" s="44"/>
      <c r="Y434" s="44"/>
      <c r="Z434" s="44"/>
    </row>
    <row r="435" spans="1:26" ht="15.75" customHeight="1">
      <c r="A435" s="44"/>
      <c r="B435" s="14"/>
      <c r="C435" s="53"/>
      <c r="D435" s="15"/>
      <c r="E435" s="89"/>
      <c r="F435" s="16"/>
      <c r="G435" s="16"/>
      <c r="H435" s="90" t="str">
        <f>IF(G435="Regular",Listas!$K$16,IF(G435="Premium",Listas!$K$17,IF(G435="Diesel",Listas!$K$18,"-")))</f>
        <v>-</v>
      </c>
      <c r="I435" s="17"/>
      <c r="J435" s="18"/>
      <c r="K435" s="19" t="str">
        <f>+IFERROR(IF(G435="Regular",VLOOKUP(C435,'PRECIO TERMINAL PEMEX'!$B$4:$E$35,2,0),IF(G435="Premium",VLOOKUP(C435,'PRECIO TERMINAL PEMEX'!$B$4:$E$35,3,0),IF(G435="Diesel",VLOOKUP(C435,'PRECIO TERMINAL PEMEX'!$B$4:$E$35,4,0),"Seleccione Producto"))),"-")</f>
        <v>Seleccione Producto</v>
      </c>
      <c r="L435" s="93" t="str">
        <f>+IFERROR(IF(F435="VHSA",VLOOKUP(B435,Listas!$C$4:$F$17,2,0),IF(F435="DOS BOCAS",VLOOKUP(B435,Listas!$C$4:$F$17,3,0),IF(F435="GLENCORE",VLOOKUP(B435,Listas!$C$4:$F$17,4,0),"Seleccione TAR"))),"-")</f>
        <v>Seleccione TAR</v>
      </c>
      <c r="M435" s="19" t="str">
        <f>+IFERROR(IF(G435="Regular",VLOOKUP(C435,'DESCUENTO PROVEEDORES'!$B$4:$E$35,2,0),IF(G435="Premium",VLOOKUP(C435,'DESCUENTO PROVEEDORES'!$B$4:$E$35,3,0),IF(G435="Diesel",VLOOKUP(C435,'DESCUENTO PROVEEDORES'!$B$4:$E$35,4,0),"Seleccione Proveedor"))),"-")</f>
        <v>Seleccione Proveedor</v>
      </c>
      <c r="N435" s="20" t="e">
        <f>((((K435-H435)/1.16)-M435))</f>
        <v>#VALUE!</v>
      </c>
      <c r="O435" s="21" t="e">
        <f>((N435*16%)+N435)+H435+L435</f>
        <v>#VALUE!</v>
      </c>
      <c r="P435" s="21" t="e">
        <f>(((J435-O435)-H435)/1.16)+H435</f>
        <v>#VALUE!</v>
      </c>
      <c r="Q435" s="44"/>
      <c r="R435" s="24"/>
      <c r="S435" s="23" t="e">
        <f t="shared" si="18"/>
        <v>#DIV/0!</v>
      </c>
      <c r="T435" s="23" t="e">
        <f t="shared" si="19"/>
        <v>#DIV/0!</v>
      </c>
      <c r="U435" s="22" t="e">
        <f t="shared" si="20"/>
        <v>#DIV/0!</v>
      </c>
      <c r="V435" s="44"/>
      <c r="W435" s="44"/>
      <c r="X435" s="44"/>
      <c r="Y435" s="44"/>
      <c r="Z435" s="44"/>
    </row>
    <row r="436" spans="1:26" ht="15.75" customHeight="1">
      <c r="A436" s="44"/>
      <c r="B436" s="14"/>
      <c r="C436" s="53"/>
      <c r="D436" s="15"/>
      <c r="E436" s="89"/>
      <c r="F436" s="16"/>
      <c r="G436" s="16"/>
      <c r="H436" s="90" t="str">
        <f>IF(G436="Regular",Listas!$K$16,IF(G436="Premium",Listas!$K$17,IF(G436="Diesel",Listas!$K$18,"-")))</f>
        <v>-</v>
      </c>
      <c r="I436" s="17"/>
      <c r="J436" s="18"/>
      <c r="K436" s="19" t="str">
        <f>+IFERROR(IF(G436="Regular",VLOOKUP(C436,'PRECIO TERMINAL PEMEX'!$B$4:$E$35,2,0),IF(G436="Premium",VLOOKUP(C436,'PRECIO TERMINAL PEMEX'!$B$4:$E$35,3,0),IF(G436="Diesel",VLOOKUP(C436,'PRECIO TERMINAL PEMEX'!$B$4:$E$35,4,0),"Seleccione Producto"))),"-")</f>
        <v>Seleccione Producto</v>
      </c>
      <c r="L436" s="93" t="str">
        <f>+IFERROR(IF(F436="VHSA",VLOOKUP(B436,Listas!$C$4:$F$17,2,0),IF(F436="DOS BOCAS",VLOOKUP(B436,Listas!$C$4:$F$17,3,0),IF(F436="GLENCORE",VLOOKUP(B436,Listas!$C$4:$F$17,4,0),"Seleccione TAR"))),"-")</f>
        <v>Seleccione TAR</v>
      </c>
      <c r="M436" s="19" t="str">
        <f>+IFERROR(IF(G436="Regular",VLOOKUP(C436,'DESCUENTO PROVEEDORES'!$B$4:$E$35,2,0),IF(G436="Premium",VLOOKUP(C436,'DESCUENTO PROVEEDORES'!$B$4:$E$35,3,0),IF(G436="Diesel",VLOOKUP(C436,'DESCUENTO PROVEEDORES'!$B$4:$E$35,4,0),"Seleccione Proveedor"))),"-")</f>
        <v>Seleccione Proveedor</v>
      </c>
      <c r="N436" s="20" t="e">
        <f>((((K436-H436)/1.16)-M436))</f>
        <v>#VALUE!</v>
      </c>
      <c r="O436" s="21" t="e">
        <f>((N436*16%)+N436)+H436+L436</f>
        <v>#VALUE!</v>
      </c>
      <c r="P436" s="21" t="e">
        <f>(((J436-O436)-H436)/1.16)+H436</f>
        <v>#VALUE!</v>
      </c>
      <c r="Q436" s="44"/>
      <c r="R436" s="24"/>
      <c r="S436" s="23" t="e">
        <f t="shared" si="18"/>
        <v>#DIV/0!</v>
      </c>
      <c r="T436" s="23" t="e">
        <f t="shared" si="19"/>
        <v>#DIV/0!</v>
      </c>
      <c r="U436" s="22" t="e">
        <f t="shared" si="20"/>
        <v>#DIV/0!</v>
      </c>
      <c r="V436" s="44"/>
      <c r="W436" s="44"/>
      <c r="X436" s="44"/>
      <c r="Y436" s="44"/>
      <c r="Z436" s="44"/>
    </row>
    <row r="437" spans="1:26" ht="15.75" customHeight="1">
      <c r="A437" s="44"/>
      <c r="B437" s="14"/>
      <c r="C437" s="53"/>
      <c r="D437" s="15"/>
      <c r="E437" s="89"/>
      <c r="F437" s="16"/>
      <c r="G437" s="16"/>
      <c r="H437" s="90" t="str">
        <f>IF(G437="Regular",Listas!$K$16,IF(G437="Premium",Listas!$K$17,IF(G437="Diesel",Listas!$K$18,"-")))</f>
        <v>-</v>
      </c>
      <c r="I437" s="17"/>
      <c r="J437" s="18"/>
      <c r="K437" s="19" t="str">
        <f>+IFERROR(IF(G437="Regular",VLOOKUP(C437,'PRECIO TERMINAL PEMEX'!$B$4:$E$35,2,0),IF(G437="Premium",VLOOKUP(C437,'PRECIO TERMINAL PEMEX'!$B$4:$E$35,3,0),IF(G437="Diesel",VLOOKUP(C437,'PRECIO TERMINAL PEMEX'!$B$4:$E$35,4,0),"Seleccione Producto"))),"-")</f>
        <v>Seleccione Producto</v>
      </c>
      <c r="L437" s="93" t="str">
        <f>+IFERROR(IF(F437="VHSA",VLOOKUP(B437,Listas!$C$4:$F$17,2,0),IF(F437="DOS BOCAS",VLOOKUP(B437,Listas!$C$4:$F$17,3,0),IF(F437="GLENCORE",VLOOKUP(B437,Listas!$C$4:$F$17,4,0),"Seleccione TAR"))),"-")</f>
        <v>Seleccione TAR</v>
      </c>
      <c r="M437" s="19" t="str">
        <f>+IFERROR(IF(G437="Regular",VLOOKUP(C437,'DESCUENTO PROVEEDORES'!$B$4:$E$35,2,0),IF(G437="Premium",VLOOKUP(C437,'DESCUENTO PROVEEDORES'!$B$4:$E$35,3,0),IF(G437="Diesel",VLOOKUP(C437,'DESCUENTO PROVEEDORES'!$B$4:$E$35,4,0),"Seleccione Proveedor"))),"-")</f>
        <v>Seleccione Proveedor</v>
      </c>
      <c r="N437" s="20" t="e">
        <f>((((K437-H437)/1.16)-M437))</f>
        <v>#VALUE!</v>
      </c>
      <c r="O437" s="21" t="e">
        <f>((N437*16%)+N437)+H437+L437</f>
        <v>#VALUE!</v>
      </c>
      <c r="P437" s="21" t="e">
        <f>(((J437-O437)-H437)/1.16)+H437</f>
        <v>#VALUE!</v>
      </c>
      <c r="Q437" s="44"/>
      <c r="R437" s="24"/>
      <c r="S437" s="23" t="e">
        <f t="shared" si="18"/>
        <v>#DIV/0!</v>
      </c>
      <c r="T437" s="23" t="e">
        <f t="shared" si="19"/>
        <v>#DIV/0!</v>
      </c>
      <c r="U437" s="22" t="e">
        <f t="shared" si="20"/>
        <v>#DIV/0!</v>
      </c>
      <c r="V437" s="44"/>
      <c r="W437" s="44"/>
      <c r="X437" s="44"/>
      <c r="Y437" s="44"/>
      <c r="Z437" s="44"/>
    </row>
    <row r="438" spans="1:26" ht="15.75" customHeight="1">
      <c r="A438" s="44"/>
      <c r="B438" s="14"/>
      <c r="C438" s="53"/>
      <c r="D438" s="15"/>
      <c r="E438" s="89"/>
      <c r="F438" s="16"/>
      <c r="G438" s="16"/>
      <c r="H438" s="90" t="str">
        <f>IF(G438="Regular",Listas!$K$16,IF(G438="Premium",Listas!$K$17,IF(G438="Diesel",Listas!$K$18,"-")))</f>
        <v>-</v>
      </c>
      <c r="I438" s="17"/>
      <c r="J438" s="18"/>
      <c r="K438" s="19" t="str">
        <f>+IFERROR(IF(G438="Regular",VLOOKUP(C438,'PRECIO TERMINAL PEMEX'!$B$4:$E$35,2,0),IF(G438="Premium",VLOOKUP(C438,'PRECIO TERMINAL PEMEX'!$B$4:$E$35,3,0),IF(G438="Diesel",VLOOKUP(C438,'PRECIO TERMINAL PEMEX'!$B$4:$E$35,4,0),"Seleccione Producto"))),"-")</f>
        <v>Seleccione Producto</v>
      </c>
      <c r="L438" s="93" t="str">
        <f>+IFERROR(IF(F438="VHSA",VLOOKUP(B438,Listas!$C$4:$F$17,2,0),IF(F438="DOS BOCAS",VLOOKUP(B438,Listas!$C$4:$F$17,3,0),IF(F438="GLENCORE",VLOOKUP(B438,Listas!$C$4:$F$17,4,0),"Seleccione TAR"))),"-")</f>
        <v>Seleccione TAR</v>
      </c>
      <c r="M438" s="19" t="str">
        <f>+IFERROR(IF(G438="Regular",VLOOKUP(C438,'DESCUENTO PROVEEDORES'!$B$4:$E$35,2,0),IF(G438="Premium",VLOOKUP(C438,'DESCUENTO PROVEEDORES'!$B$4:$E$35,3,0),IF(G438="Diesel",VLOOKUP(C438,'DESCUENTO PROVEEDORES'!$B$4:$E$35,4,0),"Seleccione Proveedor"))),"-")</f>
        <v>Seleccione Proveedor</v>
      </c>
      <c r="N438" s="20" t="e">
        <f>((((K438-H438)/1.16)-M438))</f>
        <v>#VALUE!</v>
      </c>
      <c r="O438" s="21" t="e">
        <f>((N438*16%)+N438)+H438+L438</f>
        <v>#VALUE!</v>
      </c>
      <c r="P438" s="21" t="e">
        <f>(((J438-O438)-H438)/1.16)+H438</f>
        <v>#VALUE!</v>
      </c>
      <c r="Q438" s="44"/>
      <c r="R438" s="24"/>
      <c r="S438" s="23" t="e">
        <f t="shared" si="18"/>
        <v>#DIV/0!</v>
      </c>
      <c r="T438" s="23" t="e">
        <f t="shared" si="19"/>
        <v>#DIV/0!</v>
      </c>
      <c r="U438" s="22" t="e">
        <f t="shared" si="20"/>
        <v>#DIV/0!</v>
      </c>
      <c r="V438" s="44"/>
      <c r="W438" s="44"/>
      <c r="X438" s="44"/>
      <c r="Y438" s="44"/>
      <c r="Z438" s="44"/>
    </row>
    <row r="439" spans="1:26" ht="15.75" customHeight="1">
      <c r="A439" s="44"/>
      <c r="B439" s="14"/>
      <c r="C439" s="53"/>
      <c r="D439" s="15"/>
      <c r="E439" s="89"/>
      <c r="F439" s="16"/>
      <c r="G439" s="16"/>
      <c r="H439" s="90" t="str">
        <f>IF(G439="Regular",Listas!$K$16,IF(G439="Premium",Listas!$K$17,IF(G439="Diesel",Listas!$K$18,"-")))</f>
        <v>-</v>
      </c>
      <c r="I439" s="17"/>
      <c r="J439" s="18"/>
      <c r="K439" s="19" t="str">
        <f>+IFERROR(IF(G439="Regular",VLOOKUP(C439,'PRECIO TERMINAL PEMEX'!$B$4:$E$35,2,0),IF(G439="Premium",VLOOKUP(C439,'PRECIO TERMINAL PEMEX'!$B$4:$E$35,3,0),IF(G439="Diesel",VLOOKUP(C439,'PRECIO TERMINAL PEMEX'!$B$4:$E$35,4,0),"Seleccione Producto"))),"-")</f>
        <v>Seleccione Producto</v>
      </c>
      <c r="L439" s="93" t="str">
        <f>+IFERROR(IF(F439="VHSA",VLOOKUP(B439,Listas!$C$4:$F$17,2,0),IF(F439="DOS BOCAS",VLOOKUP(B439,Listas!$C$4:$F$17,3,0),IF(F439="GLENCORE",VLOOKUP(B439,Listas!$C$4:$F$17,4,0),"Seleccione TAR"))),"-")</f>
        <v>Seleccione TAR</v>
      </c>
      <c r="M439" s="19" t="str">
        <f>+IFERROR(IF(G439="Regular",VLOOKUP(C439,'DESCUENTO PROVEEDORES'!$B$4:$E$35,2,0),IF(G439="Premium",VLOOKUP(C439,'DESCUENTO PROVEEDORES'!$B$4:$E$35,3,0),IF(G439="Diesel",VLOOKUP(C439,'DESCUENTO PROVEEDORES'!$B$4:$E$35,4,0),"Seleccione Proveedor"))),"-")</f>
        <v>Seleccione Proveedor</v>
      </c>
      <c r="N439" s="20" t="e">
        <f>((((K439-H439)/1.16)-M439))</f>
        <v>#VALUE!</v>
      </c>
      <c r="O439" s="21" t="e">
        <f>((N439*16%)+N439)+H439+L439</f>
        <v>#VALUE!</v>
      </c>
      <c r="P439" s="21" t="e">
        <f>(((J439-O439)-H439)/1.16)+H439</f>
        <v>#VALUE!</v>
      </c>
      <c r="Q439" s="44"/>
      <c r="R439" s="24"/>
      <c r="S439" s="23" t="e">
        <f t="shared" si="18"/>
        <v>#DIV/0!</v>
      </c>
      <c r="T439" s="23" t="e">
        <f t="shared" si="19"/>
        <v>#DIV/0!</v>
      </c>
      <c r="U439" s="22" t="e">
        <f t="shared" si="20"/>
        <v>#DIV/0!</v>
      </c>
      <c r="V439" s="44"/>
      <c r="W439" s="44"/>
      <c r="X439" s="44"/>
      <c r="Y439" s="44"/>
      <c r="Z439" s="44"/>
    </row>
    <row r="440" spans="1:26" ht="15.75" customHeight="1">
      <c r="A440" s="44"/>
      <c r="B440" s="14"/>
      <c r="C440" s="53"/>
      <c r="D440" s="15"/>
      <c r="E440" s="89"/>
      <c r="F440" s="16"/>
      <c r="G440" s="16"/>
      <c r="H440" s="90" t="str">
        <f>IF(G440="Regular",Listas!$K$16,IF(G440="Premium",Listas!$K$17,IF(G440="Diesel",Listas!$K$18,"-")))</f>
        <v>-</v>
      </c>
      <c r="I440" s="17"/>
      <c r="J440" s="18"/>
      <c r="K440" s="19" t="str">
        <f>+IFERROR(IF(G440="Regular",VLOOKUP(C440,'PRECIO TERMINAL PEMEX'!$B$4:$E$35,2,0),IF(G440="Premium",VLOOKUP(C440,'PRECIO TERMINAL PEMEX'!$B$4:$E$35,3,0),IF(G440="Diesel",VLOOKUP(C440,'PRECIO TERMINAL PEMEX'!$B$4:$E$35,4,0),"Seleccione Producto"))),"-")</f>
        <v>Seleccione Producto</v>
      </c>
      <c r="L440" s="93" t="str">
        <f>+IFERROR(IF(F440="VHSA",VLOOKUP(B440,Listas!$C$4:$F$17,2,0),IF(F440="DOS BOCAS",VLOOKUP(B440,Listas!$C$4:$F$17,3,0),IF(F440="GLENCORE",VLOOKUP(B440,Listas!$C$4:$F$17,4,0),"Seleccione TAR"))),"-")</f>
        <v>Seleccione TAR</v>
      </c>
      <c r="M440" s="19" t="str">
        <f>+IFERROR(IF(G440="Regular",VLOOKUP(C440,'DESCUENTO PROVEEDORES'!$B$4:$E$35,2,0),IF(G440="Premium",VLOOKUP(C440,'DESCUENTO PROVEEDORES'!$B$4:$E$35,3,0),IF(G440="Diesel",VLOOKUP(C440,'DESCUENTO PROVEEDORES'!$B$4:$E$35,4,0),"Seleccione Proveedor"))),"-")</f>
        <v>Seleccione Proveedor</v>
      </c>
      <c r="N440" s="20" t="e">
        <f>((((K440-H440)/1.16)-M440))</f>
        <v>#VALUE!</v>
      </c>
      <c r="O440" s="21" t="e">
        <f>((N440*16%)+N440)+H440+L440</f>
        <v>#VALUE!</v>
      </c>
      <c r="P440" s="21" t="e">
        <f>(((J440-O440)-H440)/1.16)+H440</f>
        <v>#VALUE!</v>
      </c>
      <c r="Q440" s="44"/>
      <c r="R440" s="24"/>
      <c r="S440" s="23" t="e">
        <f t="shared" si="18"/>
        <v>#DIV/0!</v>
      </c>
      <c r="T440" s="23" t="e">
        <f t="shared" si="19"/>
        <v>#DIV/0!</v>
      </c>
      <c r="U440" s="22" t="e">
        <f t="shared" si="20"/>
        <v>#DIV/0!</v>
      </c>
      <c r="V440" s="44"/>
      <c r="W440" s="44"/>
      <c r="X440" s="44"/>
      <c r="Y440" s="44"/>
      <c r="Z440" s="44"/>
    </row>
    <row r="441" spans="1:26" ht="15.75" customHeight="1">
      <c r="A441" s="44"/>
      <c r="B441" s="14"/>
      <c r="C441" s="53"/>
      <c r="D441" s="15"/>
      <c r="E441" s="89"/>
      <c r="F441" s="16"/>
      <c r="G441" s="16"/>
      <c r="H441" s="90" t="str">
        <f>IF(G441="Regular",Listas!$K$16,IF(G441="Premium",Listas!$K$17,IF(G441="Diesel",Listas!$K$18,"-")))</f>
        <v>-</v>
      </c>
      <c r="I441" s="17"/>
      <c r="J441" s="18"/>
      <c r="K441" s="19" t="str">
        <f>+IFERROR(IF(G441="Regular",VLOOKUP(C441,'PRECIO TERMINAL PEMEX'!$B$4:$E$35,2,0),IF(G441="Premium",VLOOKUP(C441,'PRECIO TERMINAL PEMEX'!$B$4:$E$35,3,0),IF(G441="Diesel",VLOOKUP(C441,'PRECIO TERMINAL PEMEX'!$B$4:$E$35,4,0),"Seleccione Producto"))),"-")</f>
        <v>Seleccione Producto</v>
      </c>
      <c r="L441" s="93" t="str">
        <f>+IFERROR(IF(F441="VHSA",VLOOKUP(B441,Listas!$C$4:$F$17,2,0),IF(F441="DOS BOCAS",VLOOKUP(B441,Listas!$C$4:$F$17,3,0),IF(F441="GLENCORE",VLOOKUP(B441,Listas!$C$4:$F$17,4,0),"Seleccione TAR"))),"-")</f>
        <v>Seleccione TAR</v>
      </c>
      <c r="M441" s="19" t="str">
        <f>+IFERROR(IF(G441="Regular",VLOOKUP(C441,'DESCUENTO PROVEEDORES'!$B$4:$E$35,2,0),IF(G441="Premium",VLOOKUP(C441,'DESCUENTO PROVEEDORES'!$B$4:$E$35,3,0),IF(G441="Diesel",VLOOKUP(C441,'DESCUENTO PROVEEDORES'!$B$4:$E$35,4,0),"Seleccione Proveedor"))),"-")</f>
        <v>Seleccione Proveedor</v>
      </c>
      <c r="N441" s="20" t="e">
        <f>((((K441-H441)/1.16)-M441))</f>
        <v>#VALUE!</v>
      </c>
      <c r="O441" s="21" t="e">
        <f>((N441*16%)+N441)+H441+L441</f>
        <v>#VALUE!</v>
      </c>
      <c r="P441" s="21" t="e">
        <f>(((J441-O441)-H441)/1.16)+H441</f>
        <v>#VALUE!</v>
      </c>
      <c r="Q441" s="44"/>
      <c r="R441" s="24"/>
      <c r="S441" s="23" t="e">
        <f t="shared" si="18"/>
        <v>#DIV/0!</v>
      </c>
      <c r="T441" s="23" t="e">
        <f t="shared" si="19"/>
        <v>#DIV/0!</v>
      </c>
      <c r="U441" s="22" t="e">
        <f t="shared" si="20"/>
        <v>#DIV/0!</v>
      </c>
      <c r="V441" s="44"/>
      <c r="W441" s="44"/>
      <c r="X441" s="44"/>
      <c r="Y441" s="44"/>
      <c r="Z441" s="44"/>
    </row>
    <row r="442" spans="1:26" ht="15.75" customHeight="1">
      <c r="A442" s="44"/>
      <c r="B442" s="14"/>
      <c r="C442" s="53"/>
      <c r="D442" s="15"/>
      <c r="E442" s="89"/>
      <c r="F442" s="16"/>
      <c r="G442" s="16"/>
      <c r="H442" s="90" t="str">
        <f>IF(G442="Regular",Listas!$K$16,IF(G442="Premium",Listas!$K$17,IF(G442="Diesel",Listas!$K$18,"-")))</f>
        <v>-</v>
      </c>
      <c r="I442" s="17"/>
      <c r="J442" s="18"/>
      <c r="K442" s="19" t="str">
        <f>+IFERROR(IF(G442="Regular",VLOOKUP(C442,'PRECIO TERMINAL PEMEX'!$B$4:$E$35,2,0),IF(G442="Premium",VLOOKUP(C442,'PRECIO TERMINAL PEMEX'!$B$4:$E$35,3,0),IF(G442="Diesel",VLOOKUP(C442,'PRECIO TERMINAL PEMEX'!$B$4:$E$35,4,0),"Seleccione Producto"))),"-")</f>
        <v>Seleccione Producto</v>
      </c>
      <c r="L442" s="93" t="str">
        <f>+IFERROR(IF(F442="VHSA",VLOOKUP(B442,Listas!$C$4:$F$17,2,0),IF(F442="DOS BOCAS",VLOOKUP(B442,Listas!$C$4:$F$17,3,0),IF(F442="GLENCORE",VLOOKUP(B442,Listas!$C$4:$F$17,4,0),"Seleccione TAR"))),"-")</f>
        <v>Seleccione TAR</v>
      </c>
      <c r="M442" s="19" t="str">
        <f>+IFERROR(IF(G442="Regular",VLOOKUP(C442,'DESCUENTO PROVEEDORES'!$B$4:$E$35,2,0),IF(G442="Premium",VLOOKUP(C442,'DESCUENTO PROVEEDORES'!$B$4:$E$35,3,0),IF(G442="Diesel",VLOOKUP(C442,'DESCUENTO PROVEEDORES'!$B$4:$E$35,4,0),"Seleccione Proveedor"))),"-")</f>
        <v>Seleccione Proveedor</v>
      </c>
      <c r="N442" s="20" t="e">
        <f>((((K442-H442)/1.16)-M442))</f>
        <v>#VALUE!</v>
      </c>
      <c r="O442" s="21" t="e">
        <f>((N442*16%)+N442)+H442+L442</f>
        <v>#VALUE!</v>
      </c>
      <c r="P442" s="21" t="e">
        <f>(((J442-O442)-H442)/1.16)+H442</f>
        <v>#VALUE!</v>
      </c>
      <c r="Q442" s="44"/>
      <c r="R442" s="24"/>
      <c r="S442" s="23" t="e">
        <f t="shared" si="18"/>
        <v>#DIV/0!</v>
      </c>
      <c r="T442" s="23" t="e">
        <f t="shared" si="19"/>
        <v>#DIV/0!</v>
      </c>
      <c r="U442" s="22" t="e">
        <f t="shared" si="20"/>
        <v>#DIV/0!</v>
      </c>
      <c r="V442" s="44"/>
      <c r="W442" s="44"/>
      <c r="X442" s="44"/>
      <c r="Y442" s="44"/>
      <c r="Z442" s="44"/>
    </row>
    <row r="443" spans="1:26" ht="15.75" customHeight="1">
      <c r="A443" s="44"/>
      <c r="B443" s="14"/>
      <c r="C443" s="53"/>
      <c r="D443" s="15"/>
      <c r="E443" s="89"/>
      <c r="F443" s="16"/>
      <c r="G443" s="16"/>
      <c r="H443" s="90" t="str">
        <f>IF(G443="Regular",Listas!$K$16,IF(G443="Premium",Listas!$K$17,IF(G443="Diesel",Listas!$K$18,"-")))</f>
        <v>-</v>
      </c>
      <c r="I443" s="17"/>
      <c r="J443" s="18"/>
      <c r="K443" s="19" t="str">
        <f>+IFERROR(IF(G443="Regular",VLOOKUP(C443,'PRECIO TERMINAL PEMEX'!$B$4:$E$35,2,0),IF(G443="Premium",VLOOKUP(C443,'PRECIO TERMINAL PEMEX'!$B$4:$E$35,3,0),IF(G443="Diesel",VLOOKUP(C443,'PRECIO TERMINAL PEMEX'!$B$4:$E$35,4,0),"Seleccione Producto"))),"-")</f>
        <v>Seleccione Producto</v>
      </c>
      <c r="L443" s="93" t="str">
        <f>+IFERROR(IF(F443="VHSA",VLOOKUP(B443,Listas!$C$4:$F$17,2,0),IF(F443="DOS BOCAS",VLOOKUP(B443,Listas!$C$4:$F$17,3,0),IF(F443="GLENCORE",VLOOKUP(B443,Listas!$C$4:$F$17,4,0),"Seleccione TAR"))),"-")</f>
        <v>Seleccione TAR</v>
      </c>
      <c r="M443" s="19" t="str">
        <f>+IFERROR(IF(G443="Regular",VLOOKUP(C443,'DESCUENTO PROVEEDORES'!$B$4:$E$35,2,0),IF(G443="Premium",VLOOKUP(C443,'DESCUENTO PROVEEDORES'!$B$4:$E$35,3,0),IF(G443="Diesel",VLOOKUP(C443,'DESCUENTO PROVEEDORES'!$B$4:$E$35,4,0),"Seleccione Proveedor"))),"-")</f>
        <v>Seleccione Proveedor</v>
      </c>
      <c r="N443" s="20" t="e">
        <f>((((K443-H443)/1.16)-M443))</f>
        <v>#VALUE!</v>
      </c>
      <c r="O443" s="21" t="e">
        <f>((N443*16%)+N443)+H443+L443</f>
        <v>#VALUE!</v>
      </c>
      <c r="P443" s="21" t="e">
        <f>(((J443-O443)-H443)/1.16)+H443</f>
        <v>#VALUE!</v>
      </c>
      <c r="Q443" s="44"/>
      <c r="R443" s="24"/>
      <c r="S443" s="23" t="e">
        <f t="shared" si="18"/>
        <v>#DIV/0!</v>
      </c>
      <c r="T443" s="23" t="e">
        <f t="shared" si="19"/>
        <v>#DIV/0!</v>
      </c>
      <c r="U443" s="22" t="e">
        <f t="shared" si="20"/>
        <v>#DIV/0!</v>
      </c>
      <c r="V443" s="44"/>
      <c r="W443" s="44"/>
      <c r="X443" s="44"/>
      <c r="Y443" s="44"/>
      <c r="Z443" s="44"/>
    </row>
    <row r="444" spans="1:26" ht="15.75" customHeight="1">
      <c r="A444" s="44"/>
      <c r="B444" s="14"/>
      <c r="C444" s="53"/>
      <c r="D444" s="15"/>
      <c r="E444" s="89"/>
      <c r="F444" s="16"/>
      <c r="G444" s="16"/>
      <c r="H444" s="90" t="str">
        <f>IF(G444="Regular",Listas!$K$16,IF(G444="Premium",Listas!$K$17,IF(G444="Diesel",Listas!$K$18,"-")))</f>
        <v>-</v>
      </c>
      <c r="I444" s="17"/>
      <c r="J444" s="18"/>
      <c r="K444" s="19" t="str">
        <f>+IFERROR(IF(G444="Regular",VLOOKUP(C444,'PRECIO TERMINAL PEMEX'!$B$4:$E$35,2,0),IF(G444="Premium",VLOOKUP(C444,'PRECIO TERMINAL PEMEX'!$B$4:$E$35,3,0),IF(G444="Diesel",VLOOKUP(C444,'PRECIO TERMINAL PEMEX'!$B$4:$E$35,4,0),"Seleccione Producto"))),"-")</f>
        <v>Seleccione Producto</v>
      </c>
      <c r="L444" s="93" t="str">
        <f>+IFERROR(IF(F444="VHSA",VLOOKUP(B444,Listas!$C$4:$F$17,2,0),IF(F444="DOS BOCAS",VLOOKUP(B444,Listas!$C$4:$F$17,3,0),IF(F444="GLENCORE",VLOOKUP(B444,Listas!$C$4:$F$17,4,0),"Seleccione TAR"))),"-")</f>
        <v>Seleccione TAR</v>
      </c>
      <c r="M444" s="19" t="str">
        <f>+IFERROR(IF(G444="Regular",VLOOKUP(C444,'DESCUENTO PROVEEDORES'!$B$4:$E$35,2,0),IF(G444="Premium",VLOOKUP(C444,'DESCUENTO PROVEEDORES'!$B$4:$E$35,3,0),IF(G444="Diesel",VLOOKUP(C444,'DESCUENTO PROVEEDORES'!$B$4:$E$35,4,0),"Seleccione Proveedor"))),"-")</f>
        <v>Seleccione Proveedor</v>
      </c>
      <c r="N444" s="20" t="e">
        <f>((((K444-H444)/1.16)-M444))</f>
        <v>#VALUE!</v>
      </c>
      <c r="O444" s="21" t="e">
        <f>((N444*16%)+N444)+H444+L444</f>
        <v>#VALUE!</v>
      </c>
      <c r="P444" s="21" t="e">
        <f>(((J444-O444)-H444)/1.16)+H444</f>
        <v>#VALUE!</v>
      </c>
      <c r="Q444" s="44"/>
      <c r="R444" s="24"/>
      <c r="S444" s="23" t="e">
        <f t="shared" si="18"/>
        <v>#DIV/0!</v>
      </c>
      <c r="T444" s="23" t="e">
        <f t="shared" si="19"/>
        <v>#DIV/0!</v>
      </c>
      <c r="U444" s="22" t="e">
        <f t="shared" si="20"/>
        <v>#DIV/0!</v>
      </c>
      <c r="V444" s="44"/>
      <c r="W444" s="44"/>
      <c r="X444" s="44"/>
      <c r="Y444" s="44"/>
      <c r="Z444" s="44"/>
    </row>
    <row r="445" spans="1:26" ht="15.75" customHeight="1">
      <c r="A445" s="44"/>
      <c r="B445" s="14"/>
      <c r="C445" s="53"/>
      <c r="D445" s="15"/>
      <c r="E445" s="89"/>
      <c r="F445" s="16"/>
      <c r="G445" s="16"/>
      <c r="H445" s="90" t="str">
        <f>IF(G445="Regular",Listas!$K$16,IF(G445="Premium",Listas!$K$17,IF(G445="Diesel",Listas!$K$18,"-")))</f>
        <v>-</v>
      </c>
      <c r="I445" s="17"/>
      <c r="J445" s="18"/>
      <c r="K445" s="19" t="str">
        <f>+IFERROR(IF(G445="Regular",VLOOKUP(C445,'PRECIO TERMINAL PEMEX'!$B$4:$E$35,2,0),IF(G445="Premium",VLOOKUP(C445,'PRECIO TERMINAL PEMEX'!$B$4:$E$35,3,0),IF(G445="Diesel",VLOOKUP(C445,'PRECIO TERMINAL PEMEX'!$B$4:$E$35,4,0),"Seleccione Producto"))),"-")</f>
        <v>Seleccione Producto</v>
      </c>
      <c r="L445" s="93" t="str">
        <f>+IFERROR(IF(F445="VHSA",VLOOKUP(B445,Listas!$C$4:$F$17,2,0),IF(F445="DOS BOCAS",VLOOKUP(B445,Listas!$C$4:$F$17,3,0),IF(F445="GLENCORE",VLOOKUP(B445,Listas!$C$4:$F$17,4,0),"Seleccione TAR"))),"-")</f>
        <v>Seleccione TAR</v>
      </c>
      <c r="M445" s="19" t="str">
        <f>+IFERROR(IF(G445="Regular",VLOOKUP(C445,'DESCUENTO PROVEEDORES'!$B$4:$E$35,2,0),IF(G445="Premium",VLOOKUP(C445,'DESCUENTO PROVEEDORES'!$B$4:$E$35,3,0),IF(G445="Diesel",VLOOKUP(C445,'DESCUENTO PROVEEDORES'!$B$4:$E$35,4,0),"Seleccione Proveedor"))),"-")</f>
        <v>Seleccione Proveedor</v>
      </c>
      <c r="N445" s="20" t="e">
        <f>((((K445-H445)/1.16)-M445))</f>
        <v>#VALUE!</v>
      </c>
      <c r="O445" s="21" t="e">
        <f>((N445*16%)+N445)+H445+L445</f>
        <v>#VALUE!</v>
      </c>
      <c r="P445" s="21" t="e">
        <f>(((J445-O445)-H445)/1.16)+H445</f>
        <v>#VALUE!</v>
      </c>
      <c r="Q445" s="44"/>
      <c r="R445" s="24"/>
      <c r="S445" s="23" t="e">
        <f t="shared" si="18"/>
        <v>#DIV/0!</v>
      </c>
      <c r="T445" s="23" t="e">
        <f t="shared" si="19"/>
        <v>#DIV/0!</v>
      </c>
      <c r="U445" s="22" t="e">
        <f t="shared" si="20"/>
        <v>#DIV/0!</v>
      </c>
      <c r="V445" s="44"/>
      <c r="W445" s="44"/>
      <c r="X445" s="44"/>
      <c r="Y445" s="44"/>
      <c r="Z445" s="44"/>
    </row>
    <row r="446" spans="1:26" ht="15.75" customHeight="1">
      <c r="A446" s="44"/>
      <c r="B446" s="14"/>
      <c r="C446" s="53"/>
      <c r="D446" s="15"/>
      <c r="E446" s="89"/>
      <c r="F446" s="16"/>
      <c r="G446" s="16"/>
      <c r="H446" s="90" t="str">
        <f>IF(G446="Regular",Listas!$K$16,IF(G446="Premium",Listas!$K$17,IF(G446="Diesel",Listas!$K$18,"-")))</f>
        <v>-</v>
      </c>
      <c r="I446" s="17"/>
      <c r="J446" s="18"/>
      <c r="K446" s="19" t="str">
        <f>+IFERROR(IF(G446="Regular",VLOOKUP(C446,'PRECIO TERMINAL PEMEX'!$B$4:$E$35,2,0),IF(G446="Premium",VLOOKUP(C446,'PRECIO TERMINAL PEMEX'!$B$4:$E$35,3,0),IF(G446="Diesel",VLOOKUP(C446,'PRECIO TERMINAL PEMEX'!$B$4:$E$35,4,0),"Seleccione Producto"))),"-")</f>
        <v>Seleccione Producto</v>
      </c>
      <c r="L446" s="93" t="str">
        <f>+IFERROR(IF(F446="VHSA",VLOOKUP(B446,Listas!$C$4:$F$17,2,0),IF(F446="DOS BOCAS",VLOOKUP(B446,Listas!$C$4:$F$17,3,0),IF(F446="GLENCORE",VLOOKUP(B446,Listas!$C$4:$F$17,4,0),"Seleccione TAR"))),"-")</f>
        <v>Seleccione TAR</v>
      </c>
      <c r="M446" s="19" t="str">
        <f>+IFERROR(IF(G446="Regular",VLOOKUP(C446,'DESCUENTO PROVEEDORES'!$B$4:$E$35,2,0),IF(G446="Premium",VLOOKUP(C446,'DESCUENTO PROVEEDORES'!$B$4:$E$35,3,0),IF(G446="Diesel",VLOOKUP(C446,'DESCUENTO PROVEEDORES'!$B$4:$E$35,4,0),"Seleccione Proveedor"))),"-")</f>
        <v>Seleccione Proveedor</v>
      </c>
      <c r="N446" s="20" t="e">
        <f>((((K446-H446)/1.16)-M446))</f>
        <v>#VALUE!</v>
      </c>
      <c r="O446" s="21" t="e">
        <f>((N446*16%)+N446)+H446+L446</f>
        <v>#VALUE!</v>
      </c>
      <c r="P446" s="21" t="e">
        <f>(((J446-O446)-H446)/1.16)+H446</f>
        <v>#VALUE!</v>
      </c>
      <c r="Q446" s="44"/>
      <c r="R446" s="24"/>
      <c r="S446" s="23" t="e">
        <f t="shared" si="18"/>
        <v>#DIV/0!</v>
      </c>
      <c r="T446" s="23" t="e">
        <f t="shared" si="19"/>
        <v>#DIV/0!</v>
      </c>
      <c r="U446" s="22" t="e">
        <f t="shared" si="20"/>
        <v>#DIV/0!</v>
      </c>
      <c r="V446" s="44"/>
      <c r="W446" s="44"/>
      <c r="X446" s="44"/>
      <c r="Y446" s="44"/>
      <c r="Z446" s="44"/>
    </row>
    <row r="447" spans="1:26" ht="15.75" customHeight="1">
      <c r="A447" s="44"/>
      <c r="B447" s="14"/>
      <c r="C447" s="53"/>
      <c r="D447" s="15"/>
      <c r="E447" s="89"/>
      <c r="F447" s="16"/>
      <c r="G447" s="16"/>
      <c r="H447" s="90" t="str">
        <f>IF(G447="Regular",Listas!$K$16,IF(G447="Premium",Listas!$K$17,IF(G447="Diesel",Listas!$K$18,"-")))</f>
        <v>-</v>
      </c>
      <c r="I447" s="17"/>
      <c r="J447" s="18"/>
      <c r="K447" s="19" t="str">
        <f>+IFERROR(IF(G447="Regular",VLOOKUP(C447,'PRECIO TERMINAL PEMEX'!$B$4:$E$35,2,0),IF(G447="Premium",VLOOKUP(C447,'PRECIO TERMINAL PEMEX'!$B$4:$E$35,3,0),IF(G447="Diesel",VLOOKUP(C447,'PRECIO TERMINAL PEMEX'!$B$4:$E$35,4,0),"Seleccione Producto"))),"-")</f>
        <v>Seleccione Producto</v>
      </c>
      <c r="L447" s="93" t="str">
        <f>+IFERROR(IF(F447="VHSA",VLOOKUP(B447,Listas!$C$4:$F$17,2,0),IF(F447="DOS BOCAS",VLOOKUP(B447,Listas!$C$4:$F$17,3,0),IF(F447="GLENCORE",VLOOKUP(B447,Listas!$C$4:$F$17,4,0),"Seleccione TAR"))),"-")</f>
        <v>Seleccione TAR</v>
      </c>
      <c r="M447" s="19" t="str">
        <f>+IFERROR(IF(G447="Regular",VLOOKUP(C447,'DESCUENTO PROVEEDORES'!$B$4:$E$35,2,0),IF(G447="Premium",VLOOKUP(C447,'DESCUENTO PROVEEDORES'!$B$4:$E$35,3,0),IF(G447="Diesel",VLOOKUP(C447,'DESCUENTO PROVEEDORES'!$B$4:$E$35,4,0),"Seleccione Proveedor"))),"-")</f>
        <v>Seleccione Proveedor</v>
      </c>
      <c r="N447" s="20" t="e">
        <f>((((K447-H447)/1.16)-M447))</f>
        <v>#VALUE!</v>
      </c>
      <c r="O447" s="21" t="e">
        <f>((N447*16%)+N447)+H447+L447</f>
        <v>#VALUE!</v>
      </c>
      <c r="P447" s="21" t="e">
        <f>(((J447-O447)-H447)/1.16)+H447</f>
        <v>#VALUE!</v>
      </c>
      <c r="Q447" s="44"/>
      <c r="R447" s="24"/>
      <c r="S447" s="23" t="e">
        <f t="shared" si="18"/>
        <v>#DIV/0!</v>
      </c>
      <c r="T447" s="23" t="e">
        <f t="shared" si="19"/>
        <v>#DIV/0!</v>
      </c>
      <c r="U447" s="22" t="e">
        <f t="shared" si="20"/>
        <v>#DIV/0!</v>
      </c>
      <c r="V447" s="44"/>
      <c r="W447" s="44"/>
      <c r="X447" s="44"/>
      <c r="Y447" s="44"/>
      <c r="Z447" s="44"/>
    </row>
    <row r="448" spans="1:26" ht="15.75" customHeight="1">
      <c r="A448" s="44"/>
      <c r="B448" s="14"/>
      <c r="C448" s="53"/>
      <c r="D448" s="15"/>
      <c r="E448" s="89"/>
      <c r="F448" s="16"/>
      <c r="G448" s="16"/>
      <c r="H448" s="90" t="str">
        <f>IF(G448="Regular",Listas!$K$16,IF(G448="Premium",Listas!$K$17,IF(G448="Diesel",Listas!$K$18,"-")))</f>
        <v>-</v>
      </c>
      <c r="I448" s="17"/>
      <c r="J448" s="18"/>
      <c r="K448" s="19" t="str">
        <f>+IFERROR(IF(G448="Regular",VLOOKUP(C448,'PRECIO TERMINAL PEMEX'!$B$4:$E$35,2,0),IF(G448="Premium",VLOOKUP(C448,'PRECIO TERMINAL PEMEX'!$B$4:$E$35,3,0),IF(G448="Diesel",VLOOKUP(C448,'PRECIO TERMINAL PEMEX'!$B$4:$E$35,4,0),"Seleccione Producto"))),"-")</f>
        <v>Seleccione Producto</v>
      </c>
      <c r="L448" s="93" t="str">
        <f>+IFERROR(IF(F448="VHSA",VLOOKUP(B448,Listas!$C$4:$F$17,2,0),IF(F448="DOS BOCAS",VLOOKUP(B448,Listas!$C$4:$F$17,3,0),IF(F448="GLENCORE",VLOOKUP(B448,Listas!$C$4:$F$17,4,0),"Seleccione TAR"))),"-")</f>
        <v>Seleccione TAR</v>
      </c>
      <c r="M448" s="19" t="str">
        <f>+IFERROR(IF(G448="Regular",VLOOKUP(C448,'DESCUENTO PROVEEDORES'!$B$4:$E$35,2,0),IF(G448="Premium",VLOOKUP(C448,'DESCUENTO PROVEEDORES'!$B$4:$E$35,3,0),IF(G448="Diesel",VLOOKUP(C448,'DESCUENTO PROVEEDORES'!$B$4:$E$35,4,0),"Seleccione Proveedor"))),"-")</f>
        <v>Seleccione Proveedor</v>
      </c>
      <c r="N448" s="20" t="e">
        <f>((((K448-H448)/1.16)-M448))</f>
        <v>#VALUE!</v>
      </c>
      <c r="O448" s="21" t="e">
        <f>((N448*16%)+N448)+H448+L448</f>
        <v>#VALUE!</v>
      </c>
      <c r="P448" s="21" t="e">
        <f>(((J448-O448)-H448)/1.16)+H448</f>
        <v>#VALUE!</v>
      </c>
      <c r="Q448" s="44"/>
      <c r="R448" s="24"/>
      <c r="S448" s="23" t="e">
        <f t="shared" si="18"/>
        <v>#DIV/0!</v>
      </c>
      <c r="T448" s="23" t="e">
        <f t="shared" si="19"/>
        <v>#DIV/0!</v>
      </c>
      <c r="U448" s="22" t="e">
        <f t="shared" si="20"/>
        <v>#DIV/0!</v>
      </c>
      <c r="V448" s="44"/>
      <c r="W448" s="44"/>
      <c r="X448" s="44"/>
      <c r="Y448" s="44"/>
      <c r="Z448" s="44"/>
    </row>
    <row r="449" spans="1:26" ht="15.75" customHeight="1">
      <c r="A449" s="44"/>
      <c r="B449" s="14"/>
      <c r="C449" s="53"/>
      <c r="D449" s="15"/>
      <c r="E449" s="89"/>
      <c r="F449" s="16"/>
      <c r="G449" s="16"/>
      <c r="H449" s="90" t="str">
        <f>IF(G449="Regular",Listas!$K$16,IF(G449="Premium",Listas!$K$17,IF(G449="Diesel",Listas!$K$18,"-")))</f>
        <v>-</v>
      </c>
      <c r="I449" s="17"/>
      <c r="J449" s="18"/>
      <c r="K449" s="19" t="str">
        <f>+IFERROR(IF(G449="Regular",VLOOKUP(C449,'PRECIO TERMINAL PEMEX'!$B$4:$E$35,2,0),IF(G449="Premium",VLOOKUP(C449,'PRECIO TERMINAL PEMEX'!$B$4:$E$35,3,0),IF(G449="Diesel",VLOOKUP(C449,'PRECIO TERMINAL PEMEX'!$B$4:$E$35,4,0),"Seleccione Producto"))),"-")</f>
        <v>Seleccione Producto</v>
      </c>
      <c r="L449" s="93" t="str">
        <f>+IFERROR(IF(F449="VHSA",VLOOKUP(B449,Listas!$C$4:$F$17,2,0),IF(F449="DOS BOCAS",VLOOKUP(B449,Listas!$C$4:$F$17,3,0),IF(F449="GLENCORE",VLOOKUP(B449,Listas!$C$4:$F$17,4,0),"Seleccione TAR"))),"-")</f>
        <v>Seleccione TAR</v>
      </c>
      <c r="M449" s="19" t="str">
        <f>+IFERROR(IF(G449="Regular",VLOOKUP(C449,'DESCUENTO PROVEEDORES'!$B$4:$E$35,2,0),IF(G449="Premium",VLOOKUP(C449,'DESCUENTO PROVEEDORES'!$B$4:$E$35,3,0),IF(G449="Diesel",VLOOKUP(C449,'DESCUENTO PROVEEDORES'!$B$4:$E$35,4,0),"Seleccione Proveedor"))),"-")</f>
        <v>Seleccione Proveedor</v>
      </c>
      <c r="N449" s="20" t="e">
        <f>((((K449-H449)/1.16)-M449))</f>
        <v>#VALUE!</v>
      </c>
      <c r="O449" s="21" t="e">
        <f>((N449*16%)+N449)+H449+L449</f>
        <v>#VALUE!</v>
      </c>
      <c r="P449" s="21" t="e">
        <f>(((J449-O449)-H449)/1.16)+H449</f>
        <v>#VALUE!</v>
      </c>
      <c r="Q449" s="44"/>
      <c r="R449" s="24"/>
      <c r="S449" s="23" t="e">
        <f t="shared" si="18"/>
        <v>#DIV/0!</v>
      </c>
      <c r="T449" s="23" t="e">
        <f t="shared" si="19"/>
        <v>#DIV/0!</v>
      </c>
      <c r="U449" s="22" t="e">
        <f t="shared" si="20"/>
        <v>#DIV/0!</v>
      </c>
      <c r="V449" s="44"/>
      <c r="W449" s="44"/>
      <c r="X449" s="44"/>
      <c r="Y449" s="44"/>
      <c r="Z449" s="44"/>
    </row>
    <row r="450" spans="1:26" ht="15.75" customHeight="1">
      <c r="A450" s="44"/>
      <c r="B450" s="14"/>
      <c r="C450" s="53"/>
      <c r="D450" s="15"/>
      <c r="E450" s="89"/>
      <c r="F450" s="16"/>
      <c r="G450" s="16"/>
      <c r="H450" s="90" t="str">
        <f>IF(G450="Regular",Listas!$K$16,IF(G450="Premium",Listas!$K$17,IF(G450="Diesel",Listas!$K$18,"-")))</f>
        <v>-</v>
      </c>
      <c r="I450" s="17"/>
      <c r="J450" s="18"/>
      <c r="K450" s="19" t="str">
        <f>+IFERROR(IF(G450="Regular",VLOOKUP(C450,'PRECIO TERMINAL PEMEX'!$B$4:$E$35,2,0),IF(G450="Premium",VLOOKUP(C450,'PRECIO TERMINAL PEMEX'!$B$4:$E$35,3,0),IF(G450="Diesel",VLOOKUP(C450,'PRECIO TERMINAL PEMEX'!$B$4:$E$35,4,0),"Seleccione Producto"))),"-")</f>
        <v>Seleccione Producto</v>
      </c>
      <c r="L450" s="93" t="str">
        <f>+IFERROR(IF(F450="VHSA",VLOOKUP(B450,Listas!$C$4:$F$17,2,0),IF(F450="DOS BOCAS",VLOOKUP(B450,Listas!$C$4:$F$17,3,0),IF(F450="GLENCORE",VLOOKUP(B450,Listas!$C$4:$F$17,4,0),"Seleccione TAR"))),"-")</f>
        <v>Seleccione TAR</v>
      </c>
      <c r="M450" s="19" t="str">
        <f>+IFERROR(IF(G450="Regular",VLOOKUP(C450,'DESCUENTO PROVEEDORES'!$B$4:$E$35,2,0),IF(G450="Premium",VLOOKUP(C450,'DESCUENTO PROVEEDORES'!$B$4:$E$35,3,0),IF(G450="Diesel",VLOOKUP(C450,'DESCUENTO PROVEEDORES'!$B$4:$E$35,4,0),"Seleccione Proveedor"))),"-")</f>
        <v>Seleccione Proveedor</v>
      </c>
      <c r="N450" s="20" t="e">
        <f>((((K450-H450)/1.16)-M450))</f>
        <v>#VALUE!</v>
      </c>
      <c r="O450" s="21" t="e">
        <f>((N450*16%)+N450)+H450+L450</f>
        <v>#VALUE!</v>
      </c>
      <c r="P450" s="21" t="e">
        <f>(((J450-O450)-H450)/1.16)+H450</f>
        <v>#VALUE!</v>
      </c>
      <c r="Q450" s="44"/>
      <c r="R450" s="24"/>
      <c r="S450" s="23" t="e">
        <f t="shared" si="18"/>
        <v>#DIV/0!</v>
      </c>
      <c r="T450" s="23" t="e">
        <f t="shared" si="19"/>
        <v>#DIV/0!</v>
      </c>
      <c r="U450" s="22" t="e">
        <f t="shared" si="20"/>
        <v>#DIV/0!</v>
      </c>
      <c r="V450" s="44"/>
      <c r="W450" s="44"/>
      <c r="X450" s="44"/>
      <c r="Y450" s="44"/>
      <c r="Z450" s="44"/>
    </row>
    <row r="451" spans="1:26" ht="15.75" customHeight="1">
      <c r="A451" s="44"/>
      <c r="B451" s="14"/>
      <c r="C451" s="53"/>
      <c r="D451" s="15"/>
      <c r="E451" s="89"/>
      <c r="F451" s="16"/>
      <c r="G451" s="16"/>
      <c r="H451" s="90" t="str">
        <f>IF(G451="Regular",Listas!$K$16,IF(G451="Premium",Listas!$K$17,IF(G451="Diesel",Listas!$K$18,"-")))</f>
        <v>-</v>
      </c>
      <c r="I451" s="17"/>
      <c r="J451" s="18"/>
      <c r="K451" s="19" t="str">
        <f>+IFERROR(IF(G451="Regular",VLOOKUP(C451,'PRECIO TERMINAL PEMEX'!$B$4:$E$35,2,0),IF(G451="Premium",VLOOKUP(C451,'PRECIO TERMINAL PEMEX'!$B$4:$E$35,3,0),IF(G451="Diesel",VLOOKUP(C451,'PRECIO TERMINAL PEMEX'!$B$4:$E$35,4,0),"Seleccione Producto"))),"-")</f>
        <v>Seleccione Producto</v>
      </c>
      <c r="L451" s="93" t="str">
        <f>+IFERROR(IF(F451="VHSA",VLOOKUP(B451,Listas!$C$4:$F$17,2,0),IF(F451="DOS BOCAS",VLOOKUP(B451,Listas!$C$4:$F$17,3,0),IF(F451="GLENCORE",VLOOKUP(B451,Listas!$C$4:$F$17,4,0),"Seleccione TAR"))),"-")</f>
        <v>Seleccione TAR</v>
      </c>
      <c r="M451" s="19" t="str">
        <f>+IFERROR(IF(G451="Regular",VLOOKUP(C451,'DESCUENTO PROVEEDORES'!$B$4:$E$35,2,0),IF(G451="Premium",VLOOKUP(C451,'DESCUENTO PROVEEDORES'!$B$4:$E$35,3,0),IF(G451="Diesel",VLOOKUP(C451,'DESCUENTO PROVEEDORES'!$B$4:$E$35,4,0),"Seleccione Proveedor"))),"-")</f>
        <v>Seleccione Proveedor</v>
      </c>
      <c r="N451" s="20" t="e">
        <f>((((K451-H451)/1.16)-M451))</f>
        <v>#VALUE!</v>
      </c>
      <c r="O451" s="21" t="e">
        <f>((N451*16%)+N451)+H451+L451</f>
        <v>#VALUE!</v>
      </c>
      <c r="P451" s="21" t="e">
        <f>(((J451-O451)-H451)/1.16)+H451</f>
        <v>#VALUE!</v>
      </c>
      <c r="Q451" s="44"/>
      <c r="R451" s="24"/>
      <c r="S451" s="23" t="e">
        <f t="shared" si="18"/>
        <v>#DIV/0!</v>
      </c>
      <c r="T451" s="23" t="e">
        <f t="shared" si="19"/>
        <v>#DIV/0!</v>
      </c>
      <c r="U451" s="22" t="e">
        <f t="shared" si="20"/>
        <v>#DIV/0!</v>
      </c>
      <c r="V451" s="44"/>
      <c r="W451" s="44"/>
      <c r="X451" s="44"/>
      <c r="Y451" s="44"/>
      <c r="Z451" s="44"/>
    </row>
    <row r="452" spans="1:26" ht="15.75" customHeight="1">
      <c r="A452" s="44"/>
      <c r="B452" s="14"/>
      <c r="C452" s="53"/>
      <c r="D452" s="15"/>
      <c r="E452" s="89"/>
      <c r="F452" s="16"/>
      <c r="G452" s="16"/>
      <c r="H452" s="90" t="str">
        <f>IF(G452="Regular",Listas!$K$16,IF(G452="Premium",Listas!$K$17,IF(G452="Diesel",Listas!$K$18,"-")))</f>
        <v>-</v>
      </c>
      <c r="I452" s="17"/>
      <c r="J452" s="18"/>
      <c r="K452" s="19" t="str">
        <f>+IFERROR(IF(G452="Regular",VLOOKUP(C452,'PRECIO TERMINAL PEMEX'!$B$4:$E$35,2,0),IF(G452="Premium",VLOOKUP(C452,'PRECIO TERMINAL PEMEX'!$B$4:$E$35,3,0),IF(G452="Diesel",VLOOKUP(C452,'PRECIO TERMINAL PEMEX'!$B$4:$E$35,4,0),"Seleccione Producto"))),"-")</f>
        <v>Seleccione Producto</v>
      </c>
      <c r="L452" s="93" t="str">
        <f>+IFERROR(IF(F452="VHSA",VLOOKUP(B452,Listas!$C$4:$F$17,2,0),IF(F452="DOS BOCAS",VLOOKUP(B452,Listas!$C$4:$F$17,3,0),IF(F452="GLENCORE",VLOOKUP(B452,Listas!$C$4:$F$17,4,0),"Seleccione TAR"))),"-")</f>
        <v>Seleccione TAR</v>
      </c>
      <c r="M452" s="19" t="str">
        <f>+IFERROR(IF(G452="Regular",VLOOKUP(C452,'DESCUENTO PROVEEDORES'!$B$4:$E$35,2,0),IF(G452="Premium",VLOOKUP(C452,'DESCUENTO PROVEEDORES'!$B$4:$E$35,3,0),IF(G452="Diesel",VLOOKUP(C452,'DESCUENTO PROVEEDORES'!$B$4:$E$35,4,0),"Seleccione Proveedor"))),"-")</f>
        <v>Seleccione Proveedor</v>
      </c>
      <c r="N452" s="20" t="e">
        <f>((((K452-H452)/1.16)-M452))</f>
        <v>#VALUE!</v>
      </c>
      <c r="O452" s="21" t="e">
        <f>((N452*16%)+N452)+H452+L452</f>
        <v>#VALUE!</v>
      </c>
      <c r="P452" s="21" t="e">
        <f>(((J452-O452)-H452)/1.16)+H452</f>
        <v>#VALUE!</v>
      </c>
      <c r="Q452" s="44"/>
      <c r="R452" s="24"/>
      <c r="S452" s="23" t="e">
        <f t="shared" si="18"/>
        <v>#DIV/0!</v>
      </c>
      <c r="T452" s="23" t="e">
        <f t="shared" si="19"/>
        <v>#DIV/0!</v>
      </c>
      <c r="U452" s="22" t="e">
        <f t="shared" si="20"/>
        <v>#DIV/0!</v>
      </c>
      <c r="V452" s="44"/>
      <c r="W452" s="44"/>
      <c r="X452" s="44"/>
      <c r="Y452" s="44"/>
      <c r="Z452" s="44"/>
    </row>
    <row r="453" spans="1:26" ht="15.75" customHeight="1">
      <c r="A453" s="44"/>
      <c r="B453" s="14"/>
      <c r="C453" s="53"/>
      <c r="D453" s="15"/>
      <c r="E453" s="89"/>
      <c r="F453" s="16"/>
      <c r="G453" s="16"/>
      <c r="H453" s="90" t="str">
        <f>IF(G453="Regular",Listas!$K$16,IF(G453="Premium",Listas!$K$17,IF(G453="Diesel",Listas!$K$18,"-")))</f>
        <v>-</v>
      </c>
      <c r="I453" s="17"/>
      <c r="J453" s="18"/>
      <c r="K453" s="19" t="str">
        <f>+IFERROR(IF(G453="Regular",VLOOKUP(C453,'PRECIO TERMINAL PEMEX'!$B$4:$E$35,2,0),IF(G453="Premium",VLOOKUP(C453,'PRECIO TERMINAL PEMEX'!$B$4:$E$35,3,0),IF(G453="Diesel",VLOOKUP(C453,'PRECIO TERMINAL PEMEX'!$B$4:$E$35,4,0),"Seleccione Producto"))),"-")</f>
        <v>Seleccione Producto</v>
      </c>
      <c r="L453" s="93" t="str">
        <f>+IFERROR(IF(F453="VHSA",VLOOKUP(B453,Listas!$C$4:$F$17,2,0),IF(F453="DOS BOCAS",VLOOKUP(B453,Listas!$C$4:$F$17,3,0),IF(F453="GLENCORE",VLOOKUP(B453,Listas!$C$4:$F$17,4,0),"Seleccione TAR"))),"-")</f>
        <v>Seleccione TAR</v>
      </c>
      <c r="M453" s="19" t="str">
        <f>+IFERROR(IF(G453="Regular",VLOOKUP(C453,'DESCUENTO PROVEEDORES'!$B$4:$E$35,2,0),IF(G453="Premium",VLOOKUP(C453,'DESCUENTO PROVEEDORES'!$B$4:$E$35,3,0),IF(G453="Diesel",VLOOKUP(C453,'DESCUENTO PROVEEDORES'!$B$4:$E$35,4,0),"Seleccione Proveedor"))),"-")</f>
        <v>Seleccione Proveedor</v>
      </c>
      <c r="N453" s="20" t="e">
        <f>((((K453-H453)/1.16)-M453))</f>
        <v>#VALUE!</v>
      </c>
      <c r="O453" s="21" t="e">
        <f>((N453*16%)+N453)+H453+L453</f>
        <v>#VALUE!</v>
      </c>
      <c r="P453" s="21" t="e">
        <f>(((J453-O453)-H453)/1.16)+H453</f>
        <v>#VALUE!</v>
      </c>
      <c r="Q453" s="44"/>
      <c r="R453" s="24"/>
      <c r="S453" s="23" t="e">
        <f t="shared" ref="S453:S479" si="21">R453/I453</f>
        <v>#DIV/0!</v>
      </c>
      <c r="T453" s="23" t="e">
        <f t="shared" ref="T453:T479" si="22">(J453-S453)/1.16</f>
        <v>#DIV/0!</v>
      </c>
      <c r="U453" s="22" t="e">
        <f t="shared" ref="U453:U479" si="23">+T453-P453</f>
        <v>#DIV/0!</v>
      </c>
      <c r="V453" s="44"/>
      <c r="W453" s="44"/>
      <c r="X453" s="44"/>
      <c r="Y453" s="44"/>
      <c r="Z453" s="44"/>
    </row>
    <row r="454" spans="1:26" ht="15.75" customHeight="1">
      <c r="A454" s="44"/>
      <c r="B454" s="14"/>
      <c r="C454" s="53"/>
      <c r="D454" s="15"/>
      <c r="E454" s="89"/>
      <c r="F454" s="16"/>
      <c r="G454" s="16"/>
      <c r="H454" s="90" t="str">
        <f>IF(G454="Regular",Listas!$K$16,IF(G454="Premium",Listas!$K$17,IF(G454="Diesel",Listas!$K$18,"-")))</f>
        <v>-</v>
      </c>
      <c r="I454" s="17"/>
      <c r="J454" s="18"/>
      <c r="K454" s="19" t="str">
        <f>+IFERROR(IF(G454="Regular",VLOOKUP(C454,'PRECIO TERMINAL PEMEX'!$B$4:$E$35,2,0),IF(G454="Premium",VLOOKUP(C454,'PRECIO TERMINAL PEMEX'!$B$4:$E$35,3,0),IF(G454="Diesel",VLOOKUP(C454,'PRECIO TERMINAL PEMEX'!$B$4:$E$35,4,0),"Seleccione Producto"))),"-")</f>
        <v>Seleccione Producto</v>
      </c>
      <c r="L454" s="93" t="str">
        <f>+IFERROR(IF(F454="VHSA",VLOOKUP(B454,Listas!$C$4:$F$17,2,0),IF(F454="DOS BOCAS",VLOOKUP(B454,Listas!$C$4:$F$17,3,0),IF(F454="GLENCORE",VLOOKUP(B454,Listas!$C$4:$F$17,4,0),"Seleccione TAR"))),"-")</f>
        <v>Seleccione TAR</v>
      </c>
      <c r="M454" s="19" t="str">
        <f>+IFERROR(IF(G454="Regular",VLOOKUP(C454,'DESCUENTO PROVEEDORES'!$B$4:$E$35,2,0),IF(G454="Premium",VLOOKUP(C454,'DESCUENTO PROVEEDORES'!$B$4:$E$35,3,0),IF(G454="Diesel",VLOOKUP(C454,'DESCUENTO PROVEEDORES'!$B$4:$E$35,4,0),"Seleccione Proveedor"))),"-")</f>
        <v>Seleccione Proveedor</v>
      </c>
      <c r="N454" s="20" t="e">
        <f>((((K454-H454)/1.16)-M454))</f>
        <v>#VALUE!</v>
      </c>
      <c r="O454" s="21" t="e">
        <f>((N454*16%)+N454)+H454+L454</f>
        <v>#VALUE!</v>
      </c>
      <c r="P454" s="21" t="e">
        <f>(((J454-O454)-H454)/1.16)+H454</f>
        <v>#VALUE!</v>
      </c>
      <c r="Q454" s="44"/>
      <c r="R454" s="24"/>
      <c r="S454" s="23" t="e">
        <f t="shared" si="21"/>
        <v>#DIV/0!</v>
      </c>
      <c r="T454" s="23" t="e">
        <f t="shared" si="22"/>
        <v>#DIV/0!</v>
      </c>
      <c r="U454" s="22" t="e">
        <f t="shared" si="23"/>
        <v>#DIV/0!</v>
      </c>
      <c r="V454" s="44"/>
      <c r="W454" s="44"/>
      <c r="X454" s="44"/>
      <c r="Y454" s="44"/>
      <c r="Z454" s="44"/>
    </row>
    <row r="455" spans="1:26" ht="15.75" customHeight="1">
      <c r="A455" s="44"/>
      <c r="B455" s="14"/>
      <c r="C455" s="53"/>
      <c r="D455" s="15"/>
      <c r="E455" s="89"/>
      <c r="F455" s="16"/>
      <c r="G455" s="16"/>
      <c r="H455" s="90" t="str">
        <f>IF(G455="Regular",Listas!$K$16,IF(G455="Premium",Listas!$K$17,IF(G455="Diesel",Listas!$K$18,"-")))</f>
        <v>-</v>
      </c>
      <c r="I455" s="17"/>
      <c r="J455" s="18"/>
      <c r="K455" s="19" t="str">
        <f>+IFERROR(IF(G455="Regular",VLOOKUP(C455,'PRECIO TERMINAL PEMEX'!$B$4:$E$35,2,0),IF(G455="Premium",VLOOKUP(C455,'PRECIO TERMINAL PEMEX'!$B$4:$E$35,3,0),IF(G455="Diesel",VLOOKUP(C455,'PRECIO TERMINAL PEMEX'!$B$4:$E$35,4,0),"Seleccione Producto"))),"-")</f>
        <v>Seleccione Producto</v>
      </c>
      <c r="L455" s="93" t="str">
        <f>+IFERROR(IF(F455="VHSA",VLOOKUP(B455,Listas!$C$4:$F$17,2,0),IF(F455="DOS BOCAS",VLOOKUP(B455,Listas!$C$4:$F$17,3,0),IF(F455="GLENCORE",VLOOKUP(B455,Listas!$C$4:$F$17,4,0),"Seleccione TAR"))),"-")</f>
        <v>Seleccione TAR</v>
      </c>
      <c r="M455" s="19" t="str">
        <f>+IFERROR(IF(G455="Regular",VLOOKUP(C455,'DESCUENTO PROVEEDORES'!$B$4:$E$35,2,0),IF(G455="Premium",VLOOKUP(C455,'DESCUENTO PROVEEDORES'!$B$4:$E$35,3,0),IF(G455="Diesel",VLOOKUP(C455,'DESCUENTO PROVEEDORES'!$B$4:$E$35,4,0),"Seleccione Proveedor"))),"-")</f>
        <v>Seleccione Proveedor</v>
      </c>
      <c r="N455" s="20" t="e">
        <f>((((K455-H455)/1.16)-M455))</f>
        <v>#VALUE!</v>
      </c>
      <c r="O455" s="21" t="e">
        <f>((N455*16%)+N455)+H455+L455</f>
        <v>#VALUE!</v>
      </c>
      <c r="P455" s="21" t="e">
        <f>(((J455-O455)-H455)/1.16)+H455</f>
        <v>#VALUE!</v>
      </c>
      <c r="Q455" s="44"/>
      <c r="R455" s="24"/>
      <c r="S455" s="23" t="e">
        <f t="shared" si="21"/>
        <v>#DIV/0!</v>
      </c>
      <c r="T455" s="23" t="e">
        <f t="shared" si="22"/>
        <v>#DIV/0!</v>
      </c>
      <c r="U455" s="22" t="e">
        <f t="shared" si="23"/>
        <v>#DIV/0!</v>
      </c>
      <c r="V455" s="44"/>
      <c r="W455" s="44"/>
      <c r="X455" s="44"/>
      <c r="Y455" s="44"/>
      <c r="Z455" s="44"/>
    </row>
    <row r="456" spans="1:26" ht="15.75" customHeight="1">
      <c r="A456" s="44"/>
      <c r="B456" s="14"/>
      <c r="C456" s="53"/>
      <c r="D456" s="15"/>
      <c r="E456" s="89"/>
      <c r="F456" s="16"/>
      <c r="G456" s="16"/>
      <c r="H456" s="90" t="str">
        <f>IF(G456="Regular",Listas!$K$16,IF(G456="Premium",Listas!$K$17,IF(G456="Diesel",Listas!$K$18,"-")))</f>
        <v>-</v>
      </c>
      <c r="I456" s="17"/>
      <c r="J456" s="18"/>
      <c r="K456" s="19" t="str">
        <f>+IFERROR(IF(G456="Regular",VLOOKUP(C456,'PRECIO TERMINAL PEMEX'!$B$4:$E$35,2,0),IF(G456="Premium",VLOOKUP(C456,'PRECIO TERMINAL PEMEX'!$B$4:$E$35,3,0),IF(G456="Diesel",VLOOKUP(C456,'PRECIO TERMINAL PEMEX'!$B$4:$E$35,4,0),"Seleccione Producto"))),"-")</f>
        <v>Seleccione Producto</v>
      </c>
      <c r="L456" s="93" t="str">
        <f>+IFERROR(IF(F456="VHSA",VLOOKUP(B456,Listas!$C$4:$F$17,2,0),IF(F456="DOS BOCAS",VLOOKUP(B456,Listas!$C$4:$F$17,3,0),IF(F456="GLENCORE",VLOOKUP(B456,Listas!$C$4:$F$17,4,0),"Seleccione TAR"))),"-")</f>
        <v>Seleccione TAR</v>
      </c>
      <c r="M456" s="19" t="str">
        <f>+IFERROR(IF(G456="Regular",VLOOKUP(C456,'DESCUENTO PROVEEDORES'!$B$4:$E$35,2,0),IF(G456="Premium",VLOOKUP(C456,'DESCUENTO PROVEEDORES'!$B$4:$E$35,3,0),IF(G456="Diesel",VLOOKUP(C456,'DESCUENTO PROVEEDORES'!$B$4:$E$35,4,0),"Seleccione Proveedor"))),"-")</f>
        <v>Seleccione Proveedor</v>
      </c>
      <c r="N456" s="20" t="e">
        <f>((((K456-H456)/1.16)-M456))</f>
        <v>#VALUE!</v>
      </c>
      <c r="O456" s="21" t="e">
        <f>((N456*16%)+N456)+H456+L456</f>
        <v>#VALUE!</v>
      </c>
      <c r="P456" s="21" t="e">
        <f>(((J456-O456)-H456)/1.16)+H456</f>
        <v>#VALUE!</v>
      </c>
      <c r="Q456" s="44"/>
      <c r="R456" s="24"/>
      <c r="S456" s="23" t="e">
        <f t="shared" si="21"/>
        <v>#DIV/0!</v>
      </c>
      <c r="T456" s="23" t="e">
        <f t="shared" si="22"/>
        <v>#DIV/0!</v>
      </c>
      <c r="U456" s="22" t="e">
        <f t="shared" si="23"/>
        <v>#DIV/0!</v>
      </c>
      <c r="V456" s="44"/>
      <c r="W456" s="44"/>
      <c r="X456" s="44"/>
      <c r="Y456" s="44"/>
      <c r="Z456" s="44"/>
    </row>
    <row r="457" spans="1:26" ht="15.75" customHeight="1">
      <c r="A457" s="44"/>
      <c r="B457" s="14"/>
      <c r="C457" s="53"/>
      <c r="D457" s="15"/>
      <c r="E457" s="89"/>
      <c r="F457" s="16"/>
      <c r="G457" s="16"/>
      <c r="H457" s="90" t="str">
        <f>IF(G457="Regular",Listas!$K$16,IF(G457="Premium",Listas!$K$17,IF(G457="Diesel",Listas!$K$18,"-")))</f>
        <v>-</v>
      </c>
      <c r="I457" s="17"/>
      <c r="J457" s="18"/>
      <c r="K457" s="19" t="str">
        <f>+IFERROR(IF(G457="Regular",VLOOKUP(C457,'PRECIO TERMINAL PEMEX'!$B$4:$E$35,2,0),IF(G457="Premium",VLOOKUP(C457,'PRECIO TERMINAL PEMEX'!$B$4:$E$35,3,0),IF(G457="Diesel",VLOOKUP(C457,'PRECIO TERMINAL PEMEX'!$B$4:$E$35,4,0),"Seleccione Producto"))),"-")</f>
        <v>Seleccione Producto</v>
      </c>
      <c r="L457" s="93" t="str">
        <f>+IFERROR(IF(F457="VHSA",VLOOKUP(B457,Listas!$C$4:$F$17,2,0),IF(F457="DOS BOCAS",VLOOKUP(B457,Listas!$C$4:$F$17,3,0),IF(F457="GLENCORE",VLOOKUP(B457,Listas!$C$4:$F$17,4,0),"Seleccione TAR"))),"-")</f>
        <v>Seleccione TAR</v>
      </c>
      <c r="M457" s="19" t="str">
        <f>+IFERROR(IF(G457="Regular",VLOOKUP(C457,'DESCUENTO PROVEEDORES'!$B$4:$E$35,2,0),IF(G457="Premium",VLOOKUP(C457,'DESCUENTO PROVEEDORES'!$B$4:$E$35,3,0),IF(G457="Diesel",VLOOKUP(C457,'DESCUENTO PROVEEDORES'!$B$4:$E$35,4,0),"Seleccione Proveedor"))),"-")</f>
        <v>Seleccione Proveedor</v>
      </c>
      <c r="N457" s="20" t="e">
        <f>((((K457-H457)/1.16)-M457))</f>
        <v>#VALUE!</v>
      </c>
      <c r="O457" s="21" t="e">
        <f>((N457*16%)+N457)+H457+L457</f>
        <v>#VALUE!</v>
      </c>
      <c r="P457" s="21" t="e">
        <f>(((J457-O457)-H457)/1.16)+H457</f>
        <v>#VALUE!</v>
      </c>
      <c r="Q457" s="44"/>
      <c r="R457" s="24"/>
      <c r="S457" s="23" t="e">
        <f t="shared" si="21"/>
        <v>#DIV/0!</v>
      </c>
      <c r="T457" s="23" t="e">
        <f t="shared" si="22"/>
        <v>#DIV/0!</v>
      </c>
      <c r="U457" s="22" t="e">
        <f t="shared" si="23"/>
        <v>#DIV/0!</v>
      </c>
      <c r="V457" s="44"/>
      <c r="W457" s="44"/>
      <c r="X457" s="44"/>
      <c r="Y457" s="44"/>
      <c r="Z457" s="44"/>
    </row>
    <row r="458" spans="1:26" ht="15.75" customHeight="1">
      <c r="A458" s="44"/>
      <c r="B458" s="14"/>
      <c r="C458" s="53"/>
      <c r="D458" s="15"/>
      <c r="E458" s="89"/>
      <c r="F458" s="16"/>
      <c r="G458" s="16"/>
      <c r="H458" s="90" t="str">
        <f>IF(G458="Regular",Listas!$K$16,IF(G458="Premium",Listas!$K$17,IF(G458="Diesel",Listas!$K$18,"-")))</f>
        <v>-</v>
      </c>
      <c r="I458" s="17"/>
      <c r="J458" s="18"/>
      <c r="K458" s="19" t="str">
        <f>+IFERROR(IF(G458="Regular",VLOOKUP(C458,'PRECIO TERMINAL PEMEX'!$B$4:$E$35,2,0),IF(G458="Premium",VLOOKUP(C458,'PRECIO TERMINAL PEMEX'!$B$4:$E$35,3,0),IF(G458="Diesel",VLOOKUP(C458,'PRECIO TERMINAL PEMEX'!$B$4:$E$35,4,0),"Seleccione Producto"))),"-")</f>
        <v>Seleccione Producto</v>
      </c>
      <c r="L458" s="93" t="str">
        <f>+IFERROR(IF(F458="VHSA",VLOOKUP(B458,Listas!$C$4:$F$17,2,0),IF(F458="DOS BOCAS",VLOOKUP(B458,Listas!$C$4:$F$17,3,0),IF(F458="GLENCORE",VLOOKUP(B458,Listas!$C$4:$F$17,4,0),"Seleccione TAR"))),"-")</f>
        <v>Seleccione TAR</v>
      </c>
      <c r="M458" s="19" t="str">
        <f>+IFERROR(IF(G458="Regular",VLOOKUP(C458,'DESCUENTO PROVEEDORES'!$B$4:$E$35,2,0),IF(G458="Premium",VLOOKUP(C458,'DESCUENTO PROVEEDORES'!$B$4:$E$35,3,0),IF(G458="Diesel",VLOOKUP(C458,'DESCUENTO PROVEEDORES'!$B$4:$E$35,4,0),"Seleccione Proveedor"))),"-")</f>
        <v>Seleccione Proveedor</v>
      </c>
      <c r="N458" s="20" t="e">
        <f>((((K458-H458)/1.16)-M458))</f>
        <v>#VALUE!</v>
      </c>
      <c r="O458" s="21" t="e">
        <f>((N458*16%)+N458)+H458+L458</f>
        <v>#VALUE!</v>
      </c>
      <c r="P458" s="21" t="e">
        <f>(((J458-O458)-H458)/1.16)+H458</f>
        <v>#VALUE!</v>
      </c>
      <c r="Q458" s="44"/>
      <c r="R458" s="24"/>
      <c r="S458" s="23" t="e">
        <f t="shared" si="21"/>
        <v>#DIV/0!</v>
      </c>
      <c r="T458" s="23" t="e">
        <f t="shared" si="22"/>
        <v>#DIV/0!</v>
      </c>
      <c r="U458" s="22" t="e">
        <f t="shared" si="23"/>
        <v>#DIV/0!</v>
      </c>
      <c r="V458" s="44"/>
      <c r="W458" s="44"/>
      <c r="X458" s="44"/>
      <c r="Y458" s="44"/>
      <c r="Z458" s="44"/>
    </row>
    <row r="459" spans="1:26" ht="15.75" customHeight="1">
      <c r="A459" s="44"/>
      <c r="B459" s="14"/>
      <c r="C459" s="53"/>
      <c r="D459" s="15"/>
      <c r="E459" s="89"/>
      <c r="F459" s="16"/>
      <c r="G459" s="16"/>
      <c r="H459" s="90" t="str">
        <f>IF(G459="Regular",Listas!$K$16,IF(G459="Premium",Listas!$K$17,IF(G459="Diesel",Listas!$K$18,"-")))</f>
        <v>-</v>
      </c>
      <c r="I459" s="17"/>
      <c r="J459" s="18"/>
      <c r="K459" s="19" t="str">
        <f>+IFERROR(IF(G459="Regular",VLOOKUP(C459,'PRECIO TERMINAL PEMEX'!$B$4:$E$35,2,0),IF(G459="Premium",VLOOKUP(C459,'PRECIO TERMINAL PEMEX'!$B$4:$E$35,3,0),IF(G459="Diesel",VLOOKUP(C459,'PRECIO TERMINAL PEMEX'!$B$4:$E$35,4,0),"Seleccione Producto"))),"-")</f>
        <v>Seleccione Producto</v>
      </c>
      <c r="L459" s="93" t="str">
        <f>+IFERROR(IF(F459="VHSA",VLOOKUP(B459,Listas!$C$4:$F$17,2,0),IF(F459="DOS BOCAS",VLOOKUP(B459,Listas!$C$4:$F$17,3,0),IF(F459="GLENCORE",VLOOKUP(B459,Listas!$C$4:$F$17,4,0),"Seleccione TAR"))),"-")</f>
        <v>Seleccione TAR</v>
      </c>
      <c r="M459" s="19" t="str">
        <f>+IFERROR(IF(G459="Regular",VLOOKUP(C459,'DESCUENTO PROVEEDORES'!$B$4:$E$35,2,0),IF(G459="Premium",VLOOKUP(C459,'DESCUENTO PROVEEDORES'!$B$4:$E$35,3,0),IF(G459="Diesel",VLOOKUP(C459,'DESCUENTO PROVEEDORES'!$B$4:$E$35,4,0),"Seleccione Proveedor"))),"-")</f>
        <v>Seleccione Proveedor</v>
      </c>
      <c r="N459" s="20" t="e">
        <f>((((K459-H459)/1.16)-M459))</f>
        <v>#VALUE!</v>
      </c>
      <c r="O459" s="21" t="e">
        <f>((N459*16%)+N459)+H459+L459</f>
        <v>#VALUE!</v>
      </c>
      <c r="P459" s="21" t="e">
        <f>(((J459-O459)-H459)/1.16)+H459</f>
        <v>#VALUE!</v>
      </c>
      <c r="Q459" s="44"/>
      <c r="R459" s="24"/>
      <c r="S459" s="23" t="e">
        <f t="shared" si="21"/>
        <v>#DIV/0!</v>
      </c>
      <c r="T459" s="23" t="e">
        <f t="shared" si="22"/>
        <v>#DIV/0!</v>
      </c>
      <c r="U459" s="22" t="e">
        <f t="shared" si="23"/>
        <v>#DIV/0!</v>
      </c>
      <c r="V459" s="44"/>
      <c r="W459" s="44"/>
      <c r="X459" s="44"/>
      <c r="Y459" s="44"/>
      <c r="Z459" s="44"/>
    </row>
    <row r="460" spans="1:26" ht="15.75" customHeight="1">
      <c r="A460" s="44"/>
      <c r="B460" s="14"/>
      <c r="C460" s="53"/>
      <c r="D460" s="15"/>
      <c r="E460" s="89"/>
      <c r="F460" s="16"/>
      <c r="G460" s="16"/>
      <c r="H460" s="90" t="str">
        <f>IF(G460="Regular",Listas!$K$16,IF(G460="Premium",Listas!$K$17,IF(G460="Diesel",Listas!$K$18,"-")))</f>
        <v>-</v>
      </c>
      <c r="I460" s="17"/>
      <c r="J460" s="18"/>
      <c r="K460" s="19" t="str">
        <f>+IFERROR(IF(G460="Regular",VLOOKUP(C460,'PRECIO TERMINAL PEMEX'!$B$4:$E$35,2,0),IF(G460="Premium",VLOOKUP(C460,'PRECIO TERMINAL PEMEX'!$B$4:$E$35,3,0),IF(G460="Diesel",VLOOKUP(C460,'PRECIO TERMINAL PEMEX'!$B$4:$E$35,4,0),"Seleccione Producto"))),"-")</f>
        <v>Seleccione Producto</v>
      </c>
      <c r="L460" s="93" t="str">
        <f>+IFERROR(IF(F460="VHSA",VLOOKUP(B460,Listas!$C$4:$F$17,2,0),IF(F460="DOS BOCAS",VLOOKUP(B460,Listas!$C$4:$F$17,3,0),IF(F460="GLENCORE",VLOOKUP(B460,Listas!$C$4:$F$17,4,0),"Seleccione TAR"))),"-")</f>
        <v>Seleccione TAR</v>
      </c>
      <c r="M460" s="19" t="str">
        <f>+IFERROR(IF(G460="Regular",VLOOKUP(C460,'DESCUENTO PROVEEDORES'!$B$4:$E$35,2,0),IF(G460="Premium",VLOOKUP(C460,'DESCUENTO PROVEEDORES'!$B$4:$E$35,3,0),IF(G460="Diesel",VLOOKUP(C460,'DESCUENTO PROVEEDORES'!$B$4:$E$35,4,0),"Seleccione Proveedor"))),"-")</f>
        <v>Seleccione Proveedor</v>
      </c>
      <c r="N460" s="20" t="e">
        <f>((((K460-H460)/1.16)-M460))</f>
        <v>#VALUE!</v>
      </c>
      <c r="O460" s="21" t="e">
        <f>((N460*16%)+N460)+H460+L460</f>
        <v>#VALUE!</v>
      </c>
      <c r="P460" s="21" t="e">
        <f>(((J460-O460)-H460)/1.16)+H460</f>
        <v>#VALUE!</v>
      </c>
      <c r="Q460" s="44"/>
      <c r="R460" s="24"/>
      <c r="S460" s="23" t="e">
        <f t="shared" si="21"/>
        <v>#DIV/0!</v>
      </c>
      <c r="T460" s="23" t="e">
        <f t="shared" si="22"/>
        <v>#DIV/0!</v>
      </c>
      <c r="U460" s="22" t="e">
        <f t="shared" si="23"/>
        <v>#DIV/0!</v>
      </c>
      <c r="V460" s="44"/>
      <c r="W460" s="44"/>
      <c r="X460" s="44"/>
      <c r="Y460" s="44"/>
      <c r="Z460" s="44"/>
    </row>
    <row r="461" spans="1:26" ht="15.75" customHeight="1">
      <c r="A461" s="44"/>
      <c r="B461" s="14"/>
      <c r="C461" s="53"/>
      <c r="D461" s="15"/>
      <c r="E461" s="89"/>
      <c r="F461" s="16"/>
      <c r="G461" s="16"/>
      <c r="H461" s="90" t="str">
        <f>IF(G461="Regular",Listas!$K$16,IF(G461="Premium",Listas!$K$17,IF(G461="Diesel",Listas!$K$18,"-")))</f>
        <v>-</v>
      </c>
      <c r="I461" s="17"/>
      <c r="J461" s="18"/>
      <c r="K461" s="19" t="str">
        <f>+IFERROR(IF(G461="Regular",VLOOKUP(C461,'PRECIO TERMINAL PEMEX'!$B$4:$E$35,2,0),IF(G461="Premium",VLOOKUP(C461,'PRECIO TERMINAL PEMEX'!$B$4:$E$35,3,0),IF(G461="Diesel",VLOOKUP(C461,'PRECIO TERMINAL PEMEX'!$B$4:$E$35,4,0),"Seleccione Producto"))),"-")</f>
        <v>Seleccione Producto</v>
      </c>
      <c r="L461" s="93" t="str">
        <f>+IFERROR(IF(F461="VHSA",VLOOKUP(B461,Listas!$C$4:$F$17,2,0),IF(F461="DOS BOCAS",VLOOKUP(B461,Listas!$C$4:$F$17,3,0),IF(F461="GLENCORE",VLOOKUP(B461,Listas!$C$4:$F$17,4,0),"Seleccione TAR"))),"-")</f>
        <v>Seleccione TAR</v>
      </c>
      <c r="M461" s="19" t="str">
        <f>+IFERROR(IF(G461="Regular",VLOOKUP(C461,'DESCUENTO PROVEEDORES'!$B$4:$E$35,2,0),IF(G461="Premium",VLOOKUP(C461,'DESCUENTO PROVEEDORES'!$B$4:$E$35,3,0),IF(G461="Diesel",VLOOKUP(C461,'DESCUENTO PROVEEDORES'!$B$4:$E$35,4,0),"Seleccione Proveedor"))),"-")</f>
        <v>Seleccione Proveedor</v>
      </c>
      <c r="N461" s="20" t="e">
        <f>((((K461-H461)/1.16)-M461))</f>
        <v>#VALUE!</v>
      </c>
      <c r="O461" s="21" t="e">
        <f>((N461*16%)+N461)+H461+L461</f>
        <v>#VALUE!</v>
      </c>
      <c r="P461" s="21" t="e">
        <f>(((J461-O461)-H461)/1.16)+H461</f>
        <v>#VALUE!</v>
      </c>
      <c r="Q461" s="44"/>
      <c r="R461" s="24"/>
      <c r="S461" s="23" t="e">
        <f t="shared" si="21"/>
        <v>#DIV/0!</v>
      </c>
      <c r="T461" s="23" t="e">
        <f t="shared" si="22"/>
        <v>#DIV/0!</v>
      </c>
      <c r="U461" s="22" t="e">
        <f t="shared" si="23"/>
        <v>#DIV/0!</v>
      </c>
      <c r="V461" s="44"/>
      <c r="W461" s="44"/>
      <c r="X461" s="44"/>
      <c r="Y461" s="44"/>
      <c r="Z461" s="44"/>
    </row>
    <row r="462" spans="1:26" ht="15.75" customHeight="1">
      <c r="A462" s="44"/>
      <c r="B462" s="14"/>
      <c r="C462" s="53"/>
      <c r="D462" s="15"/>
      <c r="E462" s="89"/>
      <c r="F462" s="16"/>
      <c r="G462" s="16"/>
      <c r="H462" s="90" t="str">
        <f>IF(G462="Regular",Listas!$K$16,IF(G462="Premium",Listas!$K$17,IF(G462="Diesel",Listas!$K$18,"-")))</f>
        <v>-</v>
      </c>
      <c r="I462" s="17"/>
      <c r="J462" s="18"/>
      <c r="K462" s="19" t="str">
        <f>+IFERROR(IF(G462="Regular",VLOOKUP(C462,'PRECIO TERMINAL PEMEX'!$B$4:$E$35,2,0),IF(G462="Premium",VLOOKUP(C462,'PRECIO TERMINAL PEMEX'!$B$4:$E$35,3,0),IF(G462="Diesel",VLOOKUP(C462,'PRECIO TERMINAL PEMEX'!$B$4:$E$35,4,0),"Seleccione Producto"))),"-")</f>
        <v>Seleccione Producto</v>
      </c>
      <c r="L462" s="93" t="str">
        <f>+IFERROR(IF(F462="VHSA",VLOOKUP(B462,Listas!$C$4:$F$17,2,0),IF(F462="DOS BOCAS",VLOOKUP(B462,Listas!$C$4:$F$17,3,0),IF(F462="GLENCORE",VLOOKUP(B462,Listas!$C$4:$F$17,4,0),"Seleccione TAR"))),"-")</f>
        <v>Seleccione TAR</v>
      </c>
      <c r="M462" s="19" t="str">
        <f>+IFERROR(IF(G462="Regular",VLOOKUP(C462,'DESCUENTO PROVEEDORES'!$B$4:$E$35,2,0),IF(G462="Premium",VLOOKUP(C462,'DESCUENTO PROVEEDORES'!$B$4:$E$35,3,0),IF(G462="Diesel",VLOOKUP(C462,'DESCUENTO PROVEEDORES'!$B$4:$E$35,4,0),"Seleccione Proveedor"))),"-")</f>
        <v>Seleccione Proveedor</v>
      </c>
      <c r="N462" s="20" t="e">
        <f>((((K462-H462)/1.16)-M462))</f>
        <v>#VALUE!</v>
      </c>
      <c r="O462" s="21" t="e">
        <f>((N462*16%)+N462)+H462+L462</f>
        <v>#VALUE!</v>
      </c>
      <c r="P462" s="21" t="e">
        <f>(((J462-O462)-H462)/1.16)+H462</f>
        <v>#VALUE!</v>
      </c>
      <c r="Q462" s="44"/>
      <c r="R462" s="24"/>
      <c r="S462" s="23" t="e">
        <f t="shared" si="21"/>
        <v>#DIV/0!</v>
      </c>
      <c r="T462" s="23" t="e">
        <f t="shared" si="22"/>
        <v>#DIV/0!</v>
      </c>
      <c r="U462" s="22" t="e">
        <f t="shared" si="23"/>
        <v>#DIV/0!</v>
      </c>
      <c r="V462" s="44"/>
      <c r="W462" s="44"/>
      <c r="X462" s="44"/>
      <c r="Y462" s="44"/>
      <c r="Z462" s="44"/>
    </row>
    <row r="463" spans="1:26" ht="15.75" customHeight="1">
      <c r="A463" s="44"/>
      <c r="B463" s="14"/>
      <c r="C463" s="53"/>
      <c r="D463" s="15"/>
      <c r="E463" s="89"/>
      <c r="F463" s="16"/>
      <c r="G463" s="16"/>
      <c r="H463" s="90" t="str">
        <f>IF(G463="Regular",Listas!$K$16,IF(G463="Premium",Listas!$K$17,IF(G463="Diesel",Listas!$K$18,"-")))</f>
        <v>-</v>
      </c>
      <c r="I463" s="17"/>
      <c r="J463" s="18"/>
      <c r="K463" s="19" t="str">
        <f>+IFERROR(IF(G463="Regular",VLOOKUP(C463,'PRECIO TERMINAL PEMEX'!$B$4:$E$35,2,0),IF(G463="Premium",VLOOKUP(C463,'PRECIO TERMINAL PEMEX'!$B$4:$E$35,3,0),IF(G463="Diesel",VLOOKUP(C463,'PRECIO TERMINAL PEMEX'!$B$4:$E$35,4,0),"Seleccione Producto"))),"-")</f>
        <v>Seleccione Producto</v>
      </c>
      <c r="L463" s="93" t="str">
        <f>+IFERROR(IF(F463="VHSA",VLOOKUP(B463,Listas!$C$4:$F$17,2,0),IF(F463="DOS BOCAS",VLOOKUP(B463,Listas!$C$4:$F$17,3,0),IF(F463="GLENCORE",VLOOKUP(B463,Listas!$C$4:$F$17,4,0),"Seleccione TAR"))),"-")</f>
        <v>Seleccione TAR</v>
      </c>
      <c r="M463" s="19" t="str">
        <f>+IFERROR(IF(G463="Regular",VLOOKUP(C463,'DESCUENTO PROVEEDORES'!$B$4:$E$35,2,0),IF(G463="Premium",VLOOKUP(C463,'DESCUENTO PROVEEDORES'!$B$4:$E$35,3,0),IF(G463="Diesel",VLOOKUP(C463,'DESCUENTO PROVEEDORES'!$B$4:$E$35,4,0),"Seleccione Proveedor"))),"-")</f>
        <v>Seleccione Proveedor</v>
      </c>
      <c r="N463" s="20" t="e">
        <f>((((K463-H463)/1.16)-M463))</f>
        <v>#VALUE!</v>
      </c>
      <c r="O463" s="21" t="e">
        <f>((N463*16%)+N463)+H463+L463</f>
        <v>#VALUE!</v>
      </c>
      <c r="P463" s="21" t="e">
        <f>(((J463-O463)-H463)/1.16)+H463</f>
        <v>#VALUE!</v>
      </c>
      <c r="Q463" s="44"/>
      <c r="R463" s="24"/>
      <c r="S463" s="23" t="e">
        <f t="shared" si="21"/>
        <v>#DIV/0!</v>
      </c>
      <c r="T463" s="23" t="e">
        <f t="shared" si="22"/>
        <v>#DIV/0!</v>
      </c>
      <c r="U463" s="22" t="e">
        <f t="shared" si="23"/>
        <v>#DIV/0!</v>
      </c>
      <c r="V463" s="44"/>
      <c r="W463" s="44"/>
      <c r="X463" s="44"/>
      <c r="Y463" s="44"/>
      <c r="Z463" s="44"/>
    </row>
    <row r="464" spans="1:26" ht="15.75" customHeight="1">
      <c r="A464" s="44"/>
      <c r="B464" s="14"/>
      <c r="C464" s="53"/>
      <c r="D464" s="15"/>
      <c r="E464" s="89"/>
      <c r="F464" s="16"/>
      <c r="G464" s="16"/>
      <c r="H464" s="90" t="str">
        <f>IF(G464="Regular",Listas!$K$16,IF(G464="Premium",Listas!$K$17,IF(G464="Diesel",Listas!$K$18,"-")))</f>
        <v>-</v>
      </c>
      <c r="I464" s="17"/>
      <c r="J464" s="18"/>
      <c r="K464" s="19" t="str">
        <f>+IFERROR(IF(G464="Regular",VLOOKUP(C464,'PRECIO TERMINAL PEMEX'!$B$4:$E$35,2,0),IF(G464="Premium",VLOOKUP(C464,'PRECIO TERMINAL PEMEX'!$B$4:$E$35,3,0),IF(G464="Diesel",VLOOKUP(C464,'PRECIO TERMINAL PEMEX'!$B$4:$E$35,4,0),"Seleccione Producto"))),"-")</f>
        <v>Seleccione Producto</v>
      </c>
      <c r="L464" s="93" t="str">
        <f>+IFERROR(IF(F464="VHSA",VLOOKUP(B464,Listas!$C$4:$F$17,2,0),IF(F464="DOS BOCAS",VLOOKUP(B464,Listas!$C$4:$F$17,3,0),IF(F464="GLENCORE",VLOOKUP(B464,Listas!$C$4:$F$17,4,0),"Seleccione TAR"))),"-")</f>
        <v>Seleccione TAR</v>
      </c>
      <c r="M464" s="19" t="str">
        <f>+IFERROR(IF(G464="Regular",VLOOKUP(C464,'DESCUENTO PROVEEDORES'!$B$4:$E$35,2,0),IF(G464="Premium",VLOOKUP(C464,'DESCUENTO PROVEEDORES'!$B$4:$E$35,3,0),IF(G464="Diesel",VLOOKUP(C464,'DESCUENTO PROVEEDORES'!$B$4:$E$35,4,0),"Seleccione Proveedor"))),"-")</f>
        <v>Seleccione Proveedor</v>
      </c>
      <c r="N464" s="20" t="e">
        <f>((((K464-H464)/1.16)-M464))</f>
        <v>#VALUE!</v>
      </c>
      <c r="O464" s="21" t="e">
        <f>((N464*16%)+N464)+H464+L464</f>
        <v>#VALUE!</v>
      </c>
      <c r="P464" s="21" t="e">
        <f>(((J464-O464)-H464)/1.16)+H464</f>
        <v>#VALUE!</v>
      </c>
      <c r="Q464" s="44"/>
      <c r="R464" s="24"/>
      <c r="S464" s="23" t="e">
        <f t="shared" si="21"/>
        <v>#DIV/0!</v>
      </c>
      <c r="T464" s="23" t="e">
        <f t="shared" si="22"/>
        <v>#DIV/0!</v>
      </c>
      <c r="U464" s="22" t="e">
        <f t="shared" si="23"/>
        <v>#DIV/0!</v>
      </c>
      <c r="V464" s="44"/>
      <c r="W464" s="44"/>
      <c r="X464" s="44"/>
      <c r="Y464" s="44"/>
      <c r="Z464" s="44"/>
    </row>
    <row r="465" spans="1:26" ht="15.75" customHeight="1">
      <c r="A465" s="44"/>
      <c r="B465" s="14"/>
      <c r="C465" s="53"/>
      <c r="D465" s="15"/>
      <c r="E465" s="89"/>
      <c r="F465" s="16"/>
      <c r="G465" s="16"/>
      <c r="H465" s="90" t="str">
        <f>IF(G465="Regular",Listas!$K$16,IF(G465="Premium",Listas!$K$17,IF(G465="Diesel",Listas!$K$18,"-")))</f>
        <v>-</v>
      </c>
      <c r="I465" s="17"/>
      <c r="J465" s="18"/>
      <c r="K465" s="19" t="str">
        <f>+IFERROR(IF(G465="Regular",VLOOKUP(C465,'PRECIO TERMINAL PEMEX'!$B$4:$E$35,2,0),IF(G465="Premium",VLOOKUP(C465,'PRECIO TERMINAL PEMEX'!$B$4:$E$35,3,0),IF(G465="Diesel",VLOOKUP(C465,'PRECIO TERMINAL PEMEX'!$B$4:$E$35,4,0),"Seleccione Producto"))),"-")</f>
        <v>Seleccione Producto</v>
      </c>
      <c r="L465" s="93" t="str">
        <f>+IFERROR(IF(F465="VHSA",VLOOKUP(B465,Listas!$C$4:$F$17,2,0),IF(F465="DOS BOCAS",VLOOKUP(B465,Listas!$C$4:$F$17,3,0),IF(F465="GLENCORE",VLOOKUP(B465,Listas!$C$4:$F$17,4,0),"Seleccione TAR"))),"-")</f>
        <v>Seleccione TAR</v>
      </c>
      <c r="M465" s="19" t="str">
        <f>+IFERROR(IF(G465="Regular",VLOOKUP(C465,'DESCUENTO PROVEEDORES'!$B$4:$E$35,2,0),IF(G465="Premium",VLOOKUP(C465,'DESCUENTO PROVEEDORES'!$B$4:$E$35,3,0),IF(G465="Diesel",VLOOKUP(C465,'DESCUENTO PROVEEDORES'!$B$4:$E$35,4,0),"Seleccione Proveedor"))),"-")</f>
        <v>Seleccione Proveedor</v>
      </c>
      <c r="N465" s="20" t="e">
        <f>((((K465-H465)/1.16)-M465))</f>
        <v>#VALUE!</v>
      </c>
      <c r="O465" s="21" t="e">
        <f>((N465*16%)+N465)+H465+L465</f>
        <v>#VALUE!</v>
      </c>
      <c r="P465" s="21" t="e">
        <f>(((J465-O465)-H465)/1.16)+H465</f>
        <v>#VALUE!</v>
      </c>
      <c r="Q465" s="44"/>
      <c r="R465" s="24"/>
      <c r="S465" s="23" t="e">
        <f t="shared" si="21"/>
        <v>#DIV/0!</v>
      </c>
      <c r="T465" s="23" t="e">
        <f t="shared" si="22"/>
        <v>#DIV/0!</v>
      </c>
      <c r="U465" s="22" t="e">
        <f t="shared" si="23"/>
        <v>#DIV/0!</v>
      </c>
      <c r="V465" s="44"/>
      <c r="W465" s="44"/>
      <c r="X465" s="44"/>
      <c r="Y465" s="44"/>
      <c r="Z465" s="44"/>
    </row>
    <row r="466" spans="1:26" ht="15.75" customHeight="1">
      <c r="A466" s="44"/>
      <c r="B466" s="14"/>
      <c r="C466" s="53"/>
      <c r="D466" s="15"/>
      <c r="E466" s="89"/>
      <c r="F466" s="16"/>
      <c r="G466" s="16"/>
      <c r="H466" s="90" t="str">
        <f>IF(G466="Regular",Listas!$K$16,IF(G466="Premium",Listas!$K$17,IF(G466="Diesel",Listas!$K$18,"-")))</f>
        <v>-</v>
      </c>
      <c r="I466" s="17"/>
      <c r="J466" s="18"/>
      <c r="K466" s="19" t="str">
        <f>+IFERROR(IF(G466="Regular",VLOOKUP(C466,'PRECIO TERMINAL PEMEX'!$B$4:$E$35,2,0),IF(G466="Premium",VLOOKUP(C466,'PRECIO TERMINAL PEMEX'!$B$4:$E$35,3,0),IF(G466="Diesel",VLOOKUP(C466,'PRECIO TERMINAL PEMEX'!$B$4:$E$35,4,0),"Seleccione Producto"))),"-")</f>
        <v>Seleccione Producto</v>
      </c>
      <c r="L466" s="93" t="str">
        <f>+IFERROR(IF(F466="VHSA",VLOOKUP(B466,Listas!$C$4:$F$17,2,0),IF(F466="DOS BOCAS",VLOOKUP(B466,Listas!$C$4:$F$17,3,0),IF(F466="GLENCORE",VLOOKUP(B466,Listas!$C$4:$F$17,4,0),"Seleccione TAR"))),"-")</f>
        <v>Seleccione TAR</v>
      </c>
      <c r="M466" s="19" t="str">
        <f>+IFERROR(IF(G466="Regular",VLOOKUP(C466,'DESCUENTO PROVEEDORES'!$B$4:$E$35,2,0),IF(G466="Premium",VLOOKUP(C466,'DESCUENTO PROVEEDORES'!$B$4:$E$35,3,0),IF(G466="Diesel",VLOOKUP(C466,'DESCUENTO PROVEEDORES'!$B$4:$E$35,4,0),"Seleccione Proveedor"))),"-")</f>
        <v>Seleccione Proveedor</v>
      </c>
      <c r="N466" s="20" t="e">
        <f>((((K466-H466)/1.16)-M466))</f>
        <v>#VALUE!</v>
      </c>
      <c r="O466" s="21" t="e">
        <f>((N466*16%)+N466)+H466+L466</f>
        <v>#VALUE!</v>
      </c>
      <c r="P466" s="21" t="e">
        <f>(((J466-O466)-H466)/1.16)+H466</f>
        <v>#VALUE!</v>
      </c>
      <c r="Q466" s="44"/>
      <c r="R466" s="24"/>
      <c r="S466" s="23" t="e">
        <f t="shared" si="21"/>
        <v>#DIV/0!</v>
      </c>
      <c r="T466" s="23" t="e">
        <f t="shared" si="22"/>
        <v>#DIV/0!</v>
      </c>
      <c r="U466" s="22" t="e">
        <f t="shared" si="23"/>
        <v>#DIV/0!</v>
      </c>
      <c r="V466" s="44"/>
      <c r="W466" s="44"/>
      <c r="X466" s="44"/>
      <c r="Y466" s="44"/>
      <c r="Z466" s="44"/>
    </row>
    <row r="467" spans="1:26" ht="15.75" customHeight="1">
      <c r="A467" s="44"/>
      <c r="B467" s="14"/>
      <c r="C467" s="53"/>
      <c r="D467" s="15"/>
      <c r="E467" s="89"/>
      <c r="F467" s="16"/>
      <c r="G467" s="16"/>
      <c r="H467" s="90" t="str">
        <f>IF(G467="Regular",Listas!$K$16,IF(G467="Premium",Listas!$K$17,IF(G467="Diesel",Listas!$K$18,"-")))</f>
        <v>-</v>
      </c>
      <c r="I467" s="17"/>
      <c r="J467" s="18"/>
      <c r="K467" s="19" t="str">
        <f>+IFERROR(IF(G467="Regular",VLOOKUP(C467,'PRECIO TERMINAL PEMEX'!$B$4:$E$35,2,0),IF(G467="Premium",VLOOKUP(C467,'PRECIO TERMINAL PEMEX'!$B$4:$E$35,3,0),IF(G467="Diesel",VLOOKUP(C467,'PRECIO TERMINAL PEMEX'!$B$4:$E$35,4,0),"Seleccione Producto"))),"-")</f>
        <v>Seleccione Producto</v>
      </c>
      <c r="L467" s="93" t="str">
        <f>+IFERROR(IF(F467="VHSA",VLOOKUP(B467,Listas!$C$4:$F$17,2,0),IF(F467="DOS BOCAS",VLOOKUP(B467,Listas!$C$4:$F$17,3,0),IF(F467="GLENCORE",VLOOKUP(B467,Listas!$C$4:$F$17,4,0),"Seleccione TAR"))),"-")</f>
        <v>Seleccione TAR</v>
      </c>
      <c r="M467" s="19" t="str">
        <f>+IFERROR(IF(G467="Regular",VLOOKUP(C467,'DESCUENTO PROVEEDORES'!$B$4:$E$35,2,0),IF(G467="Premium",VLOOKUP(C467,'DESCUENTO PROVEEDORES'!$B$4:$E$35,3,0),IF(G467="Diesel",VLOOKUP(C467,'DESCUENTO PROVEEDORES'!$B$4:$E$35,4,0),"Seleccione Proveedor"))),"-")</f>
        <v>Seleccione Proveedor</v>
      </c>
      <c r="N467" s="20" t="e">
        <f>((((K467-H467)/1.16)-M467))</f>
        <v>#VALUE!</v>
      </c>
      <c r="O467" s="21" t="e">
        <f>((N467*16%)+N467)+H467+L467</f>
        <v>#VALUE!</v>
      </c>
      <c r="P467" s="21" t="e">
        <f>(((J467-O467)-H467)/1.16)+H467</f>
        <v>#VALUE!</v>
      </c>
      <c r="Q467" s="44"/>
      <c r="R467" s="24"/>
      <c r="S467" s="23" t="e">
        <f t="shared" si="21"/>
        <v>#DIV/0!</v>
      </c>
      <c r="T467" s="23" t="e">
        <f t="shared" si="22"/>
        <v>#DIV/0!</v>
      </c>
      <c r="U467" s="22" t="e">
        <f t="shared" si="23"/>
        <v>#DIV/0!</v>
      </c>
      <c r="V467" s="44"/>
      <c r="W467" s="44"/>
      <c r="X467" s="44"/>
      <c r="Y467" s="44"/>
      <c r="Z467" s="44"/>
    </row>
    <row r="468" spans="1:26" ht="15.75" customHeight="1">
      <c r="A468" s="44"/>
      <c r="B468" s="14"/>
      <c r="C468" s="53"/>
      <c r="D468" s="15"/>
      <c r="E468" s="89"/>
      <c r="F468" s="16"/>
      <c r="G468" s="16"/>
      <c r="H468" s="90" t="str">
        <f>IF(G468="Regular",Listas!$K$16,IF(G468="Premium",Listas!$K$17,IF(G468="Diesel",Listas!$K$18,"-")))</f>
        <v>-</v>
      </c>
      <c r="I468" s="17"/>
      <c r="J468" s="18"/>
      <c r="K468" s="19" t="str">
        <f>+IFERROR(IF(G468="Regular",VLOOKUP(C468,'PRECIO TERMINAL PEMEX'!$B$4:$E$35,2,0),IF(G468="Premium",VLOOKUP(C468,'PRECIO TERMINAL PEMEX'!$B$4:$E$35,3,0),IF(G468="Diesel",VLOOKUP(C468,'PRECIO TERMINAL PEMEX'!$B$4:$E$35,4,0),"Seleccione Producto"))),"-")</f>
        <v>Seleccione Producto</v>
      </c>
      <c r="L468" s="93" t="str">
        <f>+IFERROR(IF(F468="VHSA",VLOOKUP(B468,Listas!$C$4:$F$17,2,0),IF(F468="DOS BOCAS",VLOOKUP(B468,Listas!$C$4:$F$17,3,0),IF(F468="GLENCORE",VLOOKUP(B468,Listas!$C$4:$F$17,4,0),"Seleccione TAR"))),"-")</f>
        <v>Seleccione TAR</v>
      </c>
      <c r="M468" s="19" t="str">
        <f>+IFERROR(IF(G468="Regular",VLOOKUP(C468,'DESCUENTO PROVEEDORES'!$B$4:$E$35,2,0),IF(G468="Premium",VLOOKUP(C468,'DESCUENTO PROVEEDORES'!$B$4:$E$35,3,0),IF(G468="Diesel",VLOOKUP(C468,'DESCUENTO PROVEEDORES'!$B$4:$E$35,4,0),"Seleccione Proveedor"))),"-")</f>
        <v>Seleccione Proveedor</v>
      </c>
      <c r="N468" s="20" t="e">
        <f>((((K468-H468)/1.16)-M468))</f>
        <v>#VALUE!</v>
      </c>
      <c r="O468" s="21" t="e">
        <f>((N468*16%)+N468)+H468+L468</f>
        <v>#VALUE!</v>
      </c>
      <c r="P468" s="21" t="e">
        <f>(((J468-O468)-H468)/1.16)+H468</f>
        <v>#VALUE!</v>
      </c>
      <c r="Q468" s="44"/>
      <c r="R468" s="24"/>
      <c r="S468" s="23" t="e">
        <f t="shared" si="21"/>
        <v>#DIV/0!</v>
      </c>
      <c r="T468" s="23" t="e">
        <f t="shared" si="22"/>
        <v>#DIV/0!</v>
      </c>
      <c r="U468" s="22" t="e">
        <f t="shared" si="23"/>
        <v>#DIV/0!</v>
      </c>
      <c r="V468" s="44"/>
      <c r="W468" s="44"/>
      <c r="X468" s="44"/>
      <c r="Y468" s="44"/>
      <c r="Z468" s="44"/>
    </row>
    <row r="469" spans="1:26" ht="15.75" customHeight="1">
      <c r="A469" s="44"/>
      <c r="B469" s="14"/>
      <c r="C469" s="53"/>
      <c r="D469" s="15"/>
      <c r="E469" s="89"/>
      <c r="F469" s="16"/>
      <c r="G469" s="16"/>
      <c r="H469" s="90" t="str">
        <f>IF(G469="Regular",Listas!$K$16,IF(G469="Premium",Listas!$K$17,IF(G469="Diesel",Listas!$K$18,"-")))</f>
        <v>-</v>
      </c>
      <c r="I469" s="17"/>
      <c r="J469" s="18"/>
      <c r="K469" s="19" t="str">
        <f>+IFERROR(IF(G469="Regular",VLOOKUP(C469,'PRECIO TERMINAL PEMEX'!$B$4:$E$35,2,0),IF(G469="Premium",VLOOKUP(C469,'PRECIO TERMINAL PEMEX'!$B$4:$E$35,3,0),IF(G469="Diesel",VLOOKUP(C469,'PRECIO TERMINAL PEMEX'!$B$4:$E$35,4,0),"Seleccione Producto"))),"-")</f>
        <v>Seleccione Producto</v>
      </c>
      <c r="L469" s="93" t="str">
        <f>+IFERROR(IF(F469="VHSA",VLOOKUP(B469,Listas!$C$4:$F$17,2,0),IF(F469="DOS BOCAS",VLOOKUP(B469,Listas!$C$4:$F$17,3,0),IF(F469="GLENCORE",VLOOKUP(B469,Listas!$C$4:$F$17,4,0),"Seleccione TAR"))),"-")</f>
        <v>Seleccione TAR</v>
      </c>
      <c r="M469" s="19" t="str">
        <f>+IFERROR(IF(G469="Regular",VLOOKUP(C469,'DESCUENTO PROVEEDORES'!$B$4:$E$35,2,0),IF(G469="Premium",VLOOKUP(C469,'DESCUENTO PROVEEDORES'!$B$4:$E$35,3,0),IF(G469="Diesel",VLOOKUP(C469,'DESCUENTO PROVEEDORES'!$B$4:$E$35,4,0),"Seleccione Proveedor"))),"-")</f>
        <v>Seleccione Proveedor</v>
      </c>
      <c r="N469" s="20" t="e">
        <f>((((K469-H469)/1.16)-M469))</f>
        <v>#VALUE!</v>
      </c>
      <c r="O469" s="21" t="e">
        <f>((N469*16%)+N469)+H469+L469</f>
        <v>#VALUE!</v>
      </c>
      <c r="P469" s="21" t="e">
        <f>(((J469-O469)-H469)/1.16)+H469</f>
        <v>#VALUE!</v>
      </c>
      <c r="Q469" s="44"/>
      <c r="R469" s="24"/>
      <c r="S469" s="23" t="e">
        <f t="shared" si="21"/>
        <v>#DIV/0!</v>
      </c>
      <c r="T469" s="23" t="e">
        <f t="shared" si="22"/>
        <v>#DIV/0!</v>
      </c>
      <c r="U469" s="22" t="e">
        <f t="shared" si="23"/>
        <v>#DIV/0!</v>
      </c>
      <c r="V469" s="44"/>
      <c r="W469" s="44"/>
      <c r="X469" s="44"/>
      <c r="Y469" s="44"/>
      <c r="Z469" s="44"/>
    </row>
    <row r="470" spans="1:26" ht="15.75" customHeight="1">
      <c r="A470" s="44"/>
      <c r="B470" s="14"/>
      <c r="C470" s="53"/>
      <c r="D470" s="15"/>
      <c r="E470" s="89"/>
      <c r="F470" s="16"/>
      <c r="G470" s="16"/>
      <c r="H470" s="90" t="str">
        <f>IF(G470="Regular",Listas!$K$16,IF(G470="Premium",Listas!$K$17,IF(G470="Diesel",Listas!$K$18,"-")))</f>
        <v>-</v>
      </c>
      <c r="I470" s="17"/>
      <c r="J470" s="18"/>
      <c r="K470" s="19" t="str">
        <f>+IFERROR(IF(G470="Regular",VLOOKUP(C470,'PRECIO TERMINAL PEMEX'!$B$4:$E$35,2,0),IF(G470="Premium",VLOOKUP(C470,'PRECIO TERMINAL PEMEX'!$B$4:$E$35,3,0),IF(G470="Diesel",VLOOKUP(C470,'PRECIO TERMINAL PEMEX'!$B$4:$E$35,4,0),"Seleccione Producto"))),"-")</f>
        <v>Seleccione Producto</v>
      </c>
      <c r="L470" s="93" t="str">
        <f>+IFERROR(IF(F470="VHSA",VLOOKUP(B470,Listas!$C$4:$F$17,2,0),IF(F470="DOS BOCAS",VLOOKUP(B470,Listas!$C$4:$F$17,3,0),IF(F470="GLENCORE",VLOOKUP(B470,Listas!$C$4:$F$17,4,0),"Seleccione TAR"))),"-")</f>
        <v>Seleccione TAR</v>
      </c>
      <c r="M470" s="19" t="str">
        <f>+IFERROR(IF(G470="Regular",VLOOKUP(C470,'DESCUENTO PROVEEDORES'!$B$4:$E$35,2,0),IF(G470="Premium",VLOOKUP(C470,'DESCUENTO PROVEEDORES'!$B$4:$E$35,3,0),IF(G470="Diesel",VLOOKUP(C470,'DESCUENTO PROVEEDORES'!$B$4:$E$35,4,0),"Seleccione Proveedor"))),"-")</f>
        <v>Seleccione Proveedor</v>
      </c>
      <c r="N470" s="20" t="e">
        <f>((((K470-H470)/1.16)-M470))</f>
        <v>#VALUE!</v>
      </c>
      <c r="O470" s="21" t="e">
        <f>((N470*16%)+N470)+H470+L470</f>
        <v>#VALUE!</v>
      </c>
      <c r="P470" s="21" t="e">
        <f>(((J470-O470)-H470)/1.16)+H470</f>
        <v>#VALUE!</v>
      </c>
      <c r="Q470" s="44"/>
      <c r="R470" s="24"/>
      <c r="S470" s="23" t="e">
        <f t="shared" si="21"/>
        <v>#DIV/0!</v>
      </c>
      <c r="T470" s="23" t="e">
        <f t="shared" si="22"/>
        <v>#DIV/0!</v>
      </c>
      <c r="U470" s="22" t="e">
        <f t="shared" si="23"/>
        <v>#DIV/0!</v>
      </c>
      <c r="V470" s="44"/>
      <c r="W470" s="44"/>
      <c r="X470" s="44"/>
      <c r="Y470" s="44"/>
      <c r="Z470" s="44"/>
    </row>
    <row r="471" spans="1:26" ht="15.75" customHeight="1">
      <c r="A471" s="44"/>
      <c r="B471" s="14"/>
      <c r="C471" s="53"/>
      <c r="D471" s="15"/>
      <c r="E471" s="89"/>
      <c r="F471" s="16"/>
      <c r="G471" s="16"/>
      <c r="H471" s="90" t="str">
        <f>IF(G471="Regular",Listas!$K$16,IF(G471="Premium",Listas!$K$17,IF(G471="Diesel",Listas!$K$18,"-")))</f>
        <v>-</v>
      </c>
      <c r="I471" s="17"/>
      <c r="J471" s="18"/>
      <c r="K471" s="19" t="str">
        <f>+IFERROR(IF(G471="Regular",VLOOKUP(C471,'PRECIO TERMINAL PEMEX'!$B$4:$E$35,2,0),IF(G471="Premium",VLOOKUP(C471,'PRECIO TERMINAL PEMEX'!$B$4:$E$35,3,0),IF(G471="Diesel",VLOOKUP(C471,'PRECIO TERMINAL PEMEX'!$B$4:$E$35,4,0),"Seleccione Producto"))),"-")</f>
        <v>Seleccione Producto</v>
      </c>
      <c r="L471" s="93" t="str">
        <f>+IFERROR(IF(F471="VHSA",VLOOKUP(B471,Listas!$C$4:$F$17,2,0),IF(F471="DOS BOCAS",VLOOKUP(B471,Listas!$C$4:$F$17,3,0),IF(F471="GLENCORE",VLOOKUP(B471,Listas!$C$4:$F$17,4,0),"Seleccione TAR"))),"-")</f>
        <v>Seleccione TAR</v>
      </c>
      <c r="M471" s="19" t="str">
        <f>+IFERROR(IF(G471="Regular",VLOOKUP(C471,'DESCUENTO PROVEEDORES'!$B$4:$E$35,2,0),IF(G471="Premium",VLOOKUP(C471,'DESCUENTO PROVEEDORES'!$B$4:$E$35,3,0),IF(G471="Diesel",VLOOKUP(C471,'DESCUENTO PROVEEDORES'!$B$4:$E$35,4,0),"Seleccione Proveedor"))),"-")</f>
        <v>Seleccione Proveedor</v>
      </c>
      <c r="N471" s="20" t="e">
        <f>((((K471-H471)/1.16)-M471))</f>
        <v>#VALUE!</v>
      </c>
      <c r="O471" s="21" t="e">
        <f>((N471*16%)+N471)+H471+L471</f>
        <v>#VALUE!</v>
      </c>
      <c r="P471" s="21" t="e">
        <f>(((J471-O471)-H471)/1.16)+H471</f>
        <v>#VALUE!</v>
      </c>
      <c r="Q471" s="44"/>
      <c r="R471" s="24"/>
      <c r="S471" s="23" t="e">
        <f t="shared" si="21"/>
        <v>#DIV/0!</v>
      </c>
      <c r="T471" s="23" t="e">
        <f t="shared" si="22"/>
        <v>#DIV/0!</v>
      </c>
      <c r="U471" s="22" t="e">
        <f t="shared" si="23"/>
        <v>#DIV/0!</v>
      </c>
      <c r="V471" s="44"/>
      <c r="W471" s="44"/>
      <c r="X471" s="44"/>
      <c r="Y471" s="44"/>
      <c r="Z471" s="44"/>
    </row>
    <row r="472" spans="1:26" ht="15.75" customHeight="1">
      <c r="A472" s="44"/>
      <c r="B472" s="14"/>
      <c r="C472" s="53"/>
      <c r="D472" s="15"/>
      <c r="E472" s="89"/>
      <c r="F472" s="16"/>
      <c r="G472" s="16"/>
      <c r="H472" s="90" t="str">
        <f>IF(G472="Regular",Listas!$K$16,IF(G472="Premium",Listas!$K$17,IF(G472="Diesel",Listas!$K$18,"-")))</f>
        <v>-</v>
      </c>
      <c r="I472" s="17"/>
      <c r="J472" s="18"/>
      <c r="K472" s="19" t="str">
        <f>+IFERROR(IF(G472="Regular",VLOOKUP(C472,'PRECIO TERMINAL PEMEX'!$B$4:$E$35,2,0),IF(G472="Premium",VLOOKUP(C472,'PRECIO TERMINAL PEMEX'!$B$4:$E$35,3,0),IF(G472="Diesel",VLOOKUP(C472,'PRECIO TERMINAL PEMEX'!$B$4:$E$35,4,0),"Seleccione Producto"))),"-")</f>
        <v>Seleccione Producto</v>
      </c>
      <c r="L472" s="93" t="str">
        <f>+IFERROR(IF(F472="VHSA",VLOOKUP(B472,Listas!$C$4:$F$17,2,0),IF(F472="DOS BOCAS",VLOOKUP(B472,Listas!$C$4:$F$17,3,0),IF(F472="GLENCORE",VLOOKUP(B472,Listas!$C$4:$F$17,4,0),"Seleccione TAR"))),"-")</f>
        <v>Seleccione TAR</v>
      </c>
      <c r="M472" s="19" t="str">
        <f>+IFERROR(IF(G472="Regular",VLOOKUP(C472,'DESCUENTO PROVEEDORES'!$B$4:$E$35,2,0),IF(G472="Premium",VLOOKUP(C472,'DESCUENTO PROVEEDORES'!$B$4:$E$35,3,0),IF(G472="Diesel",VLOOKUP(C472,'DESCUENTO PROVEEDORES'!$B$4:$E$35,4,0),"Seleccione Proveedor"))),"-")</f>
        <v>Seleccione Proveedor</v>
      </c>
      <c r="N472" s="20" t="e">
        <f>((((K472-H472)/1.16)-M472))</f>
        <v>#VALUE!</v>
      </c>
      <c r="O472" s="21" t="e">
        <f>((N472*16%)+N472)+H472+L472</f>
        <v>#VALUE!</v>
      </c>
      <c r="P472" s="21" t="e">
        <f>(((J472-O472)-H472)/1.16)+H472</f>
        <v>#VALUE!</v>
      </c>
      <c r="Q472" s="44"/>
      <c r="R472" s="24"/>
      <c r="S472" s="23" t="e">
        <f t="shared" si="21"/>
        <v>#DIV/0!</v>
      </c>
      <c r="T472" s="23" t="e">
        <f t="shared" si="22"/>
        <v>#DIV/0!</v>
      </c>
      <c r="U472" s="22" t="e">
        <f t="shared" si="23"/>
        <v>#DIV/0!</v>
      </c>
      <c r="V472" s="44"/>
      <c r="W472" s="44"/>
      <c r="X472" s="44"/>
      <c r="Y472" s="44"/>
      <c r="Z472" s="44"/>
    </row>
    <row r="473" spans="1:26" ht="15.75" customHeight="1">
      <c r="A473" s="44"/>
      <c r="B473" s="14"/>
      <c r="C473" s="53"/>
      <c r="D473" s="15"/>
      <c r="E473" s="89"/>
      <c r="F473" s="16"/>
      <c r="G473" s="16"/>
      <c r="H473" s="90" t="str">
        <f>IF(G473="Regular",Listas!$K$16,IF(G473="Premium",Listas!$K$17,IF(G473="Diesel",Listas!$K$18,"-")))</f>
        <v>-</v>
      </c>
      <c r="I473" s="17"/>
      <c r="J473" s="18"/>
      <c r="K473" s="19" t="str">
        <f>+IFERROR(IF(G473="Regular",VLOOKUP(C473,'PRECIO TERMINAL PEMEX'!$B$4:$E$35,2,0),IF(G473="Premium",VLOOKUP(C473,'PRECIO TERMINAL PEMEX'!$B$4:$E$35,3,0),IF(G473="Diesel",VLOOKUP(C473,'PRECIO TERMINAL PEMEX'!$B$4:$E$35,4,0),"Seleccione Producto"))),"-")</f>
        <v>Seleccione Producto</v>
      </c>
      <c r="L473" s="93" t="str">
        <f>+IFERROR(IF(F473="VHSA",VLOOKUP(B473,Listas!$C$4:$F$17,2,0),IF(F473="DOS BOCAS",VLOOKUP(B473,Listas!$C$4:$F$17,3,0),IF(F473="GLENCORE",VLOOKUP(B473,Listas!$C$4:$F$17,4,0),"Seleccione TAR"))),"-")</f>
        <v>Seleccione TAR</v>
      </c>
      <c r="M473" s="19" t="str">
        <f>+IFERROR(IF(G473="Regular",VLOOKUP(C473,'DESCUENTO PROVEEDORES'!$B$4:$E$35,2,0),IF(G473="Premium",VLOOKUP(C473,'DESCUENTO PROVEEDORES'!$B$4:$E$35,3,0),IF(G473="Diesel",VLOOKUP(C473,'DESCUENTO PROVEEDORES'!$B$4:$E$35,4,0),"Seleccione Proveedor"))),"-")</f>
        <v>Seleccione Proveedor</v>
      </c>
      <c r="N473" s="20" t="e">
        <f>((((K473-H473)/1.16)-M473))</f>
        <v>#VALUE!</v>
      </c>
      <c r="O473" s="21" t="e">
        <f>((N473*16%)+N473)+H473+L473</f>
        <v>#VALUE!</v>
      </c>
      <c r="P473" s="21" t="e">
        <f>(((J473-O473)-H473)/1.16)+H473</f>
        <v>#VALUE!</v>
      </c>
      <c r="Q473" s="44"/>
      <c r="R473" s="24"/>
      <c r="S473" s="23" t="e">
        <f t="shared" si="21"/>
        <v>#DIV/0!</v>
      </c>
      <c r="T473" s="23" t="e">
        <f t="shared" si="22"/>
        <v>#DIV/0!</v>
      </c>
      <c r="U473" s="22" t="e">
        <f t="shared" si="23"/>
        <v>#DIV/0!</v>
      </c>
      <c r="V473" s="44"/>
      <c r="W473" s="44"/>
      <c r="X473" s="44"/>
      <c r="Y473" s="44"/>
      <c r="Z473" s="44"/>
    </row>
    <row r="474" spans="1:26" ht="15.75" customHeight="1">
      <c r="A474" s="44"/>
      <c r="B474" s="14"/>
      <c r="C474" s="53"/>
      <c r="D474" s="15"/>
      <c r="E474" s="89"/>
      <c r="F474" s="16"/>
      <c r="G474" s="16"/>
      <c r="H474" s="90" t="str">
        <f>IF(G474="Regular",Listas!$K$16,IF(G474="Premium",Listas!$K$17,IF(G474="Diesel",Listas!$K$18,"-")))</f>
        <v>-</v>
      </c>
      <c r="I474" s="17"/>
      <c r="J474" s="18"/>
      <c r="K474" s="19" t="str">
        <f>+IFERROR(IF(G474="Regular",VLOOKUP(C474,'PRECIO TERMINAL PEMEX'!$B$4:$E$35,2,0),IF(G474="Premium",VLOOKUP(C474,'PRECIO TERMINAL PEMEX'!$B$4:$E$35,3,0),IF(G474="Diesel",VLOOKUP(C474,'PRECIO TERMINAL PEMEX'!$B$4:$E$35,4,0),"Seleccione Producto"))),"-")</f>
        <v>Seleccione Producto</v>
      </c>
      <c r="L474" s="93" t="str">
        <f>+IFERROR(IF(F474="VHSA",VLOOKUP(B474,Listas!$C$4:$F$17,2,0),IF(F474="DOS BOCAS",VLOOKUP(B474,Listas!$C$4:$F$17,3,0),IF(F474="GLENCORE",VLOOKUP(B474,Listas!$C$4:$F$17,4,0),"Seleccione TAR"))),"-")</f>
        <v>Seleccione TAR</v>
      </c>
      <c r="M474" s="19" t="str">
        <f>+IFERROR(IF(G474="Regular",VLOOKUP(C474,'DESCUENTO PROVEEDORES'!$B$4:$E$35,2,0),IF(G474="Premium",VLOOKUP(C474,'DESCUENTO PROVEEDORES'!$B$4:$E$35,3,0),IF(G474="Diesel",VLOOKUP(C474,'DESCUENTO PROVEEDORES'!$B$4:$E$35,4,0),"Seleccione Proveedor"))),"-")</f>
        <v>Seleccione Proveedor</v>
      </c>
      <c r="N474" s="20" t="e">
        <f>((((K474-H474)/1.16)-M474))</f>
        <v>#VALUE!</v>
      </c>
      <c r="O474" s="21" t="e">
        <f>((N474*16%)+N474)+H474+L474</f>
        <v>#VALUE!</v>
      </c>
      <c r="P474" s="21" t="e">
        <f>(((J474-O474)-H474)/1.16)+H474</f>
        <v>#VALUE!</v>
      </c>
      <c r="Q474" s="44"/>
      <c r="R474" s="24"/>
      <c r="S474" s="23" t="e">
        <f t="shared" si="21"/>
        <v>#DIV/0!</v>
      </c>
      <c r="T474" s="23" t="e">
        <f t="shared" si="22"/>
        <v>#DIV/0!</v>
      </c>
      <c r="U474" s="22" t="e">
        <f t="shared" si="23"/>
        <v>#DIV/0!</v>
      </c>
      <c r="V474" s="44"/>
      <c r="W474" s="44"/>
      <c r="X474" s="44"/>
      <c r="Y474" s="44"/>
      <c r="Z474" s="44"/>
    </row>
    <row r="475" spans="1:26" ht="15.75" customHeight="1">
      <c r="A475" s="44"/>
      <c r="B475" s="14"/>
      <c r="C475" s="53"/>
      <c r="D475" s="15"/>
      <c r="E475" s="89"/>
      <c r="F475" s="16"/>
      <c r="G475" s="16"/>
      <c r="H475" s="90" t="str">
        <f>IF(G475="Regular",Listas!$K$16,IF(G475="Premium",Listas!$K$17,IF(G475="Diesel",Listas!$K$18,"-")))</f>
        <v>-</v>
      </c>
      <c r="I475" s="17"/>
      <c r="J475" s="18"/>
      <c r="K475" s="19" t="str">
        <f>+IFERROR(IF(G475="Regular",VLOOKUP(C475,'PRECIO TERMINAL PEMEX'!$B$4:$E$35,2,0),IF(G475="Premium",VLOOKUP(C475,'PRECIO TERMINAL PEMEX'!$B$4:$E$35,3,0),IF(G475="Diesel",VLOOKUP(C475,'PRECIO TERMINAL PEMEX'!$B$4:$E$35,4,0),"Seleccione Producto"))),"-")</f>
        <v>Seleccione Producto</v>
      </c>
      <c r="L475" s="93" t="str">
        <f>+IFERROR(IF(F475="VHSA",VLOOKUP(B475,Listas!$C$4:$F$17,2,0),IF(F475="DOS BOCAS",VLOOKUP(B475,Listas!$C$4:$F$17,3,0),IF(F475="GLENCORE",VLOOKUP(B475,Listas!$C$4:$F$17,4,0),"Seleccione TAR"))),"-")</f>
        <v>Seleccione TAR</v>
      </c>
      <c r="M475" s="19" t="str">
        <f>+IFERROR(IF(G475="Regular",VLOOKUP(C475,'DESCUENTO PROVEEDORES'!$B$4:$E$35,2,0),IF(G475="Premium",VLOOKUP(C475,'DESCUENTO PROVEEDORES'!$B$4:$E$35,3,0),IF(G475="Diesel",VLOOKUP(C475,'DESCUENTO PROVEEDORES'!$B$4:$E$35,4,0),"Seleccione Proveedor"))),"-")</f>
        <v>Seleccione Proveedor</v>
      </c>
      <c r="N475" s="20" t="e">
        <f>((((K475-H475)/1.16)-M475))</f>
        <v>#VALUE!</v>
      </c>
      <c r="O475" s="21" t="e">
        <f>((N475*16%)+N475)+H475+L475</f>
        <v>#VALUE!</v>
      </c>
      <c r="P475" s="21" t="e">
        <f>(((J475-O475)-H475)/1.16)+H475</f>
        <v>#VALUE!</v>
      </c>
      <c r="Q475" s="44"/>
      <c r="R475" s="24"/>
      <c r="S475" s="23" t="e">
        <f t="shared" si="21"/>
        <v>#DIV/0!</v>
      </c>
      <c r="T475" s="23" t="e">
        <f t="shared" si="22"/>
        <v>#DIV/0!</v>
      </c>
      <c r="U475" s="22" t="e">
        <f t="shared" si="23"/>
        <v>#DIV/0!</v>
      </c>
      <c r="V475" s="44"/>
      <c r="W475" s="44"/>
      <c r="X475" s="44"/>
      <c r="Y475" s="44"/>
      <c r="Z475" s="44"/>
    </row>
    <row r="476" spans="1:26" ht="15.75" customHeight="1">
      <c r="A476" s="44"/>
      <c r="B476" s="14"/>
      <c r="C476" s="53"/>
      <c r="D476" s="15"/>
      <c r="E476" s="89"/>
      <c r="F476" s="16"/>
      <c r="G476" s="16"/>
      <c r="H476" s="90" t="str">
        <f>IF(G476="Regular",Listas!$K$16,IF(G476="Premium",Listas!$K$17,IF(G476="Diesel",Listas!$K$18,"-")))</f>
        <v>-</v>
      </c>
      <c r="I476" s="17"/>
      <c r="J476" s="18"/>
      <c r="K476" s="19" t="str">
        <f>+IFERROR(IF(G476="Regular",VLOOKUP(C476,'PRECIO TERMINAL PEMEX'!$B$4:$E$35,2,0),IF(G476="Premium",VLOOKUP(C476,'PRECIO TERMINAL PEMEX'!$B$4:$E$35,3,0),IF(G476="Diesel",VLOOKUP(C476,'PRECIO TERMINAL PEMEX'!$B$4:$E$35,4,0),"Seleccione Producto"))),"-")</f>
        <v>Seleccione Producto</v>
      </c>
      <c r="L476" s="93" t="str">
        <f>+IFERROR(IF(F476="VHSA",VLOOKUP(B476,Listas!$C$4:$F$17,2,0),IF(F476="DOS BOCAS",VLOOKUP(B476,Listas!$C$4:$F$17,3,0),IF(F476="GLENCORE",VLOOKUP(B476,Listas!$C$4:$F$17,4,0),"Seleccione TAR"))),"-")</f>
        <v>Seleccione TAR</v>
      </c>
      <c r="M476" s="19" t="str">
        <f>+IFERROR(IF(G476="Regular",VLOOKUP(C476,'DESCUENTO PROVEEDORES'!$B$4:$E$35,2,0),IF(G476="Premium",VLOOKUP(C476,'DESCUENTO PROVEEDORES'!$B$4:$E$35,3,0),IF(G476="Diesel",VLOOKUP(C476,'DESCUENTO PROVEEDORES'!$B$4:$E$35,4,0),"Seleccione Proveedor"))),"-")</f>
        <v>Seleccione Proveedor</v>
      </c>
      <c r="N476" s="20" t="e">
        <f>((((K476-H476)/1.16)-M476))</f>
        <v>#VALUE!</v>
      </c>
      <c r="O476" s="21" t="e">
        <f>((N476*16%)+N476)+H476+L476</f>
        <v>#VALUE!</v>
      </c>
      <c r="P476" s="21" t="e">
        <f>(((J476-O476)-H476)/1.16)+H476</f>
        <v>#VALUE!</v>
      </c>
      <c r="Q476" s="44"/>
      <c r="R476" s="24"/>
      <c r="S476" s="23" t="e">
        <f t="shared" si="21"/>
        <v>#DIV/0!</v>
      </c>
      <c r="T476" s="23" t="e">
        <f t="shared" si="22"/>
        <v>#DIV/0!</v>
      </c>
      <c r="U476" s="22" t="e">
        <f t="shared" si="23"/>
        <v>#DIV/0!</v>
      </c>
      <c r="V476" s="44"/>
      <c r="W476" s="44"/>
      <c r="X476" s="44"/>
      <c r="Y476" s="44"/>
      <c r="Z476" s="44"/>
    </row>
    <row r="477" spans="1:26" ht="15.75" customHeight="1">
      <c r="A477" s="44"/>
      <c r="B477" s="14"/>
      <c r="C477" s="53"/>
      <c r="D477" s="15"/>
      <c r="E477" s="89"/>
      <c r="F477" s="16"/>
      <c r="G477" s="16"/>
      <c r="H477" s="90" t="str">
        <f>IF(G477="Regular",Listas!$K$16,IF(G477="Premium",Listas!$K$17,IF(G477="Diesel",Listas!$K$18,"-")))</f>
        <v>-</v>
      </c>
      <c r="I477" s="17"/>
      <c r="J477" s="18"/>
      <c r="K477" s="19" t="str">
        <f>+IFERROR(IF(G477="Regular",VLOOKUP(C477,'PRECIO TERMINAL PEMEX'!$B$4:$E$35,2,0),IF(G477="Premium",VLOOKUP(C477,'PRECIO TERMINAL PEMEX'!$B$4:$E$35,3,0),IF(G477="Diesel",VLOOKUP(C477,'PRECIO TERMINAL PEMEX'!$B$4:$E$35,4,0),"Seleccione Producto"))),"-")</f>
        <v>Seleccione Producto</v>
      </c>
      <c r="L477" s="93" t="str">
        <f>+IFERROR(IF(F477="VHSA",VLOOKUP(B477,Listas!$C$4:$F$17,2,0),IF(F477="DOS BOCAS",VLOOKUP(B477,Listas!$C$4:$F$17,3,0),IF(F477="GLENCORE",VLOOKUP(B477,Listas!$C$4:$F$17,4,0),"Seleccione TAR"))),"-")</f>
        <v>Seleccione TAR</v>
      </c>
      <c r="M477" s="19" t="str">
        <f>+IFERROR(IF(G477="Regular",VLOOKUP(C477,'DESCUENTO PROVEEDORES'!$B$4:$E$35,2,0),IF(G477="Premium",VLOOKUP(C477,'DESCUENTO PROVEEDORES'!$B$4:$E$35,3,0),IF(G477="Diesel",VLOOKUP(C477,'DESCUENTO PROVEEDORES'!$B$4:$E$35,4,0),"Seleccione Proveedor"))),"-")</f>
        <v>Seleccione Proveedor</v>
      </c>
      <c r="N477" s="20" t="e">
        <f>((((K477-H477)/1.16)-M477))</f>
        <v>#VALUE!</v>
      </c>
      <c r="O477" s="21" t="e">
        <f>((N477*16%)+N477)+H477+L477</f>
        <v>#VALUE!</v>
      </c>
      <c r="P477" s="21" t="e">
        <f>(((J477-O477)-H477)/1.16)+H477</f>
        <v>#VALUE!</v>
      </c>
      <c r="Q477" s="44"/>
      <c r="R477" s="24"/>
      <c r="S477" s="23" t="e">
        <f t="shared" si="21"/>
        <v>#DIV/0!</v>
      </c>
      <c r="T477" s="23" t="e">
        <f t="shared" si="22"/>
        <v>#DIV/0!</v>
      </c>
      <c r="U477" s="22" t="e">
        <f t="shared" si="23"/>
        <v>#DIV/0!</v>
      </c>
      <c r="V477" s="44"/>
      <c r="W477" s="44"/>
      <c r="X477" s="44"/>
      <c r="Y477" s="44"/>
      <c r="Z477" s="44"/>
    </row>
    <row r="478" spans="1:26" ht="15.75" customHeight="1">
      <c r="A478" s="44"/>
      <c r="B478" s="14"/>
      <c r="C478" s="53"/>
      <c r="D478" s="15"/>
      <c r="E478" s="89"/>
      <c r="F478" s="16"/>
      <c r="G478" s="16"/>
      <c r="H478" s="90" t="str">
        <f>IF(G478="Regular",Listas!$K$16,IF(G478="Premium",Listas!$K$17,IF(G478="Diesel",Listas!$K$18,"-")))</f>
        <v>-</v>
      </c>
      <c r="I478" s="17"/>
      <c r="J478" s="18"/>
      <c r="K478" s="19" t="str">
        <f>+IFERROR(IF(G478="Regular",VLOOKUP(C478,'PRECIO TERMINAL PEMEX'!$B$4:$E$35,2,0),IF(G478="Premium",VLOOKUP(C478,'PRECIO TERMINAL PEMEX'!$B$4:$E$35,3,0),IF(G478="Diesel",VLOOKUP(C478,'PRECIO TERMINAL PEMEX'!$B$4:$E$35,4,0),"Seleccione Producto"))),"-")</f>
        <v>Seleccione Producto</v>
      </c>
      <c r="L478" s="93" t="str">
        <f>+IFERROR(IF(F478="VHSA",VLOOKUP(B478,Listas!$C$4:$F$17,2,0),IF(F478="DOS BOCAS",VLOOKUP(B478,Listas!$C$4:$F$17,3,0),IF(F478="GLENCORE",VLOOKUP(B478,Listas!$C$4:$F$17,4,0),"Seleccione TAR"))),"-")</f>
        <v>Seleccione TAR</v>
      </c>
      <c r="M478" s="19" t="str">
        <f>+IFERROR(IF(G478="Regular",VLOOKUP(C478,'DESCUENTO PROVEEDORES'!$B$4:$E$35,2,0),IF(G478="Premium",VLOOKUP(C478,'DESCUENTO PROVEEDORES'!$B$4:$E$35,3,0),IF(G478="Diesel",VLOOKUP(C478,'DESCUENTO PROVEEDORES'!$B$4:$E$35,4,0),"Seleccione Proveedor"))),"-")</f>
        <v>Seleccione Proveedor</v>
      </c>
      <c r="N478" s="20" t="e">
        <f>((((K478-H478)/1.16)-M478))</f>
        <v>#VALUE!</v>
      </c>
      <c r="O478" s="21" t="e">
        <f>((N478*16%)+N478)+H478+L478</f>
        <v>#VALUE!</v>
      </c>
      <c r="P478" s="21" t="e">
        <f>(((J478-O478)-H478)/1.16)+H478</f>
        <v>#VALUE!</v>
      </c>
      <c r="Q478" s="44"/>
      <c r="R478" s="24"/>
      <c r="S478" s="23" t="e">
        <f t="shared" si="21"/>
        <v>#DIV/0!</v>
      </c>
      <c r="T478" s="23" t="e">
        <f t="shared" si="22"/>
        <v>#DIV/0!</v>
      </c>
      <c r="U478" s="22" t="e">
        <f t="shared" si="23"/>
        <v>#DIV/0!</v>
      </c>
      <c r="V478" s="44"/>
      <c r="W478" s="44"/>
      <c r="X478" s="44"/>
      <c r="Y478" s="44"/>
      <c r="Z478" s="44"/>
    </row>
    <row r="479" spans="1:26" ht="15.75" customHeight="1">
      <c r="A479" s="44"/>
      <c r="B479" s="14"/>
      <c r="C479" s="53"/>
      <c r="D479" s="15"/>
      <c r="E479" s="89"/>
      <c r="F479" s="16"/>
      <c r="G479" s="16"/>
      <c r="H479" s="90" t="str">
        <f>IF(G479="Regular",Listas!$K$16,IF(G479="Premium",Listas!$K$17,IF(G479="Diesel",Listas!$K$18,"-")))</f>
        <v>-</v>
      </c>
      <c r="I479" s="17"/>
      <c r="J479" s="18"/>
      <c r="K479" s="19" t="str">
        <f>+IFERROR(IF(G479="Regular",VLOOKUP(C479,'PRECIO TERMINAL PEMEX'!$B$4:$E$35,2,0),IF(G479="Premium",VLOOKUP(C479,'PRECIO TERMINAL PEMEX'!$B$4:$E$35,3,0),IF(G479="Diesel",VLOOKUP(C479,'PRECIO TERMINAL PEMEX'!$B$4:$E$35,4,0),"Seleccione Producto"))),"-")</f>
        <v>Seleccione Producto</v>
      </c>
      <c r="L479" s="93" t="str">
        <f>+IFERROR(IF(F479="VHSA",VLOOKUP(B479,Listas!$C$4:$F$17,2,0),IF(F479="DOS BOCAS",VLOOKUP(B479,Listas!$C$4:$F$17,3,0),IF(F479="GLENCORE",VLOOKUP(B479,Listas!$C$4:$F$17,4,0),"Seleccione TAR"))),"-")</f>
        <v>Seleccione TAR</v>
      </c>
      <c r="M479" s="19" t="str">
        <f>+IFERROR(IF(G479="Regular",VLOOKUP(C479,'DESCUENTO PROVEEDORES'!$B$4:$E$35,2,0),IF(G479="Premium",VLOOKUP(C479,'DESCUENTO PROVEEDORES'!$B$4:$E$35,3,0),IF(G479="Diesel",VLOOKUP(C479,'DESCUENTO PROVEEDORES'!$B$4:$E$35,4,0),"Seleccione Proveedor"))),"-")</f>
        <v>Seleccione Proveedor</v>
      </c>
      <c r="N479" s="20" t="e">
        <f>((((K479-H479)/1.16)-M479))</f>
        <v>#VALUE!</v>
      </c>
      <c r="O479" s="21" t="e">
        <f>((N479*16%)+N479)+H479+L479</f>
        <v>#VALUE!</v>
      </c>
      <c r="P479" s="21" t="e">
        <f>(((J479-O479)-H479)/1.16)+H479</f>
        <v>#VALUE!</v>
      </c>
      <c r="Q479" s="44"/>
      <c r="R479" s="24"/>
      <c r="S479" s="23" t="e">
        <f t="shared" si="21"/>
        <v>#DIV/0!</v>
      </c>
      <c r="T479" s="23" t="e">
        <f t="shared" si="22"/>
        <v>#DIV/0!</v>
      </c>
      <c r="U479" s="22" t="e">
        <f t="shared" si="23"/>
        <v>#DIV/0!</v>
      </c>
      <c r="V479" s="44"/>
      <c r="W479" s="44"/>
      <c r="X479" s="44"/>
      <c r="Y479" s="44"/>
      <c r="Z479" s="44"/>
    </row>
    <row r="480" spans="1:26" ht="15.75" customHeight="1">
      <c r="A480" s="44"/>
      <c r="B480" s="14"/>
      <c r="C480" s="53"/>
      <c r="D480" s="15"/>
      <c r="E480" s="89"/>
      <c r="F480" s="16"/>
      <c r="G480" s="16"/>
      <c r="H480" s="90" t="str">
        <f>IF(G480="Regular",Listas!$K$16,IF(G480="Premium",Listas!$K$17,IF(G480="Diesel",Listas!$K$18,"-")))</f>
        <v>-</v>
      </c>
      <c r="I480" s="17"/>
      <c r="J480" s="18"/>
      <c r="K480" s="19" t="str">
        <f>+IFERROR(IF(G480="Regular",VLOOKUP(C480,'PRECIO TERMINAL PEMEX'!$B$4:$E$35,2,0),IF(G480="Premium",VLOOKUP(C480,'PRECIO TERMINAL PEMEX'!$B$4:$E$35,3,0),IF(G480="Diesel",VLOOKUP(C480,'PRECIO TERMINAL PEMEX'!$B$4:$E$35,4,0),"Seleccione Producto"))),"-")</f>
        <v>Seleccione Producto</v>
      </c>
      <c r="L480" s="93" t="str">
        <f>+IFERROR(IF(F480="VHSA",VLOOKUP(B480,Listas!$C$4:$F$17,2,0),IF(F480="DOS BOCAS",VLOOKUP(B480,Listas!$C$4:$F$17,3,0),IF(F480="GLENCORE",VLOOKUP(B480,Listas!$C$4:$F$17,4,0),"Seleccione TAR"))),"-")</f>
        <v>Seleccione TAR</v>
      </c>
      <c r="M480" s="19" t="str">
        <f>+IFERROR(IF(G480="Regular",VLOOKUP(C480,'DESCUENTO PROVEEDORES'!$B$4:$E$35,2,0),IF(G480="Premium",VLOOKUP(C480,'DESCUENTO PROVEEDORES'!$B$4:$E$35,3,0),IF(G480="Diesel",VLOOKUP(C480,'DESCUENTO PROVEEDORES'!$B$4:$E$35,4,0),"Seleccione Proveedor"))),"-")</f>
        <v>Seleccione Proveedor</v>
      </c>
      <c r="N480" s="20" t="e">
        <f>((((K480-H480)/1.16)-M480))</f>
        <v>#VALUE!</v>
      </c>
      <c r="O480" s="21" t="e">
        <f>((N480*16%)+N480)+H480+L480</f>
        <v>#VALUE!</v>
      </c>
      <c r="P480" s="21" t="e">
        <f>(((J480-O480)-H480)/1.16)+H480</f>
        <v>#VALUE!</v>
      </c>
      <c r="Q480" s="44"/>
      <c r="R480" s="24"/>
      <c r="S480" s="23" t="e">
        <f t="shared" ref="S480:S543" si="24">R480/I480</f>
        <v>#DIV/0!</v>
      </c>
      <c r="T480" s="23" t="e">
        <f t="shared" ref="T480:T543" si="25">(J480-S480)/1.16</f>
        <v>#DIV/0!</v>
      </c>
      <c r="U480" s="22" t="e">
        <f t="shared" ref="U480:U543" si="26">+T480-P480</f>
        <v>#DIV/0!</v>
      </c>
      <c r="V480" s="44"/>
      <c r="W480" s="44"/>
      <c r="X480" s="44"/>
      <c r="Y480" s="44"/>
      <c r="Z480" s="44"/>
    </row>
    <row r="481" spans="1:26" ht="15.75" customHeight="1">
      <c r="A481" s="44"/>
      <c r="B481" s="14"/>
      <c r="C481" s="53"/>
      <c r="D481" s="15"/>
      <c r="E481" s="89"/>
      <c r="F481" s="16"/>
      <c r="G481" s="16"/>
      <c r="H481" s="90" t="str">
        <f>IF(G481="Regular",Listas!$K$16,IF(G481="Premium",Listas!$K$17,IF(G481="Diesel",Listas!$K$18,"-")))</f>
        <v>-</v>
      </c>
      <c r="I481" s="17"/>
      <c r="J481" s="18"/>
      <c r="K481" s="19" t="str">
        <f>+IFERROR(IF(G481="Regular",VLOOKUP(C481,'PRECIO TERMINAL PEMEX'!$B$4:$E$35,2,0),IF(G481="Premium",VLOOKUP(C481,'PRECIO TERMINAL PEMEX'!$B$4:$E$35,3,0),IF(G481="Diesel",VLOOKUP(C481,'PRECIO TERMINAL PEMEX'!$B$4:$E$35,4,0),"Seleccione Producto"))),"-")</f>
        <v>Seleccione Producto</v>
      </c>
      <c r="L481" s="93" t="str">
        <f>+IFERROR(IF(F481="VHSA",VLOOKUP(B481,Listas!$C$4:$F$17,2,0),IF(F481="DOS BOCAS",VLOOKUP(B481,Listas!$C$4:$F$17,3,0),IF(F481="GLENCORE",VLOOKUP(B481,Listas!$C$4:$F$17,4,0),"Seleccione TAR"))),"-")</f>
        <v>Seleccione TAR</v>
      </c>
      <c r="M481" s="19" t="str">
        <f>+IFERROR(IF(G481="Regular",VLOOKUP(C481,'DESCUENTO PROVEEDORES'!$B$4:$E$35,2,0),IF(G481="Premium",VLOOKUP(C481,'DESCUENTO PROVEEDORES'!$B$4:$E$35,3,0),IF(G481="Diesel",VLOOKUP(C481,'DESCUENTO PROVEEDORES'!$B$4:$E$35,4,0),"Seleccione Proveedor"))),"-")</f>
        <v>Seleccione Proveedor</v>
      </c>
      <c r="N481" s="20" t="e">
        <f>((((K481-H481)/1.16)-M481))</f>
        <v>#VALUE!</v>
      </c>
      <c r="O481" s="21" t="e">
        <f>((N481*16%)+N481)+H481+L481</f>
        <v>#VALUE!</v>
      </c>
      <c r="P481" s="21" t="e">
        <f>(((J481-O481)-H481)/1.16)+H481</f>
        <v>#VALUE!</v>
      </c>
      <c r="Q481" s="44"/>
      <c r="R481" s="24"/>
      <c r="S481" s="23" t="e">
        <f t="shared" si="24"/>
        <v>#DIV/0!</v>
      </c>
      <c r="T481" s="23" t="e">
        <f t="shared" si="25"/>
        <v>#DIV/0!</v>
      </c>
      <c r="U481" s="22" t="e">
        <f t="shared" si="26"/>
        <v>#DIV/0!</v>
      </c>
      <c r="V481" s="44"/>
      <c r="W481" s="44"/>
      <c r="X481" s="44"/>
      <c r="Y481" s="44"/>
      <c r="Z481" s="44"/>
    </row>
    <row r="482" spans="1:26" ht="15.75" customHeight="1">
      <c r="A482" s="44"/>
      <c r="B482" s="14"/>
      <c r="C482" s="53"/>
      <c r="D482" s="15"/>
      <c r="E482" s="89"/>
      <c r="F482" s="16"/>
      <c r="G482" s="16"/>
      <c r="H482" s="90" t="str">
        <f>IF(G482="Regular",Listas!$K$16,IF(G482="Premium",Listas!$K$17,IF(G482="Diesel",Listas!$K$18,"-")))</f>
        <v>-</v>
      </c>
      <c r="I482" s="17"/>
      <c r="J482" s="18"/>
      <c r="K482" s="19" t="str">
        <f>+IFERROR(IF(G482="Regular",VLOOKUP(C482,'PRECIO TERMINAL PEMEX'!$B$4:$E$35,2,0),IF(G482="Premium",VLOOKUP(C482,'PRECIO TERMINAL PEMEX'!$B$4:$E$35,3,0),IF(G482="Diesel",VLOOKUP(C482,'PRECIO TERMINAL PEMEX'!$B$4:$E$35,4,0),"Seleccione Producto"))),"-")</f>
        <v>Seleccione Producto</v>
      </c>
      <c r="L482" s="93" t="str">
        <f>+IFERROR(IF(F482="VHSA",VLOOKUP(B482,Listas!$C$4:$F$17,2,0),IF(F482="DOS BOCAS",VLOOKUP(B482,Listas!$C$4:$F$17,3,0),IF(F482="GLENCORE",VLOOKUP(B482,Listas!$C$4:$F$17,4,0),"Seleccione TAR"))),"-")</f>
        <v>Seleccione TAR</v>
      </c>
      <c r="M482" s="19" t="str">
        <f>+IFERROR(IF(G482="Regular",VLOOKUP(C482,'DESCUENTO PROVEEDORES'!$B$4:$E$35,2,0),IF(G482="Premium",VLOOKUP(C482,'DESCUENTO PROVEEDORES'!$B$4:$E$35,3,0),IF(G482="Diesel",VLOOKUP(C482,'DESCUENTO PROVEEDORES'!$B$4:$E$35,4,0),"Seleccione Proveedor"))),"-")</f>
        <v>Seleccione Proveedor</v>
      </c>
      <c r="N482" s="20" t="e">
        <f>((((K482-H482)/1.16)-M482))</f>
        <v>#VALUE!</v>
      </c>
      <c r="O482" s="21" t="e">
        <f>((N482*16%)+N482)+H482+L482</f>
        <v>#VALUE!</v>
      </c>
      <c r="P482" s="21" t="e">
        <f>(((J482-O482)-H482)/1.16)+H482</f>
        <v>#VALUE!</v>
      </c>
      <c r="Q482" s="44"/>
      <c r="R482" s="24"/>
      <c r="S482" s="23" t="e">
        <f t="shared" si="24"/>
        <v>#DIV/0!</v>
      </c>
      <c r="T482" s="23" t="e">
        <f t="shared" si="25"/>
        <v>#DIV/0!</v>
      </c>
      <c r="U482" s="22" t="e">
        <f t="shared" si="26"/>
        <v>#DIV/0!</v>
      </c>
      <c r="V482" s="44"/>
      <c r="W482" s="44"/>
      <c r="X482" s="44"/>
      <c r="Y482" s="44"/>
      <c r="Z482" s="44"/>
    </row>
    <row r="483" spans="1:26" ht="15.75" customHeight="1">
      <c r="A483" s="44"/>
      <c r="B483" s="14"/>
      <c r="C483" s="53"/>
      <c r="D483" s="15"/>
      <c r="E483" s="89"/>
      <c r="F483" s="16"/>
      <c r="G483" s="16"/>
      <c r="H483" s="90" t="str">
        <f>IF(G483="Regular",Listas!$K$16,IF(G483="Premium",Listas!$K$17,IF(G483="Diesel",Listas!$K$18,"-")))</f>
        <v>-</v>
      </c>
      <c r="I483" s="17"/>
      <c r="J483" s="18"/>
      <c r="K483" s="19" t="str">
        <f>+IFERROR(IF(G483="Regular",VLOOKUP(C483,'PRECIO TERMINAL PEMEX'!$B$4:$E$35,2,0),IF(G483="Premium",VLOOKUP(C483,'PRECIO TERMINAL PEMEX'!$B$4:$E$35,3,0),IF(G483="Diesel",VLOOKUP(C483,'PRECIO TERMINAL PEMEX'!$B$4:$E$35,4,0),"Seleccione Producto"))),"-")</f>
        <v>Seleccione Producto</v>
      </c>
      <c r="L483" s="93" t="str">
        <f>+IFERROR(IF(F483="VHSA",VLOOKUP(B483,Listas!$C$4:$F$17,2,0),IF(F483="DOS BOCAS",VLOOKUP(B483,Listas!$C$4:$F$17,3,0),IF(F483="GLENCORE",VLOOKUP(B483,Listas!$C$4:$F$17,4,0),"Seleccione TAR"))),"-")</f>
        <v>Seleccione TAR</v>
      </c>
      <c r="M483" s="19" t="str">
        <f>+IFERROR(IF(G483="Regular",VLOOKUP(C483,'DESCUENTO PROVEEDORES'!$B$4:$E$35,2,0),IF(G483="Premium",VLOOKUP(C483,'DESCUENTO PROVEEDORES'!$B$4:$E$35,3,0),IF(G483="Diesel",VLOOKUP(C483,'DESCUENTO PROVEEDORES'!$B$4:$E$35,4,0),"Seleccione Proveedor"))),"-")</f>
        <v>Seleccione Proveedor</v>
      </c>
      <c r="N483" s="20" t="e">
        <f>((((K483-H483)/1.16)-M483))</f>
        <v>#VALUE!</v>
      </c>
      <c r="O483" s="21" t="e">
        <f>((N483*16%)+N483)+H483+L483</f>
        <v>#VALUE!</v>
      </c>
      <c r="P483" s="21" t="e">
        <f>(((J483-O483)-H483)/1.16)+H483</f>
        <v>#VALUE!</v>
      </c>
      <c r="Q483" s="44"/>
      <c r="R483" s="24"/>
      <c r="S483" s="23" t="e">
        <f t="shared" si="24"/>
        <v>#DIV/0!</v>
      </c>
      <c r="T483" s="23" t="e">
        <f t="shared" si="25"/>
        <v>#DIV/0!</v>
      </c>
      <c r="U483" s="22" t="e">
        <f t="shared" si="26"/>
        <v>#DIV/0!</v>
      </c>
      <c r="V483" s="44"/>
      <c r="W483" s="44"/>
      <c r="X483" s="44"/>
      <c r="Y483" s="44"/>
      <c r="Z483" s="44"/>
    </row>
    <row r="484" spans="1:26" ht="15.75" customHeight="1">
      <c r="A484" s="44"/>
      <c r="B484" s="14"/>
      <c r="C484" s="53"/>
      <c r="D484" s="15"/>
      <c r="E484" s="89"/>
      <c r="F484" s="16"/>
      <c r="G484" s="16"/>
      <c r="H484" s="90" t="str">
        <f>IF(G484="Regular",Listas!$K$16,IF(G484="Premium",Listas!$K$17,IF(G484="Diesel",Listas!$K$18,"-")))</f>
        <v>-</v>
      </c>
      <c r="I484" s="17"/>
      <c r="J484" s="18"/>
      <c r="K484" s="19" t="str">
        <f>+IFERROR(IF(G484="Regular",VLOOKUP(C484,'PRECIO TERMINAL PEMEX'!$B$4:$E$35,2,0),IF(G484="Premium",VLOOKUP(C484,'PRECIO TERMINAL PEMEX'!$B$4:$E$35,3,0),IF(G484="Diesel",VLOOKUP(C484,'PRECIO TERMINAL PEMEX'!$B$4:$E$35,4,0),"Seleccione Producto"))),"-")</f>
        <v>Seleccione Producto</v>
      </c>
      <c r="L484" s="93" t="str">
        <f>+IFERROR(IF(F484="VHSA",VLOOKUP(B484,Listas!$C$4:$F$17,2,0),IF(F484="DOS BOCAS",VLOOKUP(B484,Listas!$C$4:$F$17,3,0),IF(F484="GLENCORE",VLOOKUP(B484,Listas!$C$4:$F$17,4,0),"Seleccione TAR"))),"-")</f>
        <v>Seleccione TAR</v>
      </c>
      <c r="M484" s="19" t="str">
        <f>+IFERROR(IF(G484="Regular",VLOOKUP(C484,'DESCUENTO PROVEEDORES'!$B$4:$E$35,2,0),IF(G484="Premium",VLOOKUP(C484,'DESCUENTO PROVEEDORES'!$B$4:$E$35,3,0),IF(G484="Diesel",VLOOKUP(C484,'DESCUENTO PROVEEDORES'!$B$4:$E$35,4,0),"Seleccione Proveedor"))),"-")</f>
        <v>Seleccione Proveedor</v>
      </c>
      <c r="N484" s="20" t="e">
        <f>((((K484-H484)/1.16)-M484))</f>
        <v>#VALUE!</v>
      </c>
      <c r="O484" s="21" t="e">
        <f>((N484*16%)+N484)+H484+L484</f>
        <v>#VALUE!</v>
      </c>
      <c r="P484" s="21" t="e">
        <f>(((J484-O484)-H484)/1.16)+H484</f>
        <v>#VALUE!</v>
      </c>
      <c r="Q484" s="44"/>
      <c r="R484" s="24"/>
      <c r="S484" s="23" t="e">
        <f t="shared" si="24"/>
        <v>#DIV/0!</v>
      </c>
      <c r="T484" s="23" t="e">
        <f t="shared" si="25"/>
        <v>#DIV/0!</v>
      </c>
      <c r="U484" s="22" t="e">
        <f t="shared" si="26"/>
        <v>#DIV/0!</v>
      </c>
      <c r="V484" s="44"/>
      <c r="W484" s="44"/>
      <c r="X484" s="44"/>
      <c r="Y484" s="44"/>
      <c r="Z484" s="44"/>
    </row>
    <row r="485" spans="1:26" ht="15.75" customHeight="1">
      <c r="A485" s="44"/>
      <c r="B485" s="14"/>
      <c r="C485" s="53"/>
      <c r="D485" s="15"/>
      <c r="E485" s="89"/>
      <c r="F485" s="16"/>
      <c r="G485" s="16"/>
      <c r="H485" s="90" t="str">
        <f>IF(G485="Regular",Listas!$K$16,IF(G485="Premium",Listas!$K$17,IF(G485="Diesel",Listas!$K$18,"-")))</f>
        <v>-</v>
      </c>
      <c r="I485" s="17"/>
      <c r="J485" s="18"/>
      <c r="K485" s="19" t="str">
        <f>+IFERROR(IF(G485="Regular",VLOOKUP(C485,'PRECIO TERMINAL PEMEX'!$B$4:$E$35,2,0),IF(G485="Premium",VLOOKUP(C485,'PRECIO TERMINAL PEMEX'!$B$4:$E$35,3,0),IF(G485="Diesel",VLOOKUP(C485,'PRECIO TERMINAL PEMEX'!$B$4:$E$35,4,0),"Seleccione Producto"))),"-")</f>
        <v>Seleccione Producto</v>
      </c>
      <c r="L485" s="93" t="str">
        <f>+IFERROR(IF(F485="VHSA",VLOOKUP(B485,Listas!$C$4:$F$17,2,0),IF(F485="DOS BOCAS",VLOOKUP(B485,Listas!$C$4:$F$17,3,0),IF(F485="GLENCORE",VLOOKUP(B485,Listas!$C$4:$F$17,4,0),"Seleccione TAR"))),"-")</f>
        <v>Seleccione TAR</v>
      </c>
      <c r="M485" s="19" t="str">
        <f>+IFERROR(IF(G485="Regular",VLOOKUP(C485,'DESCUENTO PROVEEDORES'!$B$4:$E$35,2,0),IF(G485="Premium",VLOOKUP(C485,'DESCUENTO PROVEEDORES'!$B$4:$E$35,3,0),IF(G485="Diesel",VLOOKUP(C485,'DESCUENTO PROVEEDORES'!$B$4:$E$35,4,0),"Seleccione Proveedor"))),"-")</f>
        <v>Seleccione Proveedor</v>
      </c>
      <c r="N485" s="20" t="e">
        <f>((((K485-H485)/1.16)-M485))</f>
        <v>#VALUE!</v>
      </c>
      <c r="O485" s="21" t="e">
        <f>((N485*16%)+N485)+H485+L485</f>
        <v>#VALUE!</v>
      </c>
      <c r="P485" s="21" t="e">
        <f>(((J485-O485)-H485)/1.16)+H485</f>
        <v>#VALUE!</v>
      </c>
      <c r="Q485" s="44"/>
      <c r="R485" s="24"/>
      <c r="S485" s="23" t="e">
        <f t="shared" si="24"/>
        <v>#DIV/0!</v>
      </c>
      <c r="T485" s="23" t="e">
        <f t="shared" si="25"/>
        <v>#DIV/0!</v>
      </c>
      <c r="U485" s="22" t="e">
        <f t="shared" si="26"/>
        <v>#DIV/0!</v>
      </c>
      <c r="V485" s="44"/>
      <c r="W485" s="44"/>
      <c r="X485" s="44"/>
      <c r="Y485" s="44"/>
      <c r="Z485" s="44"/>
    </row>
    <row r="486" spans="1:26" ht="15.75" customHeight="1">
      <c r="A486" s="44"/>
      <c r="B486" s="14"/>
      <c r="C486" s="53"/>
      <c r="D486" s="15"/>
      <c r="E486" s="89"/>
      <c r="F486" s="16"/>
      <c r="G486" s="16"/>
      <c r="H486" s="90" t="str">
        <f>IF(G486="Regular",Listas!$K$16,IF(G486="Premium",Listas!$K$17,IF(G486="Diesel",Listas!$K$18,"-")))</f>
        <v>-</v>
      </c>
      <c r="I486" s="17"/>
      <c r="J486" s="18"/>
      <c r="K486" s="19" t="str">
        <f>+IFERROR(IF(G486="Regular",VLOOKUP(C486,'PRECIO TERMINAL PEMEX'!$B$4:$E$35,2,0),IF(G486="Premium",VLOOKUP(C486,'PRECIO TERMINAL PEMEX'!$B$4:$E$35,3,0),IF(G486="Diesel",VLOOKUP(C486,'PRECIO TERMINAL PEMEX'!$B$4:$E$35,4,0),"Seleccione Producto"))),"-")</f>
        <v>Seleccione Producto</v>
      </c>
      <c r="L486" s="93" t="str">
        <f>+IFERROR(IF(F486="VHSA",VLOOKUP(B486,Listas!$C$4:$F$17,2,0),IF(F486="DOS BOCAS",VLOOKUP(B486,Listas!$C$4:$F$17,3,0),IF(F486="GLENCORE",VLOOKUP(B486,Listas!$C$4:$F$17,4,0),"Seleccione TAR"))),"-")</f>
        <v>Seleccione TAR</v>
      </c>
      <c r="M486" s="19" t="str">
        <f>+IFERROR(IF(G486="Regular",VLOOKUP(C486,'DESCUENTO PROVEEDORES'!$B$4:$E$35,2,0),IF(G486="Premium",VLOOKUP(C486,'DESCUENTO PROVEEDORES'!$B$4:$E$35,3,0),IF(G486="Diesel",VLOOKUP(C486,'DESCUENTO PROVEEDORES'!$B$4:$E$35,4,0),"Seleccione Proveedor"))),"-")</f>
        <v>Seleccione Proveedor</v>
      </c>
      <c r="N486" s="20" t="e">
        <f>((((K486-H486)/1.16)-M486))</f>
        <v>#VALUE!</v>
      </c>
      <c r="O486" s="21" t="e">
        <f>((N486*16%)+N486)+H486+L486</f>
        <v>#VALUE!</v>
      </c>
      <c r="P486" s="21" t="e">
        <f>(((J486-O486)-H486)/1.16)+H486</f>
        <v>#VALUE!</v>
      </c>
      <c r="Q486" s="44"/>
      <c r="R486" s="24"/>
      <c r="S486" s="23" t="e">
        <f t="shared" si="24"/>
        <v>#DIV/0!</v>
      </c>
      <c r="T486" s="23" t="e">
        <f t="shared" si="25"/>
        <v>#DIV/0!</v>
      </c>
      <c r="U486" s="22" t="e">
        <f t="shared" si="26"/>
        <v>#DIV/0!</v>
      </c>
      <c r="V486" s="44"/>
      <c r="W486" s="44"/>
      <c r="X486" s="44"/>
      <c r="Y486" s="44"/>
      <c r="Z486" s="44"/>
    </row>
    <row r="487" spans="1:26" ht="15.75" customHeight="1">
      <c r="A487" s="44"/>
      <c r="B487" s="14"/>
      <c r="C487" s="53"/>
      <c r="D487" s="15"/>
      <c r="E487" s="89"/>
      <c r="F487" s="16"/>
      <c r="G487" s="16"/>
      <c r="H487" s="90" t="str">
        <f>IF(G487="Regular",Listas!$K$16,IF(G487="Premium",Listas!$K$17,IF(G487="Diesel",Listas!$K$18,"-")))</f>
        <v>-</v>
      </c>
      <c r="I487" s="17"/>
      <c r="J487" s="18"/>
      <c r="K487" s="19" t="str">
        <f>+IFERROR(IF(G487="Regular",VLOOKUP(C487,'PRECIO TERMINAL PEMEX'!$B$4:$E$35,2,0),IF(G487="Premium",VLOOKUP(C487,'PRECIO TERMINAL PEMEX'!$B$4:$E$35,3,0),IF(G487="Diesel",VLOOKUP(C487,'PRECIO TERMINAL PEMEX'!$B$4:$E$35,4,0),"Seleccione Producto"))),"-")</f>
        <v>Seleccione Producto</v>
      </c>
      <c r="L487" s="93" t="str">
        <f>+IFERROR(IF(F487="VHSA",VLOOKUP(B487,Listas!$C$4:$F$17,2,0),IF(F487="DOS BOCAS",VLOOKUP(B487,Listas!$C$4:$F$17,3,0),IF(F487="GLENCORE",VLOOKUP(B487,Listas!$C$4:$F$17,4,0),"Seleccione TAR"))),"-")</f>
        <v>Seleccione TAR</v>
      </c>
      <c r="M487" s="19" t="str">
        <f>+IFERROR(IF(G487="Regular",VLOOKUP(C487,'DESCUENTO PROVEEDORES'!$B$4:$E$35,2,0),IF(G487="Premium",VLOOKUP(C487,'DESCUENTO PROVEEDORES'!$B$4:$E$35,3,0),IF(G487="Diesel",VLOOKUP(C487,'DESCUENTO PROVEEDORES'!$B$4:$E$35,4,0),"Seleccione Proveedor"))),"-")</f>
        <v>Seleccione Proveedor</v>
      </c>
      <c r="N487" s="20" t="e">
        <f>((((K487-H487)/1.16)-M487))</f>
        <v>#VALUE!</v>
      </c>
      <c r="O487" s="21" t="e">
        <f>((N487*16%)+N487)+H487+L487</f>
        <v>#VALUE!</v>
      </c>
      <c r="P487" s="21" t="e">
        <f>(((J487-O487)-H487)/1.16)+H487</f>
        <v>#VALUE!</v>
      </c>
      <c r="Q487" s="44"/>
      <c r="R487" s="24"/>
      <c r="S487" s="23" t="e">
        <f t="shared" si="24"/>
        <v>#DIV/0!</v>
      </c>
      <c r="T487" s="23" t="e">
        <f t="shared" si="25"/>
        <v>#DIV/0!</v>
      </c>
      <c r="U487" s="22" t="e">
        <f t="shared" si="26"/>
        <v>#DIV/0!</v>
      </c>
      <c r="V487" s="44"/>
      <c r="W487" s="44"/>
      <c r="X487" s="44"/>
      <c r="Y487" s="44"/>
      <c r="Z487" s="44"/>
    </row>
    <row r="488" spans="1:26" ht="15.75" customHeight="1">
      <c r="A488" s="44"/>
      <c r="B488" s="14"/>
      <c r="C488" s="53"/>
      <c r="D488" s="15"/>
      <c r="E488" s="89"/>
      <c r="F488" s="16"/>
      <c r="G488" s="16"/>
      <c r="H488" s="90" t="str">
        <f>IF(G488="Regular",Listas!$K$16,IF(G488="Premium",Listas!$K$17,IF(G488="Diesel",Listas!$K$18,"-")))</f>
        <v>-</v>
      </c>
      <c r="I488" s="17"/>
      <c r="J488" s="18"/>
      <c r="K488" s="19" t="str">
        <f>+IFERROR(IF(G488="Regular",VLOOKUP(C488,'PRECIO TERMINAL PEMEX'!$B$4:$E$35,2,0),IF(G488="Premium",VLOOKUP(C488,'PRECIO TERMINAL PEMEX'!$B$4:$E$35,3,0),IF(G488="Diesel",VLOOKUP(C488,'PRECIO TERMINAL PEMEX'!$B$4:$E$35,4,0),"Seleccione Producto"))),"-")</f>
        <v>Seleccione Producto</v>
      </c>
      <c r="L488" s="93" t="str">
        <f>+IFERROR(IF(F488="VHSA",VLOOKUP(B488,Listas!$C$4:$F$17,2,0),IF(F488="DOS BOCAS",VLOOKUP(B488,Listas!$C$4:$F$17,3,0),IF(F488="GLENCORE",VLOOKUP(B488,Listas!$C$4:$F$17,4,0),"Seleccione TAR"))),"-")</f>
        <v>Seleccione TAR</v>
      </c>
      <c r="M488" s="19" t="str">
        <f>+IFERROR(IF(G488="Regular",VLOOKUP(C488,'DESCUENTO PROVEEDORES'!$B$4:$E$35,2,0),IF(G488="Premium",VLOOKUP(C488,'DESCUENTO PROVEEDORES'!$B$4:$E$35,3,0),IF(G488="Diesel",VLOOKUP(C488,'DESCUENTO PROVEEDORES'!$B$4:$E$35,4,0),"Seleccione Proveedor"))),"-")</f>
        <v>Seleccione Proveedor</v>
      </c>
      <c r="N488" s="20" t="e">
        <f>((((K488-H488)/1.16)-M488))</f>
        <v>#VALUE!</v>
      </c>
      <c r="O488" s="21" t="e">
        <f>((N488*16%)+N488)+H488+L488</f>
        <v>#VALUE!</v>
      </c>
      <c r="P488" s="21" t="e">
        <f>(((J488-O488)-H488)/1.16)+H488</f>
        <v>#VALUE!</v>
      </c>
      <c r="Q488" s="44"/>
      <c r="R488" s="24"/>
      <c r="S488" s="23" t="e">
        <f t="shared" si="24"/>
        <v>#DIV/0!</v>
      </c>
      <c r="T488" s="23" t="e">
        <f t="shared" si="25"/>
        <v>#DIV/0!</v>
      </c>
      <c r="U488" s="22" t="e">
        <f t="shared" si="26"/>
        <v>#DIV/0!</v>
      </c>
      <c r="V488" s="44"/>
      <c r="W488" s="44"/>
      <c r="X488" s="44"/>
      <c r="Y488" s="44"/>
      <c r="Z488" s="44"/>
    </row>
    <row r="489" spans="1:26" ht="15.75" customHeight="1">
      <c r="A489" s="44"/>
      <c r="B489" s="14"/>
      <c r="C489" s="53"/>
      <c r="D489" s="15"/>
      <c r="E489" s="89"/>
      <c r="F489" s="16"/>
      <c r="G489" s="16"/>
      <c r="H489" s="90" t="str">
        <f>IF(G489="Regular",Listas!$K$16,IF(G489="Premium",Listas!$K$17,IF(G489="Diesel",Listas!$K$18,"-")))</f>
        <v>-</v>
      </c>
      <c r="I489" s="17"/>
      <c r="J489" s="18"/>
      <c r="K489" s="19" t="str">
        <f>+IFERROR(IF(G489="Regular",VLOOKUP(C489,'PRECIO TERMINAL PEMEX'!$B$4:$E$35,2,0),IF(G489="Premium",VLOOKUP(C489,'PRECIO TERMINAL PEMEX'!$B$4:$E$35,3,0),IF(G489="Diesel",VLOOKUP(C489,'PRECIO TERMINAL PEMEX'!$B$4:$E$35,4,0),"Seleccione Producto"))),"-")</f>
        <v>Seleccione Producto</v>
      </c>
      <c r="L489" s="93" t="str">
        <f>+IFERROR(IF(F489="VHSA",VLOOKUP(B489,Listas!$C$4:$F$17,2,0),IF(F489="DOS BOCAS",VLOOKUP(B489,Listas!$C$4:$F$17,3,0),IF(F489="GLENCORE",VLOOKUP(B489,Listas!$C$4:$F$17,4,0),"Seleccione TAR"))),"-")</f>
        <v>Seleccione TAR</v>
      </c>
      <c r="M489" s="19" t="str">
        <f>+IFERROR(IF(G489="Regular",VLOOKUP(C489,'DESCUENTO PROVEEDORES'!$B$4:$E$35,2,0),IF(G489="Premium",VLOOKUP(C489,'DESCUENTO PROVEEDORES'!$B$4:$E$35,3,0),IF(G489="Diesel",VLOOKUP(C489,'DESCUENTO PROVEEDORES'!$B$4:$E$35,4,0),"Seleccione Proveedor"))),"-")</f>
        <v>Seleccione Proveedor</v>
      </c>
      <c r="N489" s="20" t="e">
        <f>((((K489-H489)/1.16)-M489))</f>
        <v>#VALUE!</v>
      </c>
      <c r="O489" s="21" t="e">
        <f>((N489*16%)+N489)+H489+L489</f>
        <v>#VALUE!</v>
      </c>
      <c r="P489" s="21" t="e">
        <f>(((J489-O489)-H489)/1.16)+H489</f>
        <v>#VALUE!</v>
      </c>
      <c r="Q489" s="44"/>
      <c r="R489" s="24"/>
      <c r="S489" s="23" t="e">
        <f t="shared" si="24"/>
        <v>#DIV/0!</v>
      </c>
      <c r="T489" s="23" t="e">
        <f t="shared" si="25"/>
        <v>#DIV/0!</v>
      </c>
      <c r="U489" s="22" t="e">
        <f t="shared" si="26"/>
        <v>#DIV/0!</v>
      </c>
      <c r="V489" s="44"/>
      <c r="W489" s="44"/>
      <c r="X489" s="44"/>
      <c r="Y489" s="44"/>
      <c r="Z489" s="44"/>
    </row>
    <row r="490" spans="1:26" ht="15.75" customHeight="1">
      <c r="A490" s="44"/>
      <c r="B490" s="14"/>
      <c r="C490" s="53"/>
      <c r="D490" s="15"/>
      <c r="E490" s="89"/>
      <c r="F490" s="16"/>
      <c r="G490" s="16"/>
      <c r="H490" s="90" t="str">
        <f>IF(G490="Regular",Listas!$K$16,IF(G490="Premium",Listas!$K$17,IF(G490="Diesel",Listas!$K$18,"-")))</f>
        <v>-</v>
      </c>
      <c r="I490" s="17"/>
      <c r="J490" s="18"/>
      <c r="K490" s="19" t="str">
        <f>+IFERROR(IF(G490="Regular",VLOOKUP(C490,'PRECIO TERMINAL PEMEX'!$B$4:$E$35,2,0),IF(G490="Premium",VLOOKUP(C490,'PRECIO TERMINAL PEMEX'!$B$4:$E$35,3,0),IF(G490="Diesel",VLOOKUP(C490,'PRECIO TERMINAL PEMEX'!$B$4:$E$35,4,0),"Seleccione Producto"))),"-")</f>
        <v>Seleccione Producto</v>
      </c>
      <c r="L490" s="93" t="str">
        <f>+IFERROR(IF(F490="VHSA",VLOOKUP(B490,Listas!$C$4:$F$17,2,0),IF(F490="DOS BOCAS",VLOOKUP(B490,Listas!$C$4:$F$17,3,0),IF(F490="GLENCORE",VLOOKUP(B490,Listas!$C$4:$F$17,4,0),"Seleccione TAR"))),"-")</f>
        <v>Seleccione TAR</v>
      </c>
      <c r="M490" s="19" t="str">
        <f>+IFERROR(IF(G490="Regular",VLOOKUP(C490,'DESCUENTO PROVEEDORES'!$B$4:$E$35,2,0),IF(G490="Premium",VLOOKUP(C490,'DESCUENTO PROVEEDORES'!$B$4:$E$35,3,0),IF(G490="Diesel",VLOOKUP(C490,'DESCUENTO PROVEEDORES'!$B$4:$E$35,4,0),"Seleccione Proveedor"))),"-")</f>
        <v>Seleccione Proveedor</v>
      </c>
      <c r="N490" s="20" t="e">
        <f>((((K490-H490)/1.16)-M490))</f>
        <v>#VALUE!</v>
      </c>
      <c r="O490" s="21" t="e">
        <f>((N490*16%)+N490)+H490+L490</f>
        <v>#VALUE!</v>
      </c>
      <c r="P490" s="21" t="e">
        <f>(((J490-O490)-H490)/1.16)+H490</f>
        <v>#VALUE!</v>
      </c>
      <c r="Q490" s="44"/>
      <c r="R490" s="24"/>
      <c r="S490" s="23" t="e">
        <f t="shared" si="24"/>
        <v>#DIV/0!</v>
      </c>
      <c r="T490" s="23" t="e">
        <f t="shared" si="25"/>
        <v>#DIV/0!</v>
      </c>
      <c r="U490" s="22" t="e">
        <f t="shared" si="26"/>
        <v>#DIV/0!</v>
      </c>
      <c r="V490" s="44"/>
      <c r="W490" s="44"/>
      <c r="X490" s="44"/>
      <c r="Y490" s="44"/>
      <c r="Z490" s="44"/>
    </row>
    <row r="491" spans="1:26" ht="15.75" customHeight="1">
      <c r="A491" s="44"/>
      <c r="B491" s="14"/>
      <c r="C491" s="53"/>
      <c r="D491" s="15"/>
      <c r="E491" s="89"/>
      <c r="F491" s="16"/>
      <c r="G491" s="16"/>
      <c r="H491" s="90" t="str">
        <f>IF(G491="Regular",Listas!$K$16,IF(G491="Premium",Listas!$K$17,IF(G491="Diesel",Listas!$K$18,"-")))</f>
        <v>-</v>
      </c>
      <c r="I491" s="17"/>
      <c r="J491" s="18"/>
      <c r="K491" s="19" t="str">
        <f>+IFERROR(IF(G491="Regular",VLOOKUP(C491,'PRECIO TERMINAL PEMEX'!$B$4:$E$35,2,0),IF(G491="Premium",VLOOKUP(C491,'PRECIO TERMINAL PEMEX'!$B$4:$E$35,3,0),IF(G491="Diesel",VLOOKUP(C491,'PRECIO TERMINAL PEMEX'!$B$4:$E$35,4,0),"Seleccione Producto"))),"-")</f>
        <v>Seleccione Producto</v>
      </c>
      <c r="L491" s="93" t="str">
        <f>+IFERROR(IF(F491="VHSA",VLOOKUP(B491,Listas!$C$4:$F$17,2,0),IF(F491="DOS BOCAS",VLOOKUP(B491,Listas!$C$4:$F$17,3,0),IF(F491="GLENCORE",VLOOKUP(B491,Listas!$C$4:$F$17,4,0),"Seleccione TAR"))),"-")</f>
        <v>Seleccione TAR</v>
      </c>
      <c r="M491" s="19" t="str">
        <f>+IFERROR(IF(G491="Regular",VLOOKUP(C491,'DESCUENTO PROVEEDORES'!$B$4:$E$35,2,0),IF(G491="Premium",VLOOKUP(C491,'DESCUENTO PROVEEDORES'!$B$4:$E$35,3,0),IF(G491="Diesel",VLOOKUP(C491,'DESCUENTO PROVEEDORES'!$B$4:$E$35,4,0),"Seleccione Proveedor"))),"-")</f>
        <v>Seleccione Proveedor</v>
      </c>
      <c r="N491" s="20" t="e">
        <f>((((K491-H491)/1.16)-M491))</f>
        <v>#VALUE!</v>
      </c>
      <c r="O491" s="21" t="e">
        <f>((N491*16%)+N491)+H491+L491</f>
        <v>#VALUE!</v>
      </c>
      <c r="P491" s="21" t="e">
        <f>(((J491-O491)-H491)/1.16)+H491</f>
        <v>#VALUE!</v>
      </c>
      <c r="Q491" s="44"/>
      <c r="R491" s="24"/>
      <c r="S491" s="23" t="e">
        <f t="shared" si="24"/>
        <v>#DIV/0!</v>
      </c>
      <c r="T491" s="23" t="e">
        <f t="shared" si="25"/>
        <v>#DIV/0!</v>
      </c>
      <c r="U491" s="22" t="e">
        <f t="shared" si="26"/>
        <v>#DIV/0!</v>
      </c>
      <c r="V491" s="44"/>
      <c r="W491" s="44"/>
      <c r="X491" s="44"/>
      <c r="Y491" s="44"/>
      <c r="Z491" s="44"/>
    </row>
    <row r="492" spans="1:26" ht="15.75" customHeight="1">
      <c r="A492" s="44"/>
      <c r="B492" s="14"/>
      <c r="C492" s="53"/>
      <c r="D492" s="15"/>
      <c r="E492" s="89"/>
      <c r="F492" s="16"/>
      <c r="G492" s="16"/>
      <c r="H492" s="90" t="str">
        <f>IF(G492="Regular",Listas!$K$16,IF(G492="Premium",Listas!$K$17,IF(G492="Diesel",Listas!$K$18,"-")))</f>
        <v>-</v>
      </c>
      <c r="I492" s="17"/>
      <c r="J492" s="18"/>
      <c r="K492" s="19" t="str">
        <f>+IFERROR(IF(G492="Regular",VLOOKUP(C492,'PRECIO TERMINAL PEMEX'!$B$4:$E$35,2,0),IF(G492="Premium",VLOOKUP(C492,'PRECIO TERMINAL PEMEX'!$B$4:$E$35,3,0),IF(G492="Diesel",VLOOKUP(C492,'PRECIO TERMINAL PEMEX'!$B$4:$E$35,4,0),"Seleccione Producto"))),"-")</f>
        <v>Seleccione Producto</v>
      </c>
      <c r="L492" s="93" t="str">
        <f>+IFERROR(IF(F492="VHSA",VLOOKUP(B492,Listas!$C$4:$F$17,2,0),IF(F492="DOS BOCAS",VLOOKUP(B492,Listas!$C$4:$F$17,3,0),IF(F492="GLENCORE",VLOOKUP(B492,Listas!$C$4:$F$17,4,0),"Seleccione TAR"))),"-")</f>
        <v>Seleccione TAR</v>
      </c>
      <c r="M492" s="19" t="str">
        <f>+IFERROR(IF(G492="Regular",VLOOKUP(C492,'DESCUENTO PROVEEDORES'!$B$4:$E$35,2,0),IF(G492="Premium",VLOOKUP(C492,'DESCUENTO PROVEEDORES'!$B$4:$E$35,3,0),IF(G492="Diesel",VLOOKUP(C492,'DESCUENTO PROVEEDORES'!$B$4:$E$35,4,0),"Seleccione Proveedor"))),"-")</f>
        <v>Seleccione Proveedor</v>
      </c>
      <c r="N492" s="20" t="e">
        <f>((((K492-H492)/1.16)-M492))</f>
        <v>#VALUE!</v>
      </c>
      <c r="O492" s="21" t="e">
        <f>((N492*16%)+N492)+H492+L492</f>
        <v>#VALUE!</v>
      </c>
      <c r="P492" s="21" t="e">
        <f>(((J492-O492)-H492)/1.16)+H492</f>
        <v>#VALUE!</v>
      </c>
      <c r="Q492" s="44"/>
      <c r="R492" s="24"/>
      <c r="S492" s="23" t="e">
        <f t="shared" si="24"/>
        <v>#DIV/0!</v>
      </c>
      <c r="T492" s="23" t="e">
        <f t="shared" si="25"/>
        <v>#DIV/0!</v>
      </c>
      <c r="U492" s="22" t="e">
        <f t="shared" si="26"/>
        <v>#DIV/0!</v>
      </c>
      <c r="V492" s="44"/>
      <c r="W492" s="44"/>
      <c r="X492" s="44"/>
      <c r="Y492" s="44"/>
      <c r="Z492" s="44"/>
    </row>
    <row r="493" spans="1:26" ht="15.75" customHeight="1">
      <c r="A493" s="44"/>
      <c r="B493" s="14"/>
      <c r="C493" s="53"/>
      <c r="D493" s="15"/>
      <c r="E493" s="89"/>
      <c r="F493" s="16"/>
      <c r="G493" s="16"/>
      <c r="H493" s="90" t="str">
        <f>IF(G493="Regular",Listas!$K$16,IF(G493="Premium",Listas!$K$17,IF(G493="Diesel",Listas!$K$18,"-")))</f>
        <v>-</v>
      </c>
      <c r="I493" s="17"/>
      <c r="J493" s="18"/>
      <c r="K493" s="19" t="str">
        <f>+IFERROR(IF(G493="Regular",VLOOKUP(C493,'PRECIO TERMINAL PEMEX'!$B$4:$E$35,2,0),IF(G493="Premium",VLOOKUP(C493,'PRECIO TERMINAL PEMEX'!$B$4:$E$35,3,0),IF(G493="Diesel",VLOOKUP(C493,'PRECIO TERMINAL PEMEX'!$B$4:$E$35,4,0),"Seleccione Producto"))),"-")</f>
        <v>Seleccione Producto</v>
      </c>
      <c r="L493" s="93" t="str">
        <f>+IFERROR(IF(F493="VHSA",VLOOKUP(B493,Listas!$C$4:$F$17,2,0),IF(F493="DOS BOCAS",VLOOKUP(B493,Listas!$C$4:$F$17,3,0),IF(F493="GLENCORE",VLOOKUP(B493,Listas!$C$4:$F$17,4,0),"Seleccione TAR"))),"-")</f>
        <v>Seleccione TAR</v>
      </c>
      <c r="M493" s="19" t="str">
        <f>+IFERROR(IF(G493="Regular",VLOOKUP(C493,'DESCUENTO PROVEEDORES'!$B$4:$E$35,2,0),IF(G493="Premium",VLOOKUP(C493,'DESCUENTO PROVEEDORES'!$B$4:$E$35,3,0),IF(G493="Diesel",VLOOKUP(C493,'DESCUENTO PROVEEDORES'!$B$4:$E$35,4,0),"Seleccione Proveedor"))),"-")</f>
        <v>Seleccione Proveedor</v>
      </c>
      <c r="N493" s="20" t="e">
        <f>((((K493-H493)/1.16)-M493))</f>
        <v>#VALUE!</v>
      </c>
      <c r="O493" s="21" t="e">
        <f>((N493*16%)+N493)+H493+L493</f>
        <v>#VALUE!</v>
      </c>
      <c r="P493" s="21" t="e">
        <f>(((J493-O493)-H493)/1.16)+H493</f>
        <v>#VALUE!</v>
      </c>
      <c r="Q493" s="44"/>
      <c r="R493" s="24"/>
      <c r="S493" s="23" t="e">
        <f t="shared" si="24"/>
        <v>#DIV/0!</v>
      </c>
      <c r="T493" s="23" t="e">
        <f t="shared" si="25"/>
        <v>#DIV/0!</v>
      </c>
      <c r="U493" s="22" t="e">
        <f t="shared" si="26"/>
        <v>#DIV/0!</v>
      </c>
      <c r="V493" s="44"/>
      <c r="W493" s="44"/>
      <c r="X493" s="44"/>
      <c r="Y493" s="44"/>
      <c r="Z493" s="44"/>
    </row>
    <row r="494" spans="1:26" ht="15.75" customHeight="1">
      <c r="A494" s="44"/>
      <c r="B494" s="14"/>
      <c r="C494" s="53"/>
      <c r="D494" s="15"/>
      <c r="E494" s="89"/>
      <c r="F494" s="16"/>
      <c r="G494" s="16"/>
      <c r="H494" s="90" t="str">
        <f>IF(G494="Regular",Listas!$K$16,IF(G494="Premium",Listas!$K$17,IF(G494="Diesel",Listas!$K$18,"-")))</f>
        <v>-</v>
      </c>
      <c r="I494" s="17"/>
      <c r="J494" s="18"/>
      <c r="K494" s="19" t="str">
        <f>+IFERROR(IF(G494="Regular",VLOOKUP(C494,'PRECIO TERMINAL PEMEX'!$B$4:$E$35,2,0),IF(G494="Premium",VLOOKUP(C494,'PRECIO TERMINAL PEMEX'!$B$4:$E$35,3,0),IF(G494="Diesel",VLOOKUP(C494,'PRECIO TERMINAL PEMEX'!$B$4:$E$35,4,0),"Seleccione Producto"))),"-")</f>
        <v>Seleccione Producto</v>
      </c>
      <c r="L494" s="93" t="str">
        <f>+IFERROR(IF(F494="VHSA",VLOOKUP(B494,Listas!$C$4:$F$17,2,0),IF(F494="DOS BOCAS",VLOOKUP(B494,Listas!$C$4:$F$17,3,0),IF(F494="GLENCORE",VLOOKUP(B494,Listas!$C$4:$F$17,4,0),"Seleccione TAR"))),"-")</f>
        <v>Seleccione TAR</v>
      </c>
      <c r="M494" s="19" t="str">
        <f>+IFERROR(IF(G494="Regular",VLOOKUP(C494,'DESCUENTO PROVEEDORES'!$B$4:$E$35,2,0),IF(G494="Premium",VLOOKUP(C494,'DESCUENTO PROVEEDORES'!$B$4:$E$35,3,0),IF(G494="Diesel",VLOOKUP(C494,'DESCUENTO PROVEEDORES'!$B$4:$E$35,4,0),"Seleccione Proveedor"))),"-")</f>
        <v>Seleccione Proveedor</v>
      </c>
      <c r="N494" s="20" t="e">
        <f>((((K494-H494)/1.16)-M494))</f>
        <v>#VALUE!</v>
      </c>
      <c r="O494" s="21" t="e">
        <f>((N494*16%)+N494)+H494+L494</f>
        <v>#VALUE!</v>
      </c>
      <c r="P494" s="21" t="e">
        <f>(((J494-O494)-H494)/1.16)+H494</f>
        <v>#VALUE!</v>
      </c>
      <c r="Q494" s="44"/>
      <c r="R494" s="24"/>
      <c r="S494" s="23" t="e">
        <f t="shared" si="24"/>
        <v>#DIV/0!</v>
      </c>
      <c r="T494" s="23" t="e">
        <f t="shared" si="25"/>
        <v>#DIV/0!</v>
      </c>
      <c r="U494" s="22" t="e">
        <f t="shared" si="26"/>
        <v>#DIV/0!</v>
      </c>
      <c r="V494" s="44"/>
      <c r="W494" s="44"/>
      <c r="X494" s="44"/>
      <c r="Y494" s="44"/>
      <c r="Z494" s="44"/>
    </row>
    <row r="495" spans="1:26" ht="15.75" customHeight="1">
      <c r="A495" s="44"/>
      <c r="B495" s="14"/>
      <c r="C495" s="53"/>
      <c r="D495" s="15"/>
      <c r="E495" s="89"/>
      <c r="F495" s="16"/>
      <c r="G495" s="16"/>
      <c r="H495" s="90" t="str">
        <f>IF(G495="Regular",Listas!$K$16,IF(G495="Premium",Listas!$K$17,IF(G495="Diesel",Listas!$K$18,"-")))</f>
        <v>-</v>
      </c>
      <c r="I495" s="17"/>
      <c r="J495" s="18"/>
      <c r="K495" s="19" t="str">
        <f>+IFERROR(IF(G495="Regular",VLOOKUP(C495,'PRECIO TERMINAL PEMEX'!$B$4:$E$35,2,0),IF(G495="Premium",VLOOKUP(C495,'PRECIO TERMINAL PEMEX'!$B$4:$E$35,3,0),IF(G495="Diesel",VLOOKUP(C495,'PRECIO TERMINAL PEMEX'!$B$4:$E$35,4,0),"Seleccione Producto"))),"-")</f>
        <v>Seleccione Producto</v>
      </c>
      <c r="L495" s="93" t="str">
        <f>+IFERROR(IF(F495="VHSA",VLOOKUP(B495,Listas!$C$4:$F$17,2,0),IF(F495="DOS BOCAS",VLOOKUP(B495,Listas!$C$4:$F$17,3,0),IF(F495="GLENCORE",VLOOKUP(B495,Listas!$C$4:$F$17,4,0),"Seleccione TAR"))),"-")</f>
        <v>Seleccione TAR</v>
      </c>
      <c r="M495" s="19" t="str">
        <f>+IFERROR(IF(G495="Regular",VLOOKUP(C495,'DESCUENTO PROVEEDORES'!$B$4:$E$35,2,0),IF(G495="Premium",VLOOKUP(C495,'DESCUENTO PROVEEDORES'!$B$4:$E$35,3,0),IF(G495="Diesel",VLOOKUP(C495,'DESCUENTO PROVEEDORES'!$B$4:$E$35,4,0),"Seleccione Proveedor"))),"-")</f>
        <v>Seleccione Proveedor</v>
      </c>
      <c r="N495" s="20" t="e">
        <f>((((K495-H495)/1.16)-M495))</f>
        <v>#VALUE!</v>
      </c>
      <c r="O495" s="21" t="e">
        <f>((N495*16%)+N495)+H495+L495</f>
        <v>#VALUE!</v>
      </c>
      <c r="P495" s="21" t="e">
        <f>(((J495-O495)-H495)/1.16)+H495</f>
        <v>#VALUE!</v>
      </c>
      <c r="Q495" s="44"/>
      <c r="R495" s="24"/>
      <c r="S495" s="23" t="e">
        <f t="shared" si="24"/>
        <v>#DIV/0!</v>
      </c>
      <c r="T495" s="23" t="e">
        <f t="shared" si="25"/>
        <v>#DIV/0!</v>
      </c>
      <c r="U495" s="22" t="e">
        <f t="shared" si="26"/>
        <v>#DIV/0!</v>
      </c>
      <c r="V495" s="44"/>
      <c r="W495" s="44"/>
      <c r="X495" s="44"/>
      <c r="Y495" s="44"/>
      <c r="Z495" s="44"/>
    </row>
    <row r="496" spans="1:26" ht="15.75" customHeight="1">
      <c r="A496" s="44"/>
      <c r="B496" s="14"/>
      <c r="C496" s="53"/>
      <c r="D496" s="15"/>
      <c r="E496" s="89"/>
      <c r="F496" s="16"/>
      <c r="G496" s="16"/>
      <c r="H496" s="90" t="str">
        <f>IF(G496="Regular",Listas!$K$16,IF(G496="Premium",Listas!$K$17,IF(G496="Diesel",Listas!$K$18,"-")))</f>
        <v>-</v>
      </c>
      <c r="I496" s="17"/>
      <c r="J496" s="18"/>
      <c r="K496" s="19" t="str">
        <f>+IFERROR(IF(G496="Regular",VLOOKUP(C496,'PRECIO TERMINAL PEMEX'!$B$4:$E$35,2,0),IF(G496="Premium",VLOOKUP(C496,'PRECIO TERMINAL PEMEX'!$B$4:$E$35,3,0),IF(G496="Diesel",VLOOKUP(C496,'PRECIO TERMINAL PEMEX'!$B$4:$E$35,4,0),"Seleccione Producto"))),"-")</f>
        <v>Seleccione Producto</v>
      </c>
      <c r="L496" s="93" t="str">
        <f>+IFERROR(IF(F496="VHSA",VLOOKUP(B496,Listas!$C$4:$F$17,2,0),IF(F496="DOS BOCAS",VLOOKUP(B496,Listas!$C$4:$F$17,3,0),IF(F496="GLENCORE",VLOOKUP(B496,Listas!$C$4:$F$17,4,0),"Seleccione TAR"))),"-")</f>
        <v>Seleccione TAR</v>
      </c>
      <c r="M496" s="19" t="str">
        <f>+IFERROR(IF(G496="Regular",VLOOKUP(C496,'DESCUENTO PROVEEDORES'!$B$4:$E$35,2,0),IF(G496="Premium",VLOOKUP(C496,'DESCUENTO PROVEEDORES'!$B$4:$E$35,3,0),IF(G496="Diesel",VLOOKUP(C496,'DESCUENTO PROVEEDORES'!$B$4:$E$35,4,0),"Seleccione Proveedor"))),"-")</f>
        <v>Seleccione Proveedor</v>
      </c>
      <c r="N496" s="20" t="e">
        <f>((((K496-H496)/1.16)-M496))</f>
        <v>#VALUE!</v>
      </c>
      <c r="O496" s="21" t="e">
        <f>((N496*16%)+N496)+H496+L496</f>
        <v>#VALUE!</v>
      </c>
      <c r="P496" s="21" t="e">
        <f>(((J496-O496)-H496)/1.16)+H496</f>
        <v>#VALUE!</v>
      </c>
      <c r="Q496" s="44"/>
      <c r="R496" s="24"/>
      <c r="S496" s="23" t="e">
        <f t="shared" si="24"/>
        <v>#DIV/0!</v>
      </c>
      <c r="T496" s="23" t="e">
        <f t="shared" si="25"/>
        <v>#DIV/0!</v>
      </c>
      <c r="U496" s="22" t="e">
        <f t="shared" si="26"/>
        <v>#DIV/0!</v>
      </c>
      <c r="V496" s="44"/>
      <c r="W496" s="44"/>
      <c r="X496" s="44"/>
      <c r="Y496" s="44"/>
      <c r="Z496" s="44"/>
    </row>
    <row r="497" spans="1:26" ht="15.75" customHeight="1">
      <c r="A497" s="44"/>
      <c r="B497" s="14"/>
      <c r="C497" s="53"/>
      <c r="D497" s="15"/>
      <c r="E497" s="89"/>
      <c r="F497" s="16"/>
      <c r="G497" s="16"/>
      <c r="H497" s="90" t="str">
        <f>IF(G497="Regular",Listas!$K$16,IF(G497="Premium",Listas!$K$17,IF(G497="Diesel",Listas!$K$18,"-")))</f>
        <v>-</v>
      </c>
      <c r="I497" s="17"/>
      <c r="J497" s="18"/>
      <c r="K497" s="19" t="str">
        <f>+IFERROR(IF(G497="Regular",VLOOKUP(C497,'PRECIO TERMINAL PEMEX'!$B$4:$E$35,2,0),IF(G497="Premium",VLOOKUP(C497,'PRECIO TERMINAL PEMEX'!$B$4:$E$35,3,0),IF(G497="Diesel",VLOOKUP(C497,'PRECIO TERMINAL PEMEX'!$B$4:$E$35,4,0),"Seleccione Producto"))),"-")</f>
        <v>Seleccione Producto</v>
      </c>
      <c r="L497" s="93" t="str">
        <f>+IFERROR(IF(F497="VHSA",VLOOKUP(B497,Listas!$C$4:$F$17,2,0),IF(F497="DOS BOCAS",VLOOKUP(B497,Listas!$C$4:$F$17,3,0),IF(F497="GLENCORE",VLOOKUP(B497,Listas!$C$4:$F$17,4,0),"Seleccione TAR"))),"-")</f>
        <v>Seleccione TAR</v>
      </c>
      <c r="M497" s="19" t="str">
        <f>+IFERROR(IF(G497="Regular",VLOOKUP(C497,'DESCUENTO PROVEEDORES'!$B$4:$E$35,2,0),IF(G497="Premium",VLOOKUP(C497,'DESCUENTO PROVEEDORES'!$B$4:$E$35,3,0),IF(G497="Diesel",VLOOKUP(C497,'DESCUENTO PROVEEDORES'!$B$4:$E$35,4,0),"Seleccione Proveedor"))),"-")</f>
        <v>Seleccione Proveedor</v>
      </c>
      <c r="N497" s="20" t="e">
        <f>((((K497-H497)/1.16)-M497))</f>
        <v>#VALUE!</v>
      </c>
      <c r="O497" s="21" t="e">
        <f>((N497*16%)+N497)+H497+L497</f>
        <v>#VALUE!</v>
      </c>
      <c r="P497" s="21" t="e">
        <f>(((J497-O497)-H497)/1.16)+H497</f>
        <v>#VALUE!</v>
      </c>
      <c r="Q497" s="44"/>
      <c r="R497" s="24"/>
      <c r="S497" s="23" t="e">
        <f t="shared" si="24"/>
        <v>#DIV/0!</v>
      </c>
      <c r="T497" s="23" t="e">
        <f t="shared" si="25"/>
        <v>#DIV/0!</v>
      </c>
      <c r="U497" s="22" t="e">
        <f t="shared" si="26"/>
        <v>#DIV/0!</v>
      </c>
      <c r="V497" s="44"/>
      <c r="W497" s="44"/>
      <c r="X497" s="44"/>
      <c r="Y497" s="44"/>
      <c r="Z497" s="44"/>
    </row>
    <row r="498" spans="1:26" ht="15.75" customHeight="1">
      <c r="A498" s="44"/>
      <c r="B498" s="14"/>
      <c r="C498" s="53"/>
      <c r="D498" s="15"/>
      <c r="E498" s="89"/>
      <c r="F498" s="16"/>
      <c r="G498" s="16"/>
      <c r="H498" s="90" t="str">
        <f>IF(G498="Regular",Listas!$K$16,IF(G498="Premium",Listas!$K$17,IF(G498="Diesel",Listas!$K$18,"-")))</f>
        <v>-</v>
      </c>
      <c r="I498" s="17"/>
      <c r="J498" s="18"/>
      <c r="K498" s="19" t="str">
        <f>+IFERROR(IF(G498="Regular",VLOOKUP(C498,'PRECIO TERMINAL PEMEX'!$B$4:$E$35,2,0),IF(G498="Premium",VLOOKUP(C498,'PRECIO TERMINAL PEMEX'!$B$4:$E$35,3,0),IF(G498="Diesel",VLOOKUP(C498,'PRECIO TERMINAL PEMEX'!$B$4:$E$35,4,0),"Seleccione Producto"))),"-")</f>
        <v>Seleccione Producto</v>
      </c>
      <c r="L498" s="93" t="str">
        <f>+IFERROR(IF(F498="VHSA",VLOOKUP(B498,Listas!$C$4:$F$17,2,0),IF(F498="DOS BOCAS",VLOOKUP(B498,Listas!$C$4:$F$17,3,0),IF(F498="GLENCORE",VLOOKUP(B498,Listas!$C$4:$F$17,4,0),"Seleccione TAR"))),"-")</f>
        <v>Seleccione TAR</v>
      </c>
      <c r="M498" s="19" t="str">
        <f>+IFERROR(IF(G498="Regular",VLOOKUP(C498,'DESCUENTO PROVEEDORES'!$B$4:$E$35,2,0),IF(G498="Premium",VLOOKUP(C498,'DESCUENTO PROVEEDORES'!$B$4:$E$35,3,0),IF(G498="Diesel",VLOOKUP(C498,'DESCUENTO PROVEEDORES'!$B$4:$E$35,4,0),"Seleccione Proveedor"))),"-")</f>
        <v>Seleccione Proveedor</v>
      </c>
      <c r="N498" s="20" t="e">
        <f>((((K498-H498)/1.16)-M498))</f>
        <v>#VALUE!</v>
      </c>
      <c r="O498" s="21" t="e">
        <f>((N498*16%)+N498)+H498+L498</f>
        <v>#VALUE!</v>
      </c>
      <c r="P498" s="21" t="e">
        <f>(((J498-O498)-H498)/1.16)+H498</f>
        <v>#VALUE!</v>
      </c>
      <c r="Q498" s="44"/>
      <c r="R498" s="24"/>
      <c r="S498" s="23" t="e">
        <f t="shared" si="24"/>
        <v>#DIV/0!</v>
      </c>
      <c r="T498" s="23" t="e">
        <f t="shared" si="25"/>
        <v>#DIV/0!</v>
      </c>
      <c r="U498" s="22" t="e">
        <f t="shared" si="26"/>
        <v>#DIV/0!</v>
      </c>
      <c r="V498" s="44"/>
      <c r="W498" s="44"/>
      <c r="X498" s="44"/>
      <c r="Y498" s="44"/>
      <c r="Z498" s="44"/>
    </row>
    <row r="499" spans="1:26" ht="15.75" customHeight="1">
      <c r="A499" s="44"/>
      <c r="B499" s="14"/>
      <c r="C499" s="53"/>
      <c r="D499" s="15"/>
      <c r="E499" s="89"/>
      <c r="F499" s="16"/>
      <c r="G499" s="16"/>
      <c r="H499" s="90" t="str">
        <f>IF(G499="Regular",Listas!$K$16,IF(G499="Premium",Listas!$K$17,IF(G499="Diesel",Listas!$K$18,"-")))</f>
        <v>-</v>
      </c>
      <c r="I499" s="17"/>
      <c r="J499" s="18"/>
      <c r="K499" s="19" t="str">
        <f>+IFERROR(IF(G499="Regular",VLOOKUP(C499,'PRECIO TERMINAL PEMEX'!$B$4:$E$35,2,0),IF(G499="Premium",VLOOKUP(C499,'PRECIO TERMINAL PEMEX'!$B$4:$E$35,3,0),IF(G499="Diesel",VLOOKUP(C499,'PRECIO TERMINAL PEMEX'!$B$4:$E$35,4,0),"Seleccione Producto"))),"-")</f>
        <v>Seleccione Producto</v>
      </c>
      <c r="L499" s="93" t="str">
        <f>+IFERROR(IF(F499="VHSA",VLOOKUP(B499,Listas!$C$4:$F$17,2,0),IF(F499="DOS BOCAS",VLOOKUP(B499,Listas!$C$4:$F$17,3,0),IF(F499="GLENCORE",VLOOKUP(B499,Listas!$C$4:$F$17,4,0),"Seleccione TAR"))),"-")</f>
        <v>Seleccione TAR</v>
      </c>
      <c r="M499" s="19" t="str">
        <f>+IFERROR(IF(G499="Regular",VLOOKUP(C499,'DESCUENTO PROVEEDORES'!$B$4:$E$35,2,0),IF(G499="Premium",VLOOKUP(C499,'DESCUENTO PROVEEDORES'!$B$4:$E$35,3,0),IF(G499="Diesel",VLOOKUP(C499,'DESCUENTO PROVEEDORES'!$B$4:$E$35,4,0),"Seleccione Proveedor"))),"-")</f>
        <v>Seleccione Proveedor</v>
      </c>
      <c r="N499" s="20" t="e">
        <f>((((K499-H499)/1.16)-M499))</f>
        <v>#VALUE!</v>
      </c>
      <c r="O499" s="21" t="e">
        <f>((N499*16%)+N499)+H499+L499</f>
        <v>#VALUE!</v>
      </c>
      <c r="P499" s="21" t="e">
        <f>(((J499-O499)-H499)/1.16)+H499</f>
        <v>#VALUE!</v>
      </c>
      <c r="Q499" s="44"/>
      <c r="R499" s="24"/>
      <c r="S499" s="23" t="e">
        <f t="shared" si="24"/>
        <v>#DIV/0!</v>
      </c>
      <c r="T499" s="23" t="e">
        <f t="shared" si="25"/>
        <v>#DIV/0!</v>
      </c>
      <c r="U499" s="22" t="e">
        <f t="shared" si="26"/>
        <v>#DIV/0!</v>
      </c>
      <c r="V499" s="44"/>
      <c r="W499" s="44"/>
      <c r="X499" s="44"/>
      <c r="Y499" s="44"/>
      <c r="Z499" s="44"/>
    </row>
    <row r="500" spans="1:26" ht="15.75" customHeight="1">
      <c r="A500" s="44"/>
      <c r="B500" s="14"/>
      <c r="C500" s="53"/>
      <c r="D500" s="15"/>
      <c r="E500" s="89"/>
      <c r="F500" s="16"/>
      <c r="G500" s="16"/>
      <c r="H500" s="90" t="str">
        <f>IF(G500="Regular",Listas!$K$16,IF(G500="Premium",Listas!$K$17,IF(G500="Diesel",Listas!$K$18,"-")))</f>
        <v>-</v>
      </c>
      <c r="I500" s="17"/>
      <c r="J500" s="18"/>
      <c r="K500" s="19" t="str">
        <f>+IFERROR(IF(G500="Regular",VLOOKUP(C500,'PRECIO TERMINAL PEMEX'!$B$4:$E$35,2,0),IF(G500="Premium",VLOOKUP(C500,'PRECIO TERMINAL PEMEX'!$B$4:$E$35,3,0),IF(G500="Diesel",VLOOKUP(C500,'PRECIO TERMINAL PEMEX'!$B$4:$E$35,4,0),"Seleccione Producto"))),"-")</f>
        <v>Seleccione Producto</v>
      </c>
      <c r="L500" s="93" t="str">
        <f>+IFERROR(IF(F500="VHSA",VLOOKUP(B500,Listas!$C$4:$F$17,2,0),IF(F500="DOS BOCAS",VLOOKUP(B500,Listas!$C$4:$F$17,3,0),IF(F500="GLENCORE",VLOOKUP(B500,Listas!$C$4:$F$17,4,0),"Seleccione TAR"))),"-")</f>
        <v>Seleccione TAR</v>
      </c>
      <c r="M500" s="19" t="str">
        <f>+IFERROR(IF(G500="Regular",VLOOKUP(C500,'DESCUENTO PROVEEDORES'!$B$4:$E$35,2,0),IF(G500="Premium",VLOOKUP(C500,'DESCUENTO PROVEEDORES'!$B$4:$E$35,3,0),IF(G500="Diesel",VLOOKUP(C500,'DESCUENTO PROVEEDORES'!$B$4:$E$35,4,0),"Seleccione Proveedor"))),"-")</f>
        <v>Seleccione Proveedor</v>
      </c>
      <c r="N500" s="20" t="e">
        <f>((((K500-H500)/1.16)-M500))</f>
        <v>#VALUE!</v>
      </c>
      <c r="O500" s="21" t="e">
        <f>((N500*16%)+N500)+H500+L500</f>
        <v>#VALUE!</v>
      </c>
      <c r="P500" s="21" t="e">
        <f>(((J500-O500)-H500)/1.16)+H500</f>
        <v>#VALUE!</v>
      </c>
      <c r="Q500" s="44"/>
      <c r="R500" s="24"/>
      <c r="S500" s="23" t="e">
        <f t="shared" si="24"/>
        <v>#DIV/0!</v>
      </c>
      <c r="T500" s="23" t="e">
        <f t="shared" si="25"/>
        <v>#DIV/0!</v>
      </c>
      <c r="U500" s="22" t="e">
        <f t="shared" si="26"/>
        <v>#DIV/0!</v>
      </c>
      <c r="V500" s="44"/>
      <c r="W500" s="44"/>
      <c r="X500" s="44"/>
      <c r="Y500" s="44"/>
      <c r="Z500" s="44"/>
    </row>
    <row r="501" spans="1:26" ht="15.75" customHeight="1">
      <c r="A501" s="44"/>
      <c r="B501" s="14"/>
      <c r="C501" s="53"/>
      <c r="D501" s="15"/>
      <c r="E501" s="89"/>
      <c r="F501" s="16"/>
      <c r="G501" s="16"/>
      <c r="H501" s="90" t="str">
        <f>IF(G501="Regular",Listas!$K$16,IF(G501="Premium",Listas!$K$17,IF(G501="Diesel",Listas!$K$18,"-")))</f>
        <v>-</v>
      </c>
      <c r="I501" s="17"/>
      <c r="J501" s="18"/>
      <c r="K501" s="19" t="str">
        <f>+IFERROR(IF(G501="Regular",VLOOKUP(C501,'PRECIO TERMINAL PEMEX'!$B$4:$E$35,2,0),IF(G501="Premium",VLOOKUP(C501,'PRECIO TERMINAL PEMEX'!$B$4:$E$35,3,0),IF(G501="Diesel",VLOOKUP(C501,'PRECIO TERMINAL PEMEX'!$B$4:$E$35,4,0),"Seleccione Producto"))),"-")</f>
        <v>Seleccione Producto</v>
      </c>
      <c r="L501" s="93" t="str">
        <f>+IFERROR(IF(F501="VHSA",VLOOKUP(B501,Listas!$C$4:$F$17,2,0),IF(F501="DOS BOCAS",VLOOKUP(B501,Listas!$C$4:$F$17,3,0),IF(F501="GLENCORE",VLOOKUP(B501,Listas!$C$4:$F$17,4,0),"Seleccione TAR"))),"-")</f>
        <v>Seleccione TAR</v>
      </c>
      <c r="M501" s="19" t="str">
        <f>+IFERROR(IF(G501="Regular",VLOOKUP(C501,'DESCUENTO PROVEEDORES'!$B$4:$E$35,2,0),IF(G501="Premium",VLOOKUP(C501,'DESCUENTO PROVEEDORES'!$B$4:$E$35,3,0),IF(G501="Diesel",VLOOKUP(C501,'DESCUENTO PROVEEDORES'!$B$4:$E$35,4,0),"Seleccione Proveedor"))),"-")</f>
        <v>Seleccione Proveedor</v>
      </c>
      <c r="N501" s="20" t="e">
        <f>((((K501-H501)/1.16)-M501))</f>
        <v>#VALUE!</v>
      </c>
      <c r="O501" s="21" t="e">
        <f>((N501*16%)+N501)+H501+L501</f>
        <v>#VALUE!</v>
      </c>
      <c r="P501" s="21" t="e">
        <f>(((J501-O501)-H501)/1.16)+H501</f>
        <v>#VALUE!</v>
      </c>
      <c r="Q501" s="44"/>
      <c r="R501" s="24"/>
      <c r="S501" s="23" t="e">
        <f t="shared" si="24"/>
        <v>#DIV/0!</v>
      </c>
      <c r="T501" s="23" t="e">
        <f t="shared" si="25"/>
        <v>#DIV/0!</v>
      </c>
      <c r="U501" s="22" t="e">
        <f t="shared" si="26"/>
        <v>#DIV/0!</v>
      </c>
      <c r="V501" s="44"/>
      <c r="W501" s="44"/>
      <c r="X501" s="44"/>
      <c r="Y501" s="44"/>
      <c r="Z501" s="44"/>
    </row>
    <row r="502" spans="1:26" ht="15.75" customHeight="1">
      <c r="A502" s="44"/>
      <c r="B502" s="14"/>
      <c r="C502" s="53"/>
      <c r="D502" s="15"/>
      <c r="E502" s="89"/>
      <c r="F502" s="16"/>
      <c r="G502" s="16"/>
      <c r="H502" s="90" t="str">
        <f>IF(G502="Regular",Listas!$K$16,IF(G502="Premium",Listas!$K$17,IF(G502="Diesel",Listas!$K$18,"-")))</f>
        <v>-</v>
      </c>
      <c r="I502" s="17"/>
      <c r="J502" s="18"/>
      <c r="K502" s="19" t="str">
        <f>+IFERROR(IF(G502="Regular",VLOOKUP(C502,'PRECIO TERMINAL PEMEX'!$B$4:$E$35,2,0),IF(G502="Premium",VLOOKUP(C502,'PRECIO TERMINAL PEMEX'!$B$4:$E$35,3,0),IF(G502="Diesel",VLOOKUP(C502,'PRECIO TERMINAL PEMEX'!$B$4:$E$35,4,0),"Seleccione Producto"))),"-")</f>
        <v>Seleccione Producto</v>
      </c>
      <c r="L502" s="93" t="str">
        <f>+IFERROR(IF(F502="VHSA",VLOOKUP(B502,Listas!$C$4:$F$17,2,0),IF(F502="DOS BOCAS",VLOOKUP(B502,Listas!$C$4:$F$17,3,0),IF(F502="GLENCORE",VLOOKUP(B502,Listas!$C$4:$F$17,4,0),"Seleccione TAR"))),"-")</f>
        <v>Seleccione TAR</v>
      </c>
      <c r="M502" s="19" t="str">
        <f>+IFERROR(IF(G502="Regular",VLOOKUP(C502,'DESCUENTO PROVEEDORES'!$B$4:$E$35,2,0),IF(G502="Premium",VLOOKUP(C502,'DESCUENTO PROVEEDORES'!$B$4:$E$35,3,0),IF(G502="Diesel",VLOOKUP(C502,'DESCUENTO PROVEEDORES'!$B$4:$E$35,4,0),"Seleccione Proveedor"))),"-")</f>
        <v>Seleccione Proveedor</v>
      </c>
      <c r="N502" s="20" t="e">
        <f>((((K502-H502)/1.16)-M502))</f>
        <v>#VALUE!</v>
      </c>
      <c r="O502" s="21" t="e">
        <f>((N502*16%)+N502)+H502+L502</f>
        <v>#VALUE!</v>
      </c>
      <c r="P502" s="21" t="e">
        <f>(((J502-O502)-H502)/1.16)+H502</f>
        <v>#VALUE!</v>
      </c>
      <c r="Q502" s="44"/>
      <c r="R502" s="24"/>
      <c r="S502" s="23" t="e">
        <f t="shared" si="24"/>
        <v>#DIV/0!</v>
      </c>
      <c r="T502" s="23" t="e">
        <f t="shared" si="25"/>
        <v>#DIV/0!</v>
      </c>
      <c r="U502" s="22" t="e">
        <f t="shared" si="26"/>
        <v>#DIV/0!</v>
      </c>
      <c r="V502" s="44"/>
      <c r="W502" s="44"/>
      <c r="X502" s="44"/>
      <c r="Y502" s="44"/>
      <c r="Z502" s="44"/>
    </row>
    <row r="503" spans="1:26" ht="15.75" customHeight="1">
      <c r="A503" s="44"/>
      <c r="B503" s="14"/>
      <c r="C503" s="53"/>
      <c r="D503" s="15"/>
      <c r="E503" s="89"/>
      <c r="F503" s="16"/>
      <c r="G503" s="16"/>
      <c r="H503" s="90" t="str">
        <f>IF(G503="Regular",Listas!$K$16,IF(G503="Premium",Listas!$K$17,IF(G503="Diesel",Listas!$K$18,"-")))</f>
        <v>-</v>
      </c>
      <c r="I503" s="17"/>
      <c r="J503" s="18"/>
      <c r="K503" s="19" t="str">
        <f>+IFERROR(IF(G503="Regular",VLOOKUP(C503,'PRECIO TERMINAL PEMEX'!$B$4:$E$35,2,0),IF(G503="Premium",VLOOKUP(C503,'PRECIO TERMINAL PEMEX'!$B$4:$E$35,3,0),IF(G503="Diesel",VLOOKUP(C503,'PRECIO TERMINAL PEMEX'!$B$4:$E$35,4,0),"Seleccione Producto"))),"-")</f>
        <v>Seleccione Producto</v>
      </c>
      <c r="L503" s="93" t="str">
        <f>+IFERROR(IF(F503="VHSA",VLOOKUP(B503,Listas!$C$4:$F$17,2,0),IF(F503="DOS BOCAS",VLOOKUP(B503,Listas!$C$4:$F$17,3,0),IF(F503="GLENCORE",VLOOKUP(B503,Listas!$C$4:$F$17,4,0),"Seleccione TAR"))),"-")</f>
        <v>Seleccione TAR</v>
      </c>
      <c r="M503" s="19" t="str">
        <f>+IFERROR(IF(G503="Regular",VLOOKUP(C503,'DESCUENTO PROVEEDORES'!$B$4:$E$35,2,0),IF(G503="Premium",VLOOKUP(C503,'DESCUENTO PROVEEDORES'!$B$4:$E$35,3,0),IF(G503="Diesel",VLOOKUP(C503,'DESCUENTO PROVEEDORES'!$B$4:$E$35,4,0),"Seleccione Proveedor"))),"-")</f>
        <v>Seleccione Proveedor</v>
      </c>
      <c r="N503" s="20" t="e">
        <f>((((K503-H503)/1.16)-M503))</f>
        <v>#VALUE!</v>
      </c>
      <c r="O503" s="21" t="e">
        <f>((N503*16%)+N503)+H503+L503</f>
        <v>#VALUE!</v>
      </c>
      <c r="P503" s="21" t="e">
        <f>(((J503-O503)-H503)/1.16)+H503</f>
        <v>#VALUE!</v>
      </c>
      <c r="Q503" s="44"/>
      <c r="R503" s="24"/>
      <c r="S503" s="23" t="e">
        <f t="shared" si="24"/>
        <v>#DIV/0!</v>
      </c>
      <c r="T503" s="23" t="e">
        <f t="shared" si="25"/>
        <v>#DIV/0!</v>
      </c>
      <c r="U503" s="22" t="e">
        <f t="shared" si="26"/>
        <v>#DIV/0!</v>
      </c>
      <c r="V503" s="44"/>
      <c r="W503" s="44"/>
      <c r="X503" s="44"/>
      <c r="Y503" s="44"/>
      <c r="Z503" s="44"/>
    </row>
    <row r="504" spans="1:26" ht="15.75" customHeight="1">
      <c r="A504" s="44"/>
      <c r="B504" s="14"/>
      <c r="C504" s="53"/>
      <c r="D504" s="15"/>
      <c r="E504" s="89"/>
      <c r="F504" s="16"/>
      <c r="G504" s="16"/>
      <c r="H504" s="90" t="str">
        <f>IF(G504="Regular",Listas!$K$16,IF(G504="Premium",Listas!$K$17,IF(G504="Diesel",Listas!$K$18,"-")))</f>
        <v>-</v>
      </c>
      <c r="I504" s="17"/>
      <c r="J504" s="18"/>
      <c r="K504" s="19" t="str">
        <f>+IFERROR(IF(G504="Regular",VLOOKUP(C504,'PRECIO TERMINAL PEMEX'!$B$4:$E$35,2,0),IF(G504="Premium",VLOOKUP(C504,'PRECIO TERMINAL PEMEX'!$B$4:$E$35,3,0),IF(G504="Diesel",VLOOKUP(C504,'PRECIO TERMINAL PEMEX'!$B$4:$E$35,4,0),"Seleccione Producto"))),"-")</f>
        <v>Seleccione Producto</v>
      </c>
      <c r="L504" s="93" t="str">
        <f>+IFERROR(IF(F504="VHSA",VLOOKUP(B504,Listas!$C$4:$F$17,2,0),IF(F504="DOS BOCAS",VLOOKUP(B504,Listas!$C$4:$F$17,3,0),IF(F504="GLENCORE",VLOOKUP(B504,Listas!$C$4:$F$17,4,0),"Seleccione TAR"))),"-")</f>
        <v>Seleccione TAR</v>
      </c>
      <c r="M504" s="19" t="str">
        <f>+IFERROR(IF(G504="Regular",VLOOKUP(C504,'DESCUENTO PROVEEDORES'!$B$4:$E$35,2,0),IF(G504="Premium",VLOOKUP(C504,'DESCUENTO PROVEEDORES'!$B$4:$E$35,3,0),IF(G504="Diesel",VLOOKUP(C504,'DESCUENTO PROVEEDORES'!$B$4:$E$35,4,0),"Seleccione Proveedor"))),"-")</f>
        <v>Seleccione Proveedor</v>
      </c>
      <c r="N504" s="20" t="e">
        <f>((((K504-H504)/1.16)-M504))</f>
        <v>#VALUE!</v>
      </c>
      <c r="O504" s="21" t="e">
        <f>((N504*16%)+N504)+H504+L504</f>
        <v>#VALUE!</v>
      </c>
      <c r="P504" s="21" t="e">
        <f>(((J504-O504)-H504)/1.16)+H504</f>
        <v>#VALUE!</v>
      </c>
      <c r="Q504" s="44"/>
      <c r="R504" s="24"/>
      <c r="S504" s="23" t="e">
        <f t="shared" si="24"/>
        <v>#DIV/0!</v>
      </c>
      <c r="T504" s="23" t="e">
        <f t="shared" si="25"/>
        <v>#DIV/0!</v>
      </c>
      <c r="U504" s="22" t="e">
        <f t="shared" si="26"/>
        <v>#DIV/0!</v>
      </c>
      <c r="V504" s="44"/>
      <c r="W504" s="44"/>
      <c r="X504" s="44"/>
      <c r="Y504" s="44"/>
      <c r="Z504" s="44"/>
    </row>
    <row r="505" spans="1:26" ht="15.75" customHeight="1">
      <c r="A505" s="44"/>
      <c r="B505" s="14"/>
      <c r="C505" s="53"/>
      <c r="D505" s="15"/>
      <c r="E505" s="89"/>
      <c r="F505" s="16"/>
      <c r="G505" s="16"/>
      <c r="H505" s="90" t="str">
        <f>IF(G505="Regular",Listas!$K$16,IF(G505="Premium",Listas!$K$17,IF(G505="Diesel",Listas!$K$18,"-")))</f>
        <v>-</v>
      </c>
      <c r="I505" s="17"/>
      <c r="J505" s="18"/>
      <c r="K505" s="19" t="str">
        <f>+IFERROR(IF(G505="Regular",VLOOKUP(C505,'PRECIO TERMINAL PEMEX'!$B$4:$E$35,2,0),IF(G505="Premium",VLOOKUP(C505,'PRECIO TERMINAL PEMEX'!$B$4:$E$35,3,0),IF(G505="Diesel",VLOOKUP(C505,'PRECIO TERMINAL PEMEX'!$B$4:$E$35,4,0),"Seleccione Producto"))),"-")</f>
        <v>Seleccione Producto</v>
      </c>
      <c r="L505" s="93" t="str">
        <f>+IFERROR(IF(F505="VHSA",VLOOKUP(B505,Listas!$C$4:$F$17,2,0),IF(F505="DOS BOCAS",VLOOKUP(B505,Listas!$C$4:$F$17,3,0),IF(F505="GLENCORE",VLOOKUP(B505,Listas!$C$4:$F$17,4,0),"Seleccione TAR"))),"-")</f>
        <v>Seleccione TAR</v>
      </c>
      <c r="M505" s="19" t="str">
        <f>+IFERROR(IF(G505="Regular",VLOOKUP(C505,'DESCUENTO PROVEEDORES'!$B$4:$E$35,2,0),IF(G505="Premium",VLOOKUP(C505,'DESCUENTO PROVEEDORES'!$B$4:$E$35,3,0),IF(G505="Diesel",VLOOKUP(C505,'DESCUENTO PROVEEDORES'!$B$4:$E$35,4,0),"Seleccione Proveedor"))),"-")</f>
        <v>Seleccione Proveedor</v>
      </c>
      <c r="N505" s="20" t="e">
        <f>((((K505-H505)/1.16)-M505))</f>
        <v>#VALUE!</v>
      </c>
      <c r="O505" s="21" t="e">
        <f>((N505*16%)+N505)+H505+L505</f>
        <v>#VALUE!</v>
      </c>
      <c r="P505" s="21" t="e">
        <f>(((J505-O505)-H505)/1.16)+H505</f>
        <v>#VALUE!</v>
      </c>
      <c r="Q505" s="44"/>
      <c r="R505" s="24"/>
      <c r="S505" s="23" t="e">
        <f t="shared" si="24"/>
        <v>#DIV/0!</v>
      </c>
      <c r="T505" s="23" t="e">
        <f t="shared" si="25"/>
        <v>#DIV/0!</v>
      </c>
      <c r="U505" s="22" t="e">
        <f t="shared" si="26"/>
        <v>#DIV/0!</v>
      </c>
      <c r="V505" s="44"/>
      <c r="W505" s="44"/>
      <c r="X505" s="44"/>
      <c r="Y505" s="44"/>
      <c r="Z505" s="44"/>
    </row>
    <row r="506" spans="1:26" ht="15.75" customHeight="1">
      <c r="A506" s="44"/>
      <c r="B506" s="14"/>
      <c r="C506" s="53"/>
      <c r="D506" s="15"/>
      <c r="E506" s="89"/>
      <c r="F506" s="16"/>
      <c r="G506" s="16"/>
      <c r="H506" s="90" t="str">
        <f>IF(G506="Regular",Listas!$K$16,IF(G506="Premium",Listas!$K$17,IF(G506="Diesel",Listas!$K$18,"-")))</f>
        <v>-</v>
      </c>
      <c r="I506" s="17"/>
      <c r="J506" s="18"/>
      <c r="K506" s="19" t="str">
        <f>+IFERROR(IF(G506="Regular",VLOOKUP(C506,'PRECIO TERMINAL PEMEX'!$B$4:$E$35,2,0),IF(G506="Premium",VLOOKUP(C506,'PRECIO TERMINAL PEMEX'!$B$4:$E$35,3,0),IF(G506="Diesel",VLOOKUP(C506,'PRECIO TERMINAL PEMEX'!$B$4:$E$35,4,0),"Seleccione Producto"))),"-")</f>
        <v>Seleccione Producto</v>
      </c>
      <c r="L506" s="93" t="str">
        <f>+IFERROR(IF(F506="VHSA",VLOOKUP(B506,Listas!$C$4:$F$17,2,0),IF(F506="DOS BOCAS",VLOOKUP(B506,Listas!$C$4:$F$17,3,0),IF(F506="GLENCORE",VLOOKUP(B506,Listas!$C$4:$F$17,4,0),"Seleccione TAR"))),"-")</f>
        <v>Seleccione TAR</v>
      </c>
      <c r="M506" s="19" t="str">
        <f>+IFERROR(IF(G506="Regular",VLOOKUP(C506,'DESCUENTO PROVEEDORES'!$B$4:$E$35,2,0),IF(G506="Premium",VLOOKUP(C506,'DESCUENTO PROVEEDORES'!$B$4:$E$35,3,0),IF(G506="Diesel",VLOOKUP(C506,'DESCUENTO PROVEEDORES'!$B$4:$E$35,4,0),"Seleccione Proveedor"))),"-")</f>
        <v>Seleccione Proveedor</v>
      </c>
      <c r="N506" s="20" t="e">
        <f>((((K506-H506)/1.16)-M506))</f>
        <v>#VALUE!</v>
      </c>
      <c r="O506" s="21" t="e">
        <f>((N506*16%)+N506)+H506+L506</f>
        <v>#VALUE!</v>
      </c>
      <c r="P506" s="21" t="e">
        <f>(((J506-O506)-H506)/1.16)+H506</f>
        <v>#VALUE!</v>
      </c>
      <c r="Q506" s="44"/>
      <c r="R506" s="24"/>
      <c r="S506" s="23" t="e">
        <f t="shared" si="24"/>
        <v>#DIV/0!</v>
      </c>
      <c r="T506" s="23" t="e">
        <f t="shared" si="25"/>
        <v>#DIV/0!</v>
      </c>
      <c r="U506" s="22" t="e">
        <f t="shared" si="26"/>
        <v>#DIV/0!</v>
      </c>
      <c r="V506" s="44"/>
      <c r="W506" s="44"/>
      <c r="X506" s="44"/>
      <c r="Y506" s="44"/>
      <c r="Z506" s="44"/>
    </row>
    <row r="507" spans="1:26" ht="15.75" customHeight="1">
      <c r="A507" s="44"/>
      <c r="B507" s="14"/>
      <c r="C507" s="53"/>
      <c r="D507" s="15"/>
      <c r="E507" s="89"/>
      <c r="F507" s="16"/>
      <c r="G507" s="16"/>
      <c r="H507" s="90" t="str">
        <f>IF(G507="Regular",Listas!$K$16,IF(G507="Premium",Listas!$K$17,IF(G507="Diesel",Listas!$K$18,"-")))</f>
        <v>-</v>
      </c>
      <c r="I507" s="17"/>
      <c r="J507" s="18"/>
      <c r="K507" s="19" t="str">
        <f>+IFERROR(IF(G507="Regular",VLOOKUP(C507,'PRECIO TERMINAL PEMEX'!$B$4:$E$35,2,0),IF(G507="Premium",VLOOKUP(C507,'PRECIO TERMINAL PEMEX'!$B$4:$E$35,3,0),IF(G507="Diesel",VLOOKUP(C507,'PRECIO TERMINAL PEMEX'!$B$4:$E$35,4,0),"Seleccione Producto"))),"-")</f>
        <v>Seleccione Producto</v>
      </c>
      <c r="L507" s="93" t="str">
        <f>+IFERROR(IF(F507="VHSA",VLOOKUP(B507,Listas!$C$4:$F$17,2,0),IF(F507="DOS BOCAS",VLOOKUP(B507,Listas!$C$4:$F$17,3,0),IF(F507="GLENCORE",VLOOKUP(B507,Listas!$C$4:$F$17,4,0),"Seleccione TAR"))),"-")</f>
        <v>Seleccione TAR</v>
      </c>
      <c r="M507" s="19" t="str">
        <f>+IFERROR(IF(G507="Regular",VLOOKUP(C507,'DESCUENTO PROVEEDORES'!$B$4:$E$35,2,0),IF(G507="Premium",VLOOKUP(C507,'DESCUENTO PROVEEDORES'!$B$4:$E$35,3,0),IF(G507="Diesel",VLOOKUP(C507,'DESCUENTO PROVEEDORES'!$B$4:$E$35,4,0),"Seleccione Proveedor"))),"-")</f>
        <v>Seleccione Proveedor</v>
      </c>
      <c r="N507" s="20" t="e">
        <f>((((K507-H507)/1.16)-M507))</f>
        <v>#VALUE!</v>
      </c>
      <c r="O507" s="21" t="e">
        <f>((N507*16%)+N507)+H507+L507</f>
        <v>#VALUE!</v>
      </c>
      <c r="P507" s="21" t="e">
        <f>(((J507-O507)-H507)/1.16)+H507</f>
        <v>#VALUE!</v>
      </c>
      <c r="Q507" s="44"/>
      <c r="R507" s="24"/>
      <c r="S507" s="23" t="e">
        <f t="shared" si="24"/>
        <v>#DIV/0!</v>
      </c>
      <c r="T507" s="23" t="e">
        <f t="shared" si="25"/>
        <v>#DIV/0!</v>
      </c>
      <c r="U507" s="22" t="e">
        <f t="shared" si="26"/>
        <v>#DIV/0!</v>
      </c>
      <c r="V507" s="44"/>
      <c r="W507" s="44"/>
      <c r="X507" s="44"/>
      <c r="Y507" s="44"/>
      <c r="Z507" s="44"/>
    </row>
    <row r="508" spans="1:26" ht="15.75" customHeight="1">
      <c r="A508" s="44"/>
      <c r="B508" s="14"/>
      <c r="C508" s="53"/>
      <c r="D508" s="15"/>
      <c r="E508" s="89"/>
      <c r="F508" s="16"/>
      <c r="G508" s="16"/>
      <c r="H508" s="90" t="str">
        <f>IF(G508="Regular",Listas!$K$16,IF(G508="Premium",Listas!$K$17,IF(G508="Diesel",Listas!$K$18,"-")))</f>
        <v>-</v>
      </c>
      <c r="I508" s="17"/>
      <c r="J508" s="18"/>
      <c r="K508" s="19" t="str">
        <f>+IFERROR(IF(G508="Regular",VLOOKUP(C508,'PRECIO TERMINAL PEMEX'!$B$4:$E$35,2,0),IF(G508="Premium",VLOOKUP(C508,'PRECIO TERMINAL PEMEX'!$B$4:$E$35,3,0),IF(G508="Diesel",VLOOKUP(C508,'PRECIO TERMINAL PEMEX'!$B$4:$E$35,4,0),"Seleccione Producto"))),"-")</f>
        <v>Seleccione Producto</v>
      </c>
      <c r="L508" s="93" t="str">
        <f>+IFERROR(IF(F508="VHSA",VLOOKUP(B508,Listas!$C$4:$F$17,2,0),IF(F508="DOS BOCAS",VLOOKUP(B508,Listas!$C$4:$F$17,3,0),IF(F508="GLENCORE",VLOOKUP(B508,Listas!$C$4:$F$17,4,0),"Seleccione TAR"))),"-")</f>
        <v>Seleccione TAR</v>
      </c>
      <c r="M508" s="19" t="str">
        <f>+IFERROR(IF(G508="Regular",VLOOKUP(C508,'DESCUENTO PROVEEDORES'!$B$4:$E$35,2,0),IF(G508="Premium",VLOOKUP(C508,'DESCUENTO PROVEEDORES'!$B$4:$E$35,3,0),IF(G508="Diesel",VLOOKUP(C508,'DESCUENTO PROVEEDORES'!$B$4:$E$35,4,0),"Seleccione Proveedor"))),"-")</f>
        <v>Seleccione Proveedor</v>
      </c>
      <c r="N508" s="20" t="e">
        <f>((((K508-H508)/1.16)-M508))</f>
        <v>#VALUE!</v>
      </c>
      <c r="O508" s="21" t="e">
        <f>((N508*16%)+N508)+H508+L508</f>
        <v>#VALUE!</v>
      </c>
      <c r="P508" s="21" t="e">
        <f>(((J508-O508)-H508)/1.16)+H508</f>
        <v>#VALUE!</v>
      </c>
      <c r="Q508" s="44"/>
      <c r="R508" s="24"/>
      <c r="S508" s="23" t="e">
        <f t="shared" si="24"/>
        <v>#DIV/0!</v>
      </c>
      <c r="T508" s="23" t="e">
        <f t="shared" si="25"/>
        <v>#DIV/0!</v>
      </c>
      <c r="U508" s="22" t="e">
        <f t="shared" si="26"/>
        <v>#DIV/0!</v>
      </c>
      <c r="V508" s="44"/>
      <c r="W508" s="44"/>
      <c r="X508" s="44"/>
      <c r="Y508" s="44"/>
      <c r="Z508" s="44"/>
    </row>
    <row r="509" spans="1:26" ht="15.75" customHeight="1">
      <c r="A509" s="44"/>
      <c r="B509" s="14"/>
      <c r="C509" s="53"/>
      <c r="D509" s="15"/>
      <c r="E509" s="89"/>
      <c r="F509" s="16"/>
      <c r="G509" s="16"/>
      <c r="H509" s="90" t="str">
        <f>IF(G509="Regular",Listas!$K$16,IF(G509="Premium",Listas!$K$17,IF(G509="Diesel",Listas!$K$18,"-")))</f>
        <v>-</v>
      </c>
      <c r="I509" s="17"/>
      <c r="J509" s="18"/>
      <c r="K509" s="19" t="str">
        <f>+IFERROR(IF(G509="Regular",VLOOKUP(C509,'PRECIO TERMINAL PEMEX'!$B$4:$E$35,2,0),IF(G509="Premium",VLOOKUP(C509,'PRECIO TERMINAL PEMEX'!$B$4:$E$35,3,0),IF(G509="Diesel",VLOOKUP(C509,'PRECIO TERMINAL PEMEX'!$B$4:$E$35,4,0),"Seleccione Producto"))),"-")</f>
        <v>Seleccione Producto</v>
      </c>
      <c r="L509" s="93" t="str">
        <f>+IFERROR(IF(F509="VHSA",VLOOKUP(B509,Listas!$C$4:$F$17,2,0),IF(F509="DOS BOCAS",VLOOKUP(B509,Listas!$C$4:$F$17,3,0),IF(F509="GLENCORE",VLOOKUP(B509,Listas!$C$4:$F$17,4,0),"Seleccione TAR"))),"-")</f>
        <v>Seleccione TAR</v>
      </c>
      <c r="M509" s="19" t="str">
        <f>+IFERROR(IF(G509="Regular",VLOOKUP(C509,'DESCUENTO PROVEEDORES'!$B$4:$E$35,2,0),IF(G509="Premium",VLOOKUP(C509,'DESCUENTO PROVEEDORES'!$B$4:$E$35,3,0),IF(G509="Diesel",VLOOKUP(C509,'DESCUENTO PROVEEDORES'!$B$4:$E$35,4,0),"Seleccione Proveedor"))),"-")</f>
        <v>Seleccione Proveedor</v>
      </c>
      <c r="N509" s="20" t="e">
        <f>((((K509-H509)/1.16)-M509))</f>
        <v>#VALUE!</v>
      </c>
      <c r="O509" s="21" t="e">
        <f>((N509*16%)+N509)+H509+L509</f>
        <v>#VALUE!</v>
      </c>
      <c r="P509" s="21" t="e">
        <f>(((J509-O509)-H509)/1.16)+H509</f>
        <v>#VALUE!</v>
      </c>
      <c r="Q509" s="44"/>
      <c r="R509" s="24"/>
      <c r="S509" s="23" t="e">
        <f t="shared" si="24"/>
        <v>#DIV/0!</v>
      </c>
      <c r="T509" s="23" t="e">
        <f t="shared" si="25"/>
        <v>#DIV/0!</v>
      </c>
      <c r="U509" s="22" t="e">
        <f t="shared" si="26"/>
        <v>#DIV/0!</v>
      </c>
      <c r="V509" s="44"/>
      <c r="W509" s="44"/>
      <c r="X509" s="44"/>
      <c r="Y509" s="44"/>
      <c r="Z509" s="44"/>
    </row>
    <row r="510" spans="1:26" ht="15.75" customHeight="1">
      <c r="A510" s="44"/>
      <c r="B510" s="14"/>
      <c r="C510" s="53"/>
      <c r="D510" s="15"/>
      <c r="E510" s="89"/>
      <c r="F510" s="16"/>
      <c r="G510" s="16"/>
      <c r="H510" s="90" t="str">
        <f>IF(G510="Regular",Listas!$K$16,IF(G510="Premium",Listas!$K$17,IF(G510="Diesel",Listas!$K$18,"-")))</f>
        <v>-</v>
      </c>
      <c r="I510" s="17"/>
      <c r="J510" s="18"/>
      <c r="K510" s="19" t="str">
        <f>+IFERROR(IF(G510="Regular",VLOOKUP(C510,'PRECIO TERMINAL PEMEX'!$B$4:$E$35,2,0),IF(G510="Premium",VLOOKUP(C510,'PRECIO TERMINAL PEMEX'!$B$4:$E$35,3,0),IF(G510="Diesel",VLOOKUP(C510,'PRECIO TERMINAL PEMEX'!$B$4:$E$35,4,0),"Seleccione Producto"))),"-")</f>
        <v>Seleccione Producto</v>
      </c>
      <c r="L510" s="93" t="str">
        <f>+IFERROR(IF(F510="VHSA",VLOOKUP(B510,Listas!$C$4:$F$17,2,0),IF(F510="DOS BOCAS",VLOOKUP(B510,Listas!$C$4:$F$17,3,0),IF(F510="GLENCORE",VLOOKUP(B510,Listas!$C$4:$F$17,4,0),"Seleccione TAR"))),"-")</f>
        <v>Seleccione TAR</v>
      </c>
      <c r="M510" s="19" t="str">
        <f>+IFERROR(IF(G510="Regular",VLOOKUP(C510,'DESCUENTO PROVEEDORES'!$B$4:$E$35,2,0),IF(G510="Premium",VLOOKUP(C510,'DESCUENTO PROVEEDORES'!$B$4:$E$35,3,0),IF(G510="Diesel",VLOOKUP(C510,'DESCUENTO PROVEEDORES'!$B$4:$E$35,4,0),"Seleccione Proveedor"))),"-")</f>
        <v>Seleccione Proveedor</v>
      </c>
      <c r="N510" s="20" t="e">
        <f>((((K510-H510)/1.16)-M510))</f>
        <v>#VALUE!</v>
      </c>
      <c r="O510" s="21" t="e">
        <f>((N510*16%)+N510)+H510+L510</f>
        <v>#VALUE!</v>
      </c>
      <c r="P510" s="21" t="e">
        <f>(((J510-O510)-H510)/1.16)+H510</f>
        <v>#VALUE!</v>
      </c>
      <c r="Q510" s="44"/>
      <c r="R510" s="24"/>
      <c r="S510" s="23" t="e">
        <f t="shared" si="24"/>
        <v>#DIV/0!</v>
      </c>
      <c r="T510" s="23" t="e">
        <f t="shared" si="25"/>
        <v>#DIV/0!</v>
      </c>
      <c r="U510" s="22" t="e">
        <f t="shared" si="26"/>
        <v>#DIV/0!</v>
      </c>
      <c r="V510" s="44"/>
      <c r="W510" s="44"/>
      <c r="X510" s="44"/>
      <c r="Y510" s="44"/>
      <c r="Z510" s="44"/>
    </row>
    <row r="511" spans="1:26" ht="15.75" customHeight="1">
      <c r="A511" s="44"/>
      <c r="B511" s="14"/>
      <c r="C511" s="53"/>
      <c r="D511" s="15"/>
      <c r="E511" s="89"/>
      <c r="F511" s="16"/>
      <c r="G511" s="16"/>
      <c r="H511" s="90" t="str">
        <f>IF(G511="Regular",Listas!$K$16,IF(G511="Premium",Listas!$K$17,IF(G511="Diesel",Listas!$K$18,"-")))</f>
        <v>-</v>
      </c>
      <c r="I511" s="17"/>
      <c r="J511" s="18"/>
      <c r="K511" s="19" t="str">
        <f>+IFERROR(IF(G511="Regular",VLOOKUP(C511,'PRECIO TERMINAL PEMEX'!$B$4:$E$35,2,0),IF(G511="Premium",VLOOKUP(C511,'PRECIO TERMINAL PEMEX'!$B$4:$E$35,3,0),IF(G511="Diesel",VLOOKUP(C511,'PRECIO TERMINAL PEMEX'!$B$4:$E$35,4,0),"Seleccione Producto"))),"-")</f>
        <v>Seleccione Producto</v>
      </c>
      <c r="L511" s="93" t="str">
        <f>+IFERROR(IF(F511="VHSA",VLOOKUP(B511,Listas!$C$4:$F$17,2,0),IF(F511="DOS BOCAS",VLOOKUP(B511,Listas!$C$4:$F$17,3,0),IF(F511="GLENCORE",VLOOKUP(B511,Listas!$C$4:$F$17,4,0),"Seleccione TAR"))),"-")</f>
        <v>Seleccione TAR</v>
      </c>
      <c r="M511" s="19" t="str">
        <f>+IFERROR(IF(G511="Regular",VLOOKUP(C511,'DESCUENTO PROVEEDORES'!$B$4:$E$35,2,0),IF(G511="Premium",VLOOKUP(C511,'DESCUENTO PROVEEDORES'!$B$4:$E$35,3,0),IF(G511="Diesel",VLOOKUP(C511,'DESCUENTO PROVEEDORES'!$B$4:$E$35,4,0),"Seleccione Proveedor"))),"-")</f>
        <v>Seleccione Proveedor</v>
      </c>
      <c r="N511" s="20" t="e">
        <f>((((K511-H511)/1.16)-M511))</f>
        <v>#VALUE!</v>
      </c>
      <c r="O511" s="21" t="e">
        <f>((N511*16%)+N511)+H511+L511</f>
        <v>#VALUE!</v>
      </c>
      <c r="P511" s="21" t="e">
        <f>(((J511-O511)-H511)/1.16)+H511</f>
        <v>#VALUE!</v>
      </c>
      <c r="Q511" s="44"/>
      <c r="R511" s="24"/>
      <c r="S511" s="23" t="e">
        <f t="shared" si="24"/>
        <v>#DIV/0!</v>
      </c>
      <c r="T511" s="23" t="e">
        <f t="shared" si="25"/>
        <v>#DIV/0!</v>
      </c>
      <c r="U511" s="22" t="e">
        <f t="shared" si="26"/>
        <v>#DIV/0!</v>
      </c>
      <c r="V511" s="44"/>
      <c r="W511" s="44"/>
      <c r="X511" s="44"/>
      <c r="Y511" s="44"/>
      <c r="Z511" s="44"/>
    </row>
    <row r="512" spans="1:26" ht="15.75" customHeight="1">
      <c r="A512" s="44"/>
      <c r="B512" s="14"/>
      <c r="C512" s="53"/>
      <c r="D512" s="15"/>
      <c r="E512" s="89"/>
      <c r="F512" s="16"/>
      <c r="G512" s="16"/>
      <c r="H512" s="90" t="str">
        <f>IF(G512="Regular",Listas!$K$16,IF(G512="Premium",Listas!$K$17,IF(G512="Diesel",Listas!$K$18,"-")))</f>
        <v>-</v>
      </c>
      <c r="I512" s="17"/>
      <c r="J512" s="18"/>
      <c r="K512" s="19" t="str">
        <f>+IFERROR(IF(G512="Regular",VLOOKUP(C512,'PRECIO TERMINAL PEMEX'!$B$4:$E$35,2,0),IF(G512="Premium",VLOOKUP(C512,'PRECIO TERMINAL PEMEX'!$B$4:$E$35,3,0),IF(G512="Diesel",VLOOKUP(C512,'PRECIO TERMINAL PEMEX'!$B$4:$E$35,4,0),"Seleccione Producto"))),"-")</f>
        <v>Seleccione Producto</v>
      </c>
      <c r="L512" s="93" t="str">
        <f>+IFERROR(IF(F512="VHSA",VLOOKUP(B512,Listas!$C$4:$F$17,2,0),IF(F512="DOS BOCAS",VLOOKUP(B512,Listas!$C$4:$F$17,3,0),IF(F512="GLENCORE",VLOOKUP(B512,Listas!$C$4:$F$17,4,0),"Seleccione TAR"))),"-")</f>
        <v>Seleccione TAR</v>
      </c>
      <c r="M512" s="19" t="str">
        <f>+IFERROR(IF(G512="Regular",VLOOKUP(C512,'DESCUENTO PROVEEDORES'!$B$4:$E$35,2,0),IF(G512="Premium",VLOOKUP(C512,'DESCUENTO PROVEEDORES'!$B$4:$E$35,3,0),IF(G512="Diesel",VLOOKUP(C512,'DESCUENTO PROVEEDORES'!$B$4:$E$35,4,0),"Seleccione Proveedor"))),"-")</f>
        <v>Seleccione Proveedor</v>
      </c>
      <c r="N512" s="20" t="e">
        <f>((((K512-H512)/1.16)-M512))</f>
        <v>#VALUE!</v>
      </c>
      <c r="O512" s="21" t="e">
        <f>((N512*16%)+N512)+H512+L512</f>
        <v>#VALUE!</v>
      </c>
      <c r="P512" s="21" t="e">
        <f>(((J512-O512)-H512)/1.16)+H512</f>
        <v>#VALUE!</v>
      </c>
      <c r="Q512" s="44"/>
      <c r="R512" s="24"/>
      <c r="S512" s="23" t="e">
        <f t="shared" si="24"/>
        <v>#DIV/0!</v>
      </c>
      <c r="T512" s="23" t="e">
        <f t="shared" si="25"/>
        <v>#DIV/0!</v>
      </c>
      <c r="U512" s="22" t="e">
        <f t="shared" si="26"/>
        <v>#DIV/0!</v>
      </c>
      <c r="V512" s="44"/>
      <c r="W512" s="44"/>
      <c r="X512" s="44"/>
      <c r="Y512" s="44"/>
      <c r="Z512" s="44"/>
    </row>
    <row r="513" spans="1:26" ht="15.75" customHeight="1">
      <c r="A513" s="44"/>
      <c r="B513" s="14"/>
      <c r="C513" s="53"/>
      <c r="D513" s="15"/>
      <c r="E513" s="89"/>
      <c r="F513" s="16"/>
      <c r="G513" s="16"/>
      <c r="H513" s="90" t="str">
        <f>IF(G513="Regular",Listas!$K$16,IF(G513="Premium",Listas!$K$17,IF(G513="Diesel",Listas!$K$18,"-")))</f>
        <v>-</v>
      </c>
      <c r="I513" s="17"/>
      <c r="J513" s="18"/>
      <c r="K513" s="19" t="str">
        <f>+IFERROR(IF(G513="Regular",VLOOKUP(C513,'PRECIO TERMINAL PEMEX'!$B$4:$E$35,2,0),IF(G513="Premium",VLOOKUP(C513,'PRECIO TERMINAL PEMEX'!$B$4:$E$35,3,0),IF(G513="Diesel",VLOOKUP(C513,'PRECIO TERMINAL PEMEX'!$B$4:$E$35,4,0),"Seleccione Producto"))),"-")</f>
        <v>Seleccione Producto</v>
      </c>
      <c r="L513" s="93" t="str">
        <f>+IFERROR(IF(F513="VHSA",VLOOKUP(B513,Listas!$C$4:$F$17,2,0),IF(F513="DOS BOCAS",VLOOKUP(B513,Listas!$C$4:$F$17,3,0),IF(F513="GLENCORE",VLOOKUP(B513,Listas!$C$4:$F$17,4,0),"Seleccione TAR"))),"-")</f>
        <v>Seleccione TAR</v>
      </c>
      <c r="M513" s="19" t="str">
        <f>+IFERROR(IF(G513="Regular",VLOOKUP(C513,'DESCUENTO PROVEEDORES'!$B$4:$E$35,2,0),IF(G513="Premium",VLOOKUP(C513,'DESCUENTO PROVEEDORES'!$B$4:$E$35,3,0),IF(G513="Diesel",VLOOKUP(C513,'DESCUENTO PROVEEDORES'!$B$4:$E$35,4,0),"Seleccione Proveedor"))),"-")</f>
        <v>Seleccione Proveedor</v>
      </c>
      <c r="N513" s="20" t="e">
        <f>((((K513-H513)/1.16)-M513))</f>
        <v>#VALUE!</v>
      </c>
      <c r="O513" s="21" t="e">
        <f>((N513*16%)+N513)+H513+L513</f>
        <v>#VALUE!</v>
      </c>
      <c r="P513" s="21" t="e">
        <f>(((J513-O513)-H513)/1.16)+H513</f>
        <v>#VALUE!</v>
      </c>
      <c r="Q513" s="44"/>
      <c r="R513" s="24"/>
      <c r="S513" s="23" t="e">
        <f t="shared" si="24"/>
        <v>#DIV/0!</v>
      </c>
      <c r="T513" s="23" t="e">
        <f t="shared" si="25"/>
        <v>#DIV/0!</v>
      </c>
      <c r="U513" s="22" t="e">
        <f t="shared" si="26"/>
        <v>#DIV/0!</v>
      </c>
      <c r="V513" s="44"/>
      <c r="W513" s="44"/>
      <c r="X513" s="44"/>
      <c r="Y513" s="44"/>
      <c r="Z513" s="44"/>
    </row>
    <row r="514" spans="1:26" ht="15.75" customHeight="1">
      <c r="A514" s="44"/>
      <c r="B514" s="14"/>
      <c r="C514" s="53"/>
      <c r="D514" s="15"/>
      <c r="E514" s="89"/>
      <c r="F514" s="16"/>
      <c r="G514" s="16"/>
      <c r="H514" s="90" t="str">
        <f>IF(G514="Regular",Listas!$K$16,IF(G514="Premium",Listas!$K$17,IF(G514="Diesel",Listas!$K$18,"-")))</f>
        <v>-</v>
      </c>
      <c r="I514" s="17"/>
      <c r="J514" s="18"/>
      <c r="K514" s="19" t="str">
        <f>+IFERROR(IF(G514="Regular",VLOOKUP(C514,'PRECIO TERMINAL PEMEX'!$B$4:$E$35,2,0),IF(G514="Premium",VLOOKUP(C514,'PRECIO TERMINAL PEMEX'!$B$4:$E$35,3,0),IF(G514="Diesel",VLOOKUP(C514,'PRECIO TERMINAL PEMEX'!$B$4:$E$35,4,0),"Seleccione Producto"))),"-")</f>
        <v>Seleccione Producto</v>
      </c>
      <c r="L514" s="93" t="str">
        <f>+IFERROR(IF(F514="VHSA",VLOOKUP(B514,Listas!$C$4:$F$17,2,0),IF(F514="DOS BOCAS",VLOOKUP(B514,Listas!$C$4:$F$17,3,0),IF(F514="GLENCORE",VLOOKUP(B514,Listas!$C$4:$F$17,4,0),"Seleccione TAR"))),"-")</f>
        <v>Seleccione TAR</v>
      </c>
      <c r="M514" s="19" t="str">
        <f>+IFERROR(IF(G514="Regular",VLOOKUP(C514,'DESCUENTO PROVEEDORES'!$B$4:$E$35,2,0),IF(G514="Premium",VLOOKUP(C514,'DESCUENTO PROVEEDORES'!$B$4:$E$35,3,0),IF(G514="Diesel",VLOOKUP(C514,'DESCUENTO PROVEEDORES'!$B$4:$E$35,4,0),"Seleccione Proveedor"))),"-")</f>
        <v>Seleccione Proveedor</v>
      </c>
      <c r="N514" s="20" t="e">
        <f>((((K514-H514)/1.16)-M514))</f>
        <v>#VALUE!</v>
      </c>
      <c r="O514" s="21" t="e">
        <f>((N514*16%)+N514)+H514+L514</f>
        <v>#VALUE!</v>
      </c>
      <c r="P514" s="21" t="e">
        <f>(((J514-O514)-H514)/1.16)+H514</f>
        <v>#VALUE!</v>
      </c>
      <c r="Q514" s="44"/>
      <c r="R514" s="24"/>
      <c r="S514" s="23" t="e">
        <f t="shared" si="24"/>
        <v>#DIV/0!</v>
      </c>
      <c r="T514" s="23" t="e">
        <f t="shared" si="25"/>
        <v>#DIV/0!</v>
      </c>
      <c r="U514" s="22" t="e">
        <f t="shared" si="26"/>
        <v>#DIV/0!</v>
      </c>
      <c r="V514" s="44"/>
      <c r="W514" s="44"/>
      <c r="X514" s="44"/>
      <c r="Y514" s="44"/>
      <c r="Z514" s="44"/>
    </row>
    <row r="515" spans="1:26" ht="15.75" customHeight="1">
      <c r="A515" s="44"/>
      <c r="B515" s="14"/>
      <c r="C515" s="53"/>
      <c r="D515" s="15"/>
      <c r="E515" s="89"/>
      <c r="F515" s="16"/>
      <c r="G515" s="16"/>
      <c r="H515" s="90" t="str">
        <f>IF(G515="Regular",Listas!$K$16,IF(G515="Premium",Listas!$K$17,IF(G515="Diesel",Listas!$K$18,"-")))</f>
        <v>-</v>
      </c>
      <c r="I515" s="17"/>
      <c r="J515" s="18"/>
      <c r="K515" s="19" t="str">
        <f>+IFERROR(IF(G515="Regular",VLOOKUP(C515,'PRECIO TERMINAL PEMEX'!$B$4:$E$35,2,0),IF(G515="Premium",VLOOKUP(C515,'PRECIO TERMINAL PEMEX'!$B$4:$E$35,3,0),IF(G515="Diesel",VLOOKUP(C515,'PRECIO TERMINAL PEMEX'!$B$4:$E$35,4,0),"Seleccione Producto"))),"-")</f>
        <v>Seleccione Producto</v>
      </c>
      <c r="L515" s="93" t="str">
        <f>+IFERROR(IF(F515="VHSA",VLOOKUP(B515,Listas!$C$4:$F$17,2,0),IF(F515="DOS BOCAS",VLOOKUP(B515,Listas!$C$4:$F$17,3,0),IF(F515="GLENCORE",VLOOKUP(B515,Listas!$C$4:$F$17,4,0),"Seleccione TAR"))),"-")</f>
        <v>Seleccione TAR</v>
      </c>
      <c r="M515" s="19" t="str">
        <f>+IFERROR(IF(G515="Regular",VLOOKUP(C515,'DESCUENTO PROVEEDORES'!$B$4:$E$35,2,0),IF(G515="Premium",VLOOKUP(C515,'DESCUENTO PROVEEDORES'!$B$4:$E$35,3,0),IF(G515="Diesel",VLOOKUP(C515,'DESCUENTO PROVEEDORES'!$B$4:$E$35,4,0),"Seleccione Proveedor"))),"-")</f>
        <v>Seleccione Proveedor</v>
      </c>
      <c r="N515" s="20" t="e">
        <f>((((K515-H515)/1.16)-M515))</f>
        <v>#VALUE!</v>
      </c>
      <c r="O515" s="21" t="e">
        <f>((N515*16%)+N515)+H515+L515</f>
        <v>#VALUE!</v>
      </c>
      <c r="P515" s="21" t="e">
        <f>(((J515-O515)-H515)/1.16)+H515</f>
        <v>#VALUE!</v>
      </c>
      <c r="Q515" s="44"/>
      <c r="R515" s="24"/>
      <c r="S515" s="23" t="e">
        <f t="shared" si="24"/>
        <v>#DIV/0!</v>
      </c>
      <c r="T515" s="23" t="e">
        <f t="shared" si="25"/>
        <v>#DIV/0!</v>
      </c>
      <c r="U515" s="22" t="e">
        <f t="shared" si="26"/>
        <v>#DIV/0!</v>
      </c>
      <c r="V515" s="44"/>
      <c r="W515" s="44"/>
      <c r="X515" s="44"/>
      <c r="Y515" s="44"/>
      <c r="Z515" s="44"/>
    </row>
    <row r="516" spans="1:26" ht="15.75" customHeight="1">
      <c r="A516" s="44"/>
      <c r="B516" s="14"/>
      <c r="C516" s="53"/>
      <c r="D516" s="15"/>
      <c r="E516" s="89"/>
      <c r="F516" s="16"/>
      <c r="G516" s="16"/>
      <c r="H516" s="90" t="str">
        <f>IF(G516="Regular",Listas!$K$16,IF(G516="Premium",Listas!$K$17,IF(G516="Diesel",Listas!$K$18,"-")))</f>
        <v>-</v>
      </c>
      <c r="I516" s="17"/>
      <c r="J516" s="18"/>
      <c r="K516" s="19" t="str">
        <f>+IFERROR(IF(G516="Regular",VLOOKUP(C516,'PRECIO TERMINAL PEMEX'!$B$4:$E$35,2,0),IF(G516="Premium",VLOOKUP(C516,'PRECIO TERMINAL PEMEX'!$B$4:$E$35,3,0),IF(G516="Diesel",VLOOKUP(C516,'PRECIO TERMINAL PEMEX'!$B$4:$E$35,4,0),"Seleccione Producto"))),"-")</f>
        <v>Seleccione Producto</v>
      </c>
      <c r="L516" s="93" t="str">
        <f>+IFERROR(IF(F516="VHSA",VLOOKUP(B516,Listas!$C$4:$F$17,2,0),IF(F516="DOS BOCAS",VLOOKUP(B516,Listas!$C$4:$F$17,3,0),IF(F516="GLENCORE",VLOOKUP(B516,Listas!$C$4:$F$17,4,0),"Seleccione TAR"))),"-")</f>
        <v>Seleccione TAR</v>
      </c>
      <c r="M516" s="19" t="str">
        <f>+IFERROR(IF(G516="Regular",VLOOKUP(C516,'DESCUENTO PROVEEDORES'!$B$4:$E$35,2,0),IF(G516="Premium",VLOOKUP(C516,'DESCUENTO PROVEEDORES'!$B$4:$E$35,3,0),IF(G516="Diesel",VLOOKUP(C516,'DESCUENTO PROVEEDORES'!$B$4:$E$35,4,0),"Seleccione Proveedor"))),"-")</f>
        <v>Seleccione Proveedor</v>
      </c>
      <c r="N516" s="20" t="e">
        <f>((((K516-H516)/1.16)-M516))</f>
        <v>#VALUE!</v>
      </c>
      <c r="O516" s="21" t="e">
        <f>((N516*16%)+N516)+H516+L516</f>
        <v>#VALUE!</v>
      </c>
      <c r="P516" s="21" t="e">
        <f>(((J516-O516)-H516)/1.16)+H516</f>
        <v>#VALUE!</v>
      </c>
      <c r="Q516" s="44"/>
      <c r="R516" s="24"/>
      <c r="S516" s="23" t="e">
        <f t="shared" si="24"/>
        <v>#DIV/0!</v>
      </c>
      <c r="T516" s="23" t="e">
        <f t="shared" si="25"/>
        <v>#DIV/0!</v>
      </c>
      <c r="U516" s="22" t="e">
        <f t="shared" si="26"/>
        <v>#DIV/0!</v>
      </c>
      <c r="V516" s="44"/>
      <c r="W516" s="44"/>
      <c r="X516" s="44"/>
      <c r="Y516" s="44"/>
      <c r="Z516" s="44"/>
    </row>
    <row r="517" spans="1:26" ht="15.75" customHeight="1">
      <c r="A517" s="44"/>
      <c r="B517" s="14"/>
      <c r="C517" s="53"/>
      <c r="D517" s="15"/>
      <c r="E517" s="89"/>
      <c r="F517" s="16"/>
      <c r="G517" s="16"/>
      <c r="H517" s="90" t="str">
        <f>IF(G517="Regular",Listas!$K$16,IF(G517="Premium",Listas!$K$17,IF(G517="Diesel",Listas!$K$18,"-")))</f>
        <v>-</v>
      </c>
      <c r="I517" s="17"/>
      <c r="J517" s="18"/>
      <c r="K517" s="19" t="str">
        <f>+IFERROR(IF(G517="Regular",VLOOKUP(C517,'PRECIO TERMINAL PEMEX'!$B$4:$E$35,2,0),IF(G517="Premium",VLOOKUP(C517,'PRECIO TERMINAL PEMEX'!$B$4:$E$35,3,0),IF(G517="Diesel",VLOOKUP(C517,'PRECIO TERMINAL PEMEX'!$B$4:$E$35,4,0),"Seleccione Producto"))),"-")</f>
        <v>Seleccione Producto</v>
      </c>
      <c r="L517" s="93" t="str">
        <f>+IFERROR(IF(F517="VHSA",VLOOKUP(B517,Listas!$C$4:$F$17,2,0),IF(F517="DOS BOCAS",VLOOKUP(B517,Listas!$C$4:$F$17,3,0),IF(F517="GLENCORE",VLOOKUP(B517,Listas!$C$4:$F$17,4,0),"Seleccione TAR"))),"-")</f>
        <v>Seleccione TAR</v>
      </c>
      <c r="M517" s="19" t="str">
        <f>+IFERROR(IF(G517="Regular",VLOOKUP(C517,'DESCUENTO PROVEEDORES'!$B$4:$E$35,2,0),IF(G517="Premium",VLOOKUP(C517,'DESCUENTO PROVEEDORES'!$B$4:$E$35,3,0),IF(G517="Diesel",VLOOKUP(C517,'DESCUENTO PROVEEDORES'!$B$4:$E$35,4,0),"Seleccione Proveedor"))),"-")</f>
        <v>Seleccione Proveedor</v>
      </c>
      <c r="N517" s="20" t="e">
        <f>((((K517-H517)/1.16)-M517))</f>
        <v>#VALUE!</v>
      </c>
      <c r="O517" s="21" t="e">
        <f>((N517*16%)+N517)+H517+L517</f>
        <v>#VALUE!</v>
      </c>
      <c r="P517" s="21" t="e">
        <f>(((J517-O517)-H517)/1.16)+H517</f>
        <v>#VALUE!</v>
      </c>
      <c r="Q517" s="44"/>
      <c r="R517" s="24"/>
      <c r="S517" s="23" t="e">
        <f t="shared" si="24"/>
        <v>#DIV/0!</v>
      </c>
      <c r="T517" s="23" t="e">
        <f t="shared" si="25"/>
        <v>#DIV/0!</v>
      </c>
      <c r="U517" s="22" t="e">
        <f t="shared" si="26"/>
        <v>#DIV/0!</v>
      </c>
      <c r="V517" s="44"/>
      <c r="W517" s="44"/>
      <c r="X517" s="44"/>
      <c r="Y517" s="44"/>
      <c r="Z517" s="44"/>
    </row>
    <row r="518" spans="1:26" ht="15.75" customHeight="1">
      <c r="A518" s="44"/>
      <c r="B518" s="14"/>
      <c r="C518" s="53"/>
      <c r="D518" s="15"/>
      <c r="E518" s="89"/>
      <c r="F518" s="16"/>
      <c r="G518" s="16"/>
      <c r="H518" s="90" t="str">
        <f>IF(G518="Regular",Listas!$K$16,IF(G518="Premium",Listas!$K$17,IF(G518="Diesel",Listas!$K$18,"-")))</f>
        <v>-</v>
      </c>
      <c r="I518" s="17"/>
      <c r="J518" s="18"/>
      <c r="K518" s="19" t="str">
        <f>+IFERROR(IF(G518="Regular",VLOOKUP(C518,'PRECIO TERMINAL PEMEX'!$B$4:$E$35,2,0),IF(G518="Premium",VLOOKUP(C518,'PRECIO TERMINAL PEMEX'!$B$4:$E$35,3,0),IF(G518="Diesel",VLOOKUP(C518,'PRECIO TERMINAL PEMEX'!$B$4:$E$35,4,0),"Seleccione Producto"))),"-")</f>
        <v>Seleccione Producto</v>
      </c>
      <c r="L518" s="93" t="str">
        <f>+IFERROR(IF(F518="VHSA",VLOOKUP(B518,Listas!$C$4:$F$17,2,0),IF(F518="DOS BOCAS",VLOOKUP(B518,Listas!$C$4:$F$17,3,0),IF(F518="GLENCORE",VLOOKUP(B518,Listas!$C$4:$F$17,4,0),"Seleccione TAR"))),"-")</f>
        <v>Seleccione TAR</v>
      </c>
      <c r="M518" s="19" t="str">
        <f>+IFERROR(IF(G518="Regular",VLOOKUP(C518,'DESCUENTO PROVEEDORES'!$B$4:$E$35,2,0),IF(G518="Premium",VLOOKUP(C518,'DESCUENTO PROVEEDORES'!$B$4:$E$35,3,0),IF(G518="Diesel",VLOOKUP(C518,'DESCUENTO PROVEEDORES'!$B$4:$E$35,4,0),"Seleccione Proveedor"))),"-")</f>
        <v>Seleccione Proveedor</v>
      </c>
      <c r="N518" s="20" t="e">
        <f>((((K518-H518)/1.16)-M518))</f>
        <v>#VALUE!</v>
      </c>
      <c r="O518" s="21" t="e">
        <f>((N518*16%)+N518)+H518+L518</f>
        <v>#VALUE!</v>
      </c>
      <c r="P518" s="21" t="e">
        <f>(((J518-O518)-H518)/1.16)+H518</f>
        <v>#VALUE!</v>
      </c>
      <c r="Q518" s="44"/>
      <c r="R518" s="24"/>
      <c r="S518" s="23" t="e">
        <f t="shared" si="24"/>
        <v>#DIV/0!</v>
      </c>
      <c r="T518" s="23" t="e">
        <f t="shared" si="25"/>
        <v>#DIV/0!</v>
      </c>
      <c r="U518" s="22" t="e">
        <f t="shared" si="26"/>
        <v>#DIV/0!</v>
      </c>
      <c r="V518" s="44"/>
      <c r="W518" s="44"/>
      <c r="X518" s="44"/>
      <c r="Y518" s="44"/>
      <c r="Z518" s="44"/>
    </row>
    <row r="519" spans="1:26" ht="15.75" customHeight="1">
      <c r="A519" s="44"/>
      <c r="B519" s="14"/>
      <c r="C519" s="53"/>
      <c r="D519" s="15"/>
      <c r="E519" s="89"/>
      <c r="F519" s="16"/>
      <c r="G519" s="16"/>
      <c r="H519" s="90" t="str">
        <f>IF(G519="Regular",Listas!$K$16,IF(G519="Premium",Listas!$K$17,IF(G519="Diesel",Listas!$K$18,"-")))</f>
        <v>-</v>
      </c>
      <c r="I519" s="17"/>
      <c r="J519" s="18"/>
      <c r="K519" s="19" t="str">
        <f>+IFERROR(IF(G519="Regular",VLOOKUP(C519,'PRECIO TERMINAL PEMEX'!$B$4:$E$35,2,0),IF(G519="Premium",VLOOKUP(C519,'PRECIO TERMINAL PEMEX'!$B$4:$E$35,3,0),IF(G519="Diesel",VLOOKUP(C519,'PRECIO TERMINAL PEMEX'!$B$4:$E$35,4,0),"Seleccione Producto"))),"-")</f>
        <v>Seleccione Producto</v>
      </c>
      <c r="L519" s="93" t="str">
        <f>+IFERROR(IF(F519="VHSA",VLOOKUP(B519,Listas!$C$4:$F$17,2,0),IF(F519="DOS BOCAS",VLOOKUP(B519,Listas!$C$4:$F$17,3,0),IF(F519="GLENCORE",VLOOKUP(B519,Listas!$C$4:$F$17,4,0),"Seleccione TAR"))),"-")</f>
        <v>Seleccione TAR</v>
      </c>
      <c r="M519" s="19" t="str">
        <f>+IFERROR(IF(G519="Regular",VLOOKUP(C519,'DESCUENTO PROVEEDORES'!$B$4:$E$35,2,0),IF(G519="Premium",VLOOKUP(C519,'DESCUENTO PROVEEDORES'!$B$4:$E$35,3,0),IF(G519="Diesel",VLOOKUP(C519,'DESCUENTO PROVEEDORES'!$B$4:$E$35,4,0),"Seleccione Proveedor"))),"-")</f>
        <v>Seleccione Proveedor</v>
      </c>
      <c r="N519" s="20" t="e">
        <f>((((K519-H519)/1.16)-M519))</f>
        <v>#VALUE!</v>
      </c>
      <c r="O519" s="21" t="e">
        <f>((N519*16%)+N519)+H519+L519</f>
        <v>#VALUE!</v>
      </c>
      <c r="P519" s="21" t="e">
        <f>(((J519-O519)-H519)/1.16)+H519</f>
        <v>#VALUE!</v>
      </c>
      <c r="Q519" s="44"/>
      <c r="R519" s="24"/>
      <c r="S519" s="23" t="e">
        <f t="shared" si="24"/>
        <v>#DIV/0!</v>
      </c>
      <c r="T519" s="23" t="e">
        <f t="shared" si="25"/>
        <v>#DIV/0!</v>
      </c>
      <c r="U519" s="22" t="e">
        <f t="shared" si="26"/>
        <v>#DIV/0!</v>
      </c>
      <c r="V519" s="44"/>
      <c r="W519" s="44"/>
      <c r="X519" s="44"/>
      <c r="Y519" s="44"/>
      <c r="Z519" s="44"/>
    </row>
    <row r="520" spans="1:26" ht="15.75" customHeight="1">
      <c r="A520" s="44"/>
      <c r="B520" s="14"/>
      <c r="C520" s="53"/>
      <c r="D520" s="15"/>
      <c r="E520" s="89"/>
      <c r="F520" s="16"/>
      <c r="G520" s="16"/>
      <c r="H520" s="90" t="str">
        <f>IF(G520="Regular",Listas!$K$16,IF(G520="Premium",Listas!$K$17,IF(G520="Diesel",Listas!$K$18,"-")))</f>
        <v>-</v>
      </c>
      <c r="I520" s="17"/>
      <c r="J520" s="18"/>
      <c r="K520" s="19" t="str">
        <f>+IFERROR(IF(G520="Regular",VLOOKUP(C520,'PRECIO TERMINAL PEMEX'!$B$4:$E$35,2,0),IF(G520="Premium",VLOOKUP(C520,'PRECIO TERMINAL PEMEX'!$B$4:$E$35,3,0),IF(G520="Diesel",VLOOKUP(C520,'PRECIO TERMINAL PEMEX'!$B$4:$E$35,4,0),"Seleccione Producto"))),"-")</f>
        <v>Seleccione Producto</v>
      </c>
      <c r="L520" s="93" t="str">
        <f>+IFERROR(IF(F520="VHSA",VLOOKUP(B520,Listas!$C$4:$F$17,2,0),IF(F520="DOS BOCAS",VLOOKUP(B520,Listas!$C$4:$F$17,3,0),IF(F520="GLENCORE",VLOOKUP(B520,Listas!$C$4:$F$17,4,0),"Seleccione TAR"))),"-")</f>
        <v>Seleccione TAR</v>
      </c>
      <c r="M520" s="19" t="str">
        <f>+IFERROR(IF(G520="Regular",VLOOKUP(C520,'DESCUENTO PROVEEDORES'!$B$4:$E$35,2,0),IF(G520="Premium",VLOOKUP(C520,'DESCUENTO PROVEEDORES'!$B$4:$E$35,3,0),IF(G520="Diesel",VLOOKUP(C520,'DESCUENTO PROVEEDORES'!$B$4:$E$35,4,0),"Seleccione Proveedor"))),"-")</f>
        <v>Seleccione Proveedor</v>
      </c>
      <c r="N520" s="20" t="e">
        <f>((((K520-H520)/1.16)-M520))</f>
        <v>#VALUE!</v>
      </c>
      <c r="O520" s="21" t="e">
        <f>((N520*16%)+N520)+H520+L520</f>
        <v>#VALUE!</v>
      </c>
      <c r="P520" s="21" t="e">
        <f>(((J520-O520)-H520)/1.16)+H520</f>
        <v>#VALUE!</v>
      </c>
      <c r="Q520" s="44"/>
      <c r="R520" s="24"/>
      <c r="S520" s="23" t="e">
        <f t="shared" si="24"/>
        <v>#DIV/0!</v>
      </c>
      <c r="T520" s="23" t="e">
        <f t="shared" si="25"/>
        <v>#DIV/0!</v>
      </c>
      <c r="U520" s="22" t="e">
        <f t="shared" si="26"/>
        <v>#DIV/0!</v>
      </c>
      <c r="V520" s="44"/>
      <c r="W520" s="44"/>
      <c r="X520" s="44"/>
      <c r="Y520" s="44"/>
      <c r="Z520" s="44"/>
    </row>
    <row r="521" spans="1:26" ht="15.75" customHeight="1">
      <c r="A521" s="44"/>
      <c r="B521" s="14"/>
      <c r="C521" s="53"/>
      <c r="D521" s="15"/>
      <c r="E521" s="89"/>
      <c r="F521" s="16"/>
      <c r="G521" s="16"/>
      <c r="H521" s="90" t="str">
        <f>IF(G521="Regular",Listas!$K$16,IF(G521="Premium",Listas!$K$17,IF(G521="Diesel",Listas!$K$18,"-")))</f>
        <v>-</v>
      </c>
      <c r="I521" s="17"/>
      <c r="J521" s="18"/>
      <c r="K521" s="19" t="str">
        <f>+IFERROR(IF(G521="Regular",VLOOKUP(C521,'PRECIO TERMINAL PEMEX'!$B$4:$E$35,2,0),IF(G521="Premium",VLOOKUP(C521,'PRECIO TERMINAL PEMEX'!$B$4:$E$35,3,0),IF(G521="Diesel",VLOOKUP(C521,'PRECIO TERMINAL PEMEX'!$B$4:$E$35,4,0),"Seleccione Producto"))),"-")</f>
        <v>Seleccione Producto</v>
      </c>
      <c r="L521" s="93" t="str">
        <f>+IFERROR(IF(F521="VHSA",VLOOKUP(B521,Listas!$C$4:$F$17,2,0),IF(F521="DOS BOCAS",VLOOKUP(B521,Listas!$C$4:$F$17,3,0),IF(F521="GLENCORE",VLOOKUP(B521,Listas!$C$4:$F$17,4,0),"Seleccione TAR"))),"-")</f>
        <v>Seleccione TAR</v>
      </c>
      <c r="M521" s="19" t="str">
        <f>+IFERROR(IF(G521="Regular",VLOOKUP(C521,'DESCUENTO PROVEEDORES'!$B$4:$E$35,2,0),IF(G521="Premium",VLOOKUP(C521,'DESCUENTO PROVEEDORES'!$B$4:$E$35,3,0),IF(G521="Diesel",VLOOKUP(C521,'DESCUENTO PROVEEDORES'!$B$4:$E$35,4,0),"Seleccione Proveedor"))),"-")</f>
        <v>Seleccione Proveedor</v>
      </c>
      <c r="N521" s="20" t="e">
        <f>((((K521-H521)/1.16)-M521))</f>
        <v>#VALUE!</v>
      </c>
      <c r="O521" s="21" t="e">
        <f>((N521*16%)+N521)+H521+L521</f>
        <v>#VALUE!</v>
      </c>
      <c r="P521" s="21" t="e">
        <f>(((J521-O521)-H521)/1.16)+H521</f>
        <v>#VALUE!</v>
      </c>
      <c r="Q521" s="44"/>
      <c r="R521" s="24"/>
      <c r="S521" s="23" t="e">
        <f t="shared" si="24"/>
        <v>#DIV/0!</v>
      </c>
      <c r="T521" s="23" t="e">
        <f t="shared" si="25"/>
        <v>#DIV/0!</v>
      </c>
      <c r="U521" s="22" t="e">
        <f t="shared" si="26"/>
        <v>#DIV/0!</v>
      </c>
      <c r="V521" s="44"/>
      <c r="W521" s="44"/>
      <c r="X521" s="44"/>
      <c r="Y521" s="44"/>
      <c r="Z521" s="44"/>
    </row>
    <row r="522" spans="1:26" ht="15.75" customHeight="1">
      <c r="A522" s="44"/>
      <c r="B522" s="14"/>
      <c r="C522" s="53"/>
      <c r="D522" s="15"/>
      <c r="E522" s="89"/>
      <c r="F522" s="16"/>
      <c r="G522" s="16"/>
      <c r="H522" s="90" t="str">
        <f>IF(G522="Regular",Listas!$K$16,IF(G522="Premium",Listas!$K$17,IF(G522="Diesel",Listas!$K$18,"-")))</f>
        <v>-</v>
      </c>
      <c r="I522" s="17"/>
      <c r="J522" s="18"/>
      <c r="K522" s="19" t="str">
        <f>+IFERROR(IF(G522="Regular",VLOOKUP(C522,'PRECIO TERMINAL PEMEX'!$B$4:$E$35,2,0),IF(G522="Premium",VLOOKUP(C522,'PRECIO TERMINAL PEMEX'!$B$4:$E$35,3,0),IF(G522="Diesel",VLOOKUP(C522,'PRECIO TERMINAL PEMEX'!$B$4:$E$35,4,0),"Seleccione Producto"))),"-")</f>
        <v>Seleccione Producto</v>
      </c>
      <c r="L522" s="93" t="str">
        <f>+IFERROR(IF(F522="VHSA",VLOOKUP(B522,Listas!$C$4:$F$17,2,0),IF(F522="DOS BOCAS",VLOOKUP(B522,Listas!$C$4:$F$17,3,0),IF(F522="GLENCORE",VLOOKUP(B522,Listas!$C$4:$F$17,4,0),"Seleccione TAR"))),"-")</f>
        <v>Seleccione TAR</v>
      </c>
      <c r="M522" s="19" t="str">
        <f>+IFERROR(IF(G522="Regular",VLOOKUP(C522,'DESCUENTO PROVEEDORES'!$B$4:$E$35,2,0),IF(G522="Premium",VLOOKUP(C522,'DESCUENTO PROVEEDORES'!$B$4:$E$35,3,0),IF(G522="Diesel",VLOOKUP(C522,'DESCUENTO PROVEEDORES'!$B$4:$E$35,4,0),"Seleccione Proveedor"))),"-")</f>
        <v>Seleccione Proveedor</v>
      </c>
      <c r="N522" s="20" t="e">
        <f>((((K522-H522)/1.16)-M522))</f>
        <v>#VALUE!</v>
      </c>
      <c r="O522" s="21" t="e">
        <f>((N522*16%)+N522)+H522+L522</f>
        <v>#VALUE!</v>
      </c>
      <c r="P522" s="21" t="e">
        <f>(((J522-O522)-H522)/1.16)+H522</f>
        <v>#VALUE!</v>
      </c>
      <c r="Q522" s="44"/>
      <c r="R522" s="24"/>
      <c r="S522" s="23" t="e">
        <f t="shared" si="24"/>
        <v>#DIV/0!</v>
      </c>
      <c r="T522" s="23" t="e">
        <f t="shared" si="25"/>
        <v>#DIV/0!</v>
      </c>
      <c r="U522" s="22" t="e">
        <f t="shared" si="26"/>
        <v>#DIV/0!</v>
      </c>
      <c r="V522" s="44"/>
      <c r="W522" s="44"/>
      <c r="X522" s="44"/>
      <c r="Y522" s="44"/>
      <c r="Z522" s="44"/>
    </row>
    <row r="523" spans="1:26" ht="15.75" customHeight="1">
      <c r="A523" s="44"/>
      <c r="B523" s="14"/>
      <c r="C523" s="53"/>
      <c r="D523" s="15"/>
      <c r="E523" s="89"/>
      <c r="F523" s="16"/>
      <c r="G523" s="16"/>
      <c r="H523" s="90" t="str">
        <f>IF(G523="Regular",Listas!$K$16,IF(G523="Premium",Listas!$K$17,IF(G523="Diesel",Listas!$K$18,"-")))</f>
        <v>-</v>
      </c>
      <c r="I523" s="17"/>
      <c r="J523" s="18"/>
      <c r="K523" s="19" t="str">
        <f>+IFERROR(IF(G523="Regular",VLOOKUP(C523,'PRECIO TERMINAL PEMEX'!$B$4:$E$35,2,0),IF(G523="Premium",VLOOKUP(C523,'PRECIO TERMINAL PEMEX'!$B$4:$E$35,3,0),IF(G523="Diesel",VLOOKUP(C523,'PRECIO TERMINAL PEMEX'!$B$4:$E$35,4,0),"Seleccione Producto"))),"-")</f>
        <v>Seleccione Producto</v>
      </c>
      <c r="L523" s="93" t="str">
        <f>+IFERROR(IF(F523="VHSA",VLOOKUP(B523,Listas!$C$4:$F$17,2,0),IF(F523="DOS BOCAS",VLOOKUP(B523,Listas!$C$4:$F$17,3,0),IF(F523="GLENCORE",VLOOKUP(B523,Listas!$C$4:$F$17,4,0),"Seleccione TAR"))),"-")</f>
        <v>Seleccione TAR</v>
      </c>
      <c r="M523" s="19" t="str">
        <f>+IFERROR(IF(G523="Regular",VLOOKUP(C523,'DESCUENTO PROVEEDORES'!$B$4:$E$35,2,0),IF(G523="Premium",VLOOKUP(C523,'DESCUENTO PROVEEDORES'!$B$4:$E$35,3,0),IF(G523="Diesel",VLOOKUP(C523,'DESCUENTO PROVEEDORES'!$B$4:$E$35,4,0),"Seleccione Proveedor"))),"-")</f>
        <v>Seleccione Proveedor</v>
      </c>
      <c r="N523" s="20" t="e">
        <f>((((K523-H523)/1.16)-M523))</f>
        <v>#VALUE!</v>
      </c>
      <c r="O523" s="21" t="e">
        <f>((N523*16%)+N523)+H523+L523</f>
        <v>#VALUE!</v>
      </c>
      <c r="P523" s="21" t="e">
        <f>(((J523-O523)-H523)/1.16)+H523</f>
        <v>#VALUE!</v>
      </c>
      <c r="Q523" s="44"/>
      <c r="R523" s="24"/>
      <c r="S523" s="23" t="e">
        <f t="shared" si="24"/>
        <v>#DIV/0!</v>
      </c>
      <c r="T523" s="23" t="e">
        <f t="shared" si="25"/>
        <v>#DIV/0!</v>
      </c>
      <c r="U523" s="22" t="e">
        <f t="shared" si="26"/>
        <v>#DIV/0!</v>
      </c>
      <c r="V523" s="44"/>
      <c r="W523" s="44"/>
      <c r="X523" s="44"/>
      <c r="Y523" s="44"/>
      <c r="Z523" s="44"/>
    </row>
    <row r="524" spans="1:26" ht="15.75" customHeight="1">
      <c r="A524" s="44"/>
      <c r="B524" s="14"/>
      <c r="C524" s="53"/>
      <c r="D524" s="15"/>
      <c r="E524" s="89"/>
      <c r="F524" s="16"/>
      <c r="G524" s="16"/>
      <c r="H524" s="90" t="str">
        <f>IF(G524="Regular",Listas!$K$16,IF(G524="Premium",Listas!$K$17,IF(G524="Diesel",Listas!$K$18,"-")))</f>
        <v>-</v>
      </c>
      <c r="I524" s="17"/>
      <c r="J524" s="18"/>
      <c r="K524" s="19" t="str">
        <f>+IFERROR(IF(G524="Regular",VLOOKUP(C524,'PRECIO TERMINAL PEMEX'!$B$4:$E$35,2,0),IF(G524="Premium",VLOOKUP(C524,'PRECIO TERMINAL PEMEX'!$B$4:$E$35,3,0),IF(G524="Diesel",VLOOKUP(C524,'PRECIO TERMINAL PEMEX'!$B$4:$E$35,4,0),"Seleccione Producto"))),"-")</f>
        <v>Seleccione Producto</v>
      </c>
      <c r="L524" s="93" t="str">
        <f>+IFERROR(IF(F524="VHSA",VLOOKUP(B524,Listas!$C$4:$F$17,2,0),IF(F524="DOS BOCAS",VLOOKUP(B524,Listas!$C$4:$F$17,3,0),IF(F524="GLENCORE",VLOOKUP(B524,Listas!$C$4:$F$17,4,0),"Seleccione TAR"))),"-")</f>
        <v>Seleccione TAR</v>
      </c>
      <c r="M524" s="19" t="str">
        <f>+IFERROR(IF(G524="Regular",VLOOKUP(C524,'DESCUENTO PROVEEDORES'!$B$4:$E$35,2,0),IF(G524="Premium",VLOOKUP(C524,'DESCUENTO PROVEEDORES'!$B$4:$E$35,3,0),IF(G524="Diesel",VLOOKUP(C524,'DESCUENTO PROVEEDORES'!$B$4:$E$35,4,0),"Seleccione Proveedor"))),"-")</f>
        <v>Seleccione Proveedor</v>
      </c>
      <c r="N524" s="20" t="e">
        <f>((((K524-H524)/1.16)-M524))</f>
        <v>#VALUE!</v>
      </c>
      <c r="O524" s="21" t="e">
        <f>((N524*16%)+N524)+H524+L524</f>
        <v>#VALUE!</v>
      </c>
      <c r="P524" s="21" t="e">
        <f>(((J524-O524)-H524)/1.16)+H524</f>
        <v>#VALUE!</v>
      </c>
      <c r="Q524" s="44"/>
      <c r="R524" s="24"/>
      <c r="S524" s="23" t="e">
        <f t="shared" si="24"/>
        <v>#DIV/0!</v>
      </c>
      <c r="T524" s="23" t="e">
        <f t="shared" si="25"/>
        <v>#DIV/0!</v>
      </c>
      <c r="U524" s="22" t="e">
        <f t="shared" si="26"/>
        <v>#DIV/0!</v>
      </c>
      <c r="V524" s="44"/>
      <c r="W524" s="44"/>
      <c r="X524" s="44"/>
      <c r="Y524" s="44"/>
      <c r="Z524" s="44"/>
    </row>
    <row r="525" spans="1:26" ht="15.75" customHeight="1">
      <c r="A525" s="44"/>
      <c r="B525" s="14"/>
      <c r="C525" s="53"/>
      <c r="D525" s="15"/>
      <c r="E525" s="89"/>
      <c r="F525" s="16"/>
      <c r="G525" s="16"/>
      <c r="H525" s="90" t="str">
        <f>IF(G525="Regular",Listas!$K$16,IF(G525="Premium",Listas!$K$17,IF(G525="Diesel",Listas!$K$18,"-")))</f>
        <v>-</v>
      </c>
      <c r="I525" s="17"/>
      <c r="J525" s="18"/>
      <c r="K525" s="19" t="str">
        <f>+IFERROR(IF(G525="Regular",VLOOKUP(C525,'PRECIO TERMINAL PEMEX'!$B$4:$E$35,2,0),IF(G525="Premium",VLOOKUP(C525,'PRECIO TERMINAL PEMEX'!$B$4:$E$35,3,0),IF(G525="Diesel",VLOOKUP(C525,'PRECIO TERMINAL PEMEX'!$B$4:$E$35,4,0),"Seleccione Producto"))),"-")</f>
        <v>Seleccione Producto</v>
      </c>
      <c r="L525" s="93" t="str">
        <f>+IFERROR(IF(F525="VHSA",VLOOKUP(B525,Listas!$C$4:$F$17,2,0),IF(F525="DOS BOCAS",VLOOKUP(B525,Listas!$C$4:$F$17,3,0),IF(F525="GLENCORE",VLOOKUP(B525,Listas!$C$4:$F$17,4,0),"Seleccione TAR"))),"-")</f>
        <v>Seleccione TAR</v>
      </c>
      <c r="M525" s="19" t="str">
        <f>+IFERROR(IF(G525="Regular",VLOOKUP(C525,'DESCUENTO PROVEEDORES'!$B$4:$E$35,2,0),IF(G525="Premium",VLOOKUP(C525,'DESCUENTO PROVEEDORES'!$B$4:$E$35,3,0),IF(G525="Diesel",VLOOKUP(C525,'DESCUENTO PROVEEDORES'!$B$4:$E$35,4,0),"Seleccione Proveedor"))),"-")</f>
        <v>Seleccione Proveedor</v>
      </c>
      <c r="N525" s="20" t="e">
        <f>((((K525-H525)/1.16)-M525))</f>
        <v>#VALUE!</v>
      </c>
      <c r="O525" s="21" t="e">
        <f>((N525*16%)+N525)+H525+L525</f>
        <v>#VALUE!</v>
      </c>
      <c r="P525" s="21" t="e">
        <f>(((J525-O525)-H525)/1.16)+H525</f>
        <v>#VALUE!</v>
      </c>
      <c r="Q525" s="44"/>
      <c r="R525" s="24"/>
      <c r="S525" s="23" t="e">
        <f t="shared" si="24"/>
        <v>#DIV/0!</v>
      </c>
      <c r="T525" s="23" t="e">
        <f t="shared" si="25"/>
        <v>#DIV/0!</v>
      </c>
      <c r="U525" s="22" t="e">
        <f t="shared" si="26"/>
        <v>#DIV/0!</v>
      </c>
      <c r="V525" s="44"/>
      <c r="W525" s="44"/>
      <c r="X525" s="44"/>
      <c r="Y525" s="44"/>
      <c r="Z525" s="44"/>
    </row>
    <row r="526" spans="1:26" ht="15.75" customHeight="1">
      <c r="A526" s="44"/>
      <c r="B526" s="14"/>
      <c r="C526" s="53"/>
      <c r="D526" s="15"/>
      <c r="E526" s="89"/>
      <c r="F526" s="16"/>
      <c r="G526" s="16"/>
      <c r="H526" s="90" t="str">
        <f>IF(G526="Regular",Listas!$K$16,IF(G526="Premium",Listas!$K$17,IF(G526="Diesel",Listas!$K$18,"-")))</f>
        <v>-</v>
      </c>
      <c r="I526" s="17"/>
      <c r="J526" s="18"/>
      <c r="K526" s="19" t="str">
        <f>+IFERROR(IF(G526="Regular",VLOOKUP(C526,'PRECIO TERMINAL PEMEX'!$B$4:$E$35,2,0),IF(G526="Premium",VLOOKUP(C526,'PRECIO TERMINAL PEMEX'!$B$4:$E$35,3,0),IF(G526="Diesel",VLOOKUP(C526,'PRECIO TERMINAL PEMEX'!$B$4:$E$35,4,0),"Seleccione Producto"))),"-")</f>
        <v>Seleccione Producto</v>
      </c>
      <c r="L526" s="93" t="str">
        <f>+IFERROR(IF(F526="VHSA",VLOOKUP(B526,Listas!$C$4:$F$17,2,0),IF(F526="DOS BOCAS",VLOOKUP(B526,Listas!$C$4:$F$17,3,0),IF(F526="GLENCORE",VLOOKUP(B526,Listas!$C$4:$F$17,4,0),"Seleccione TAR"))),"-")</f>
        <v>Seleccione TAR</v>
      </c>
      <c r="M526" s="19" t="str">
        <f>+IFERROR(IF(G526="Regular",VLOOKUP(C526,'DESCUENTO PROVEEDORES'!$B$4:$E$35,2,0),IF(G526="Premium",VLOOKUP(C526,'DESCUENTO PROVEEDORES'!$B$4:$E$35,3,0),IF(G526="Diesel",VLOOKUP(C526,'DESCUENTO PROVEEDORES'!$B$4:$E$35,4,0),"Seleccione Proveedor"))),"-")</f>
        <v>Seleccione Proveedor</v>
      </c>
      <c r="N526" s="20" t="e">
        <f>((((K526-H526)/1.16)-M526))</f>
        <v>#VALUE!</v>
      </c>
      <c r="O526" s="21" t="e">
        <f>((N526*16%)+N526)+H526+L526</f>
        <v>#VALUE!</v>
      </c>
      <c r="P526" s="21" t="e">
        <f>(((J526-O526)-H526)/1.16)+H526</f>
        <v>#VALUE!</v>
      </c>
      <c r="Q526" s="44"/>
      <c r="R526" s="24"/>
      <c r="S526" s="23" t="e">
        <f t="shared" si="24"/>
        <v>#DIV/0!</v>
      </c>
      <c r="T526" s="23" t="e">
        <f t="shared" si="25"/>
        <v>#DIV/0!</v>
      </c>
      <c r="U526" s="22" t="e">
        <f t="shared" si="26"/>
        <v>#DIV/0!</v>
      </c>
      <c r="V526" s="44"/>
      <c r="W526" s="44"/>
      <c r="X526" s="44"/>
      <c r="Y526" s="44"/>
      <c r="Z526" s="44"/>
    </row>
    <row r="527" spans="1:26" ht="15.75" customHeight="1">
      <c r="A527" s="44"/>
      <c r="B527" s="14"/>
      <c r="C527" s="53"/>
      <c r="D527" s="15"/>
      <c r="E527" s="89"/>
      <c r="F527" s="16"/>
      <c r="G527" s="16"/>
      <c r="H527" s="90" t="str">
        <f>IF(G527="Regular",Listas!$K$16,IF(G527="Premium",Listas!$K$17,IF(G527="Diesel",Listas!$K$18,"-")))</f>
        <v>-</v>
      </c>
      <c r="I527" s="17"/>
      <c r="J527" s="18"/>
      <c r="K527" s="19" t="str">
        <f>+IFERROR(IF(G527="Regular",VLOOKUP(C527,'PRECIO TERMINAL PEMEX'!$B$4:$E$35,2,0),IF(G527="Premium",VLOOKUP(C527,'PRECIO TERMINAL PEMEX'!$B$4:$E$35,3,0),IF(G527="Diesel",VLOOKUP(C527,'PRECIO TERMINAL PEMEX'!$B$4:$E$35,4,0),"Seleccione Producto"))),"-")</f>
        <v>Seleccione Producto</v>
      </c>
      <c r="L527" s="93" t="str">
        <f>+IFERROR(IF(F527="VHSA",VLOOKUP(B527,Listas!$C$4:$F$17,2,0),IF(F527="DOS BOCAS",VLOOKUP(B527,Listas!$C$4:$F$17,3,0),IF(F527="GLENCORE",VLOOKUP(B527,Listas!$C$4:$F$17,4,0),"Seleccione TAR"))),"-")</f>
        <v>Seleccione TAR</v>
      </c>
      <c r="M527" s="19" t="str">
        <f>+IFERROR(IF(G527="Regular",VLOOKUP(C527,'DESCUENTO PROVEEDORES'!$B$4:$E$35,2,0),IF(G527="Premium",VLOOKUP(C527,'DESCUENTO PROVEEDORES'!$B$4:$E$35,3,0),IF(G527="Diesel",VLOOKUP(C527,'DESCUENTO PROVEEDORES'!$B$4:$E$35,4,0),"Seleccione Proveedor"))),"-")</f>
        <v>Seleccione Proveedor</v>
      </c>
      <c r="N527" s="20" t="e">
        <f>((((K527-H527)/1.16)-M527))</f>
        <v>#VALUE!</v>
      </c>
      <c r="O527" s="21" t="e">
        <f>((N527*16%)+N527)+H527+L527</f>
        <v>#VALUE!</v>
      </c>
      <c r="P527" s="21" t="e">
        <f>(((J527-O527)-H527)/1.16)+H527</f>
        <v>#VALUE!</v>
      </c>
      <c r="Q527" s="44"/>
      <c r="R527" s="24"/>
      <c r="S527" s="23" t="e">
        <f t="shared" si="24"/>
        <v>#DIV/0!</v>
      </c>
      <c r="T527" s="23" t="e">
        <f t="shared" si="25"/>
        <v>#DIV/0!</v>
      </c>
      <c r="U527" s="22" t="e">
        <f t="shared" si="26"/>
        <v>#DIV/0!</v>
      </c>
      <c r="V527" s="44"/>
      <c r="W527" s="44"/>
      <c r="X527" s="44"/>
      <c r="Y527" s="44"/>
      <c r="Z527" s="44"/>
    </row>
    <row r="528" spans="1:26" ht="15.75" customHeight="1">
      <c r="A528" s="44"/>
      <c r="B528" s="14"/>
      <c r="C528" s="53"/>
      <c r="D528" s="15"/>
      <c r="E528" s="89"/>
      <c r="F528" s="16"/>
      <c r="G528" s="16"/>
      <c r="H528" s="90" t="str">
        <f>IF(G528="Regular",Listas!$K$16,IF(G528="Premium",Listas!$K$17,IF(G528="Diesel",Listas!$K$18,"-")))</f>
        <v>-</v>
      </c>
      <c r="I528" s="17"/>
      <c r="J528" s="18"/>
      <c r="K528" s="19" t="str">
        <f>+IFERROR(IF(G528="Regular",VLOOKUP(C528,'PRECIO TERMINAL PEMEX'!$B$4:$E$35,2,0),IF(G528="Premium",VLOOKUP(C528,'PRECIO TERMINAL PEMEX'!$B$4:$E$35,3,0),IF(G528="Diesel",VLOOKUP(C528,'PRECIO TERMINAL PEMEX'!$B$4:$E$35,4,0),"Seleccione Producto"))),"-")</f>
        <v>Seleccione Producto</v>
      </c>
      <c r="L528" s="93" t="str">
        <f>+IFERROR(IF(F528="VHSA",VLOOKUP(B528,Listas!$C$4:$F$17,2,0),IF(F528="DOS BOCAS",VLOOKUP(B528,Listas!$C$4:$F$17,3,0),IF(F528="GLENCORE",VLOOKUP(B528,Listas!$C$4:$F$17,4,0),"Seleccione TAR"))),"-")</f>
        <v>Seleccione TAR</v>
      </c>
      <c r="M528" s="19" t="str">
        <f>+IFERROR(IF(G528="Regular",VLOOKUP(C528,'DESCUENTO PROVEEDORES'!$B$4:$E$35,2,0),IF(G528="Premium",VLOOKUP(C528,'DESCUENTO PROVEEDORES'!$B$4:$E$35,3,0),IF(G528="Diesel",VLOOKUP(C528,'DESCUENTO PROVEEDORES'!$B$4:$E$35,4,0),"Seleccione Proveedor"))),"-")</f>
        <v>Seleccione Proveedor</v>
      </c>
      <c r="N528" s="20" t="e">
        <f>((((K528-H528)/1.16)-M528))</f>
        <v>#VALUE!</v>
      </c>
      <c r="O528" s="21" t="e">
        <f>((N528*16%)+N528)+H528+L528</f>
        <v>#VALUE!</v>
      </c>
      <c r="P528" s="21" t="e">
        <f>(((J528-O528)-H528)/1.16)+H528</f>
        <v>#VALUE!</v>
      </c>
      <c r="Q528" s="44"/>
      <c r="R528" s="24"/>
      <c r="S528" s="23" t="e">
        <f t="shared" si="24"/>
        <v>#DIV/0!</v>
      </c>
      <c r="T528" s="23" t="e">
        <f t="shared" si="25"/>
        <v>#DIV/0!</v>
      </c>
      <c r="U528" s="22" t="e">
        <f t="shared" si="26"/>
        <v>#DIV/0!</v>
      </c>
      <c r="V528" s="44"/>
      <c r="W528" s="44"/>
      <c r="X528" s="44"/>
      <c r="Y528" s="44"/>
      <c r="Z528" s="44"/>
    </row>
    <row r="529" spans="1:26" ht="15.75" customHeight="1">
      <c r="A529" s="44"/>
      <c r="B529" s="14"/>
      <c r="C529" s="53"/>
      <c r="D529" s="15"/>
      <c r="E529" s="89"/>
      <c r="F529" s="16"/>
      <c r="G529" s="16"/>
      <c r="H529" s="90" t="str">
        <f>IF(G529="Regular",Listas!$K$16,IF(G529="Premium",Listas!$K$17,IF(G529="Diesel",Listas!$K$18,"-")))</f>
        <v>-</v>
      </c>
      <c r="I529" s="17"/>
      <c r="J529" s="18"/>
      <c r="K529" s="19" t="str">
        <f>+IFERROR(IF(G529="Regular",VLOOKUP(C529,'PRECIO TERMINAL PEMEX'!$B$4:$E$35,2,0),IF(G529="Premium",VLOOKUP(C529,'PRECIO TERMINAL PEMEX'!$B$4:$E$35,3,0),IF(G529="Diesel",VLOOKUP(C529,'PRECIO TERMINAL PEMEX'!$B$4:$E$35,4,0),"Seleccione Producto"))),"-")</f>
        <v>Seleccione Producto</v>
      </c>
      <c r="L529" s="93" t="str">
        <f>+IFERROR(IF(F529="VHSA",VLOOKUP(B529,Listas!$C$4:$F$17,2,0),IF(F529="DOS BOCAS",VLOOKUP(B529,Listas!$C$4:$F$17,3,0),IF(F529="GLENCORE",VLOOKUP(B529,Listas!$C$4:$F$17,4,0),"Seleccione TAR"))),"-")</f>
        <v>Seleccione TAR</v>
      </c>
      <c r="M529" s="19" t="str">
        <f>+IFERROR(IF(G529="Regular",VLOOKUP(C529,'DESCUENTO PROVEEDORES'!$B$4:$E$35,2,0),IF(G529="Premium",VLOOKUP(C529,'DESCUENTO PROVEEDORES'!$B$4:$E$35,3,0),IF(G529="Diesel",VLOOKUP(C529,'DESCUENTO PROVEEDORES'!$B$4:$E$35,4,0),"Seleccione Proveedor"))),"-")</f>
        <v>Seleccione Proveedor</v>
      </c>
      <c r="N529" s="20" t="e">
        <f>((((K529-H529)/1.16)-M529))</f>
        <v>#VALUE!</v>
      </c>
      <c r="O529" s="21" t="e">
        <f>((N529*16%)+N529)+H529+L529</f>
        <v>#VALUE!</v>
      </c>
      <c r="P529" s="21" t="e">
        <f>(((J529-O529)-H529)/1.16)+H529</f>
        <v>#VALUE!</v>
      </c>
      <c r="Q529" s="44"/>
      <c r="R529" s="24"/>
      <c r="S529" s="23" t="e">
        <f t="shared" si="24"/>
        <v>#DIV/0!</v>
      </c>
      <c r="T529" s="23" t="e">
        <f t="shared" si="25"/>
        <v>#DIV/0!</v>
      </c>
      <c r="U529" s="22" t="e">
        <f t="shared" si="26"/>
        <v>#DIV/0!</v>
      </c>
      <c r="V529" s="44"/>
      <c r="W529" s="44"/>
      <c r="X529" s="44"/>
      <c r="Y529" s="44"/>
      <c r="Z529" s="44"/>
    </row>
    <row r="530" spans="1:26" ht="15.75" customHeight="1">
      <c r="A530" s="44"/>
      <c r="B530" s="14"/>
      <c r="C530" s="53"/>
      <c r="D530" s="15"/>
      <c r="E530" s="89"/>
      <c r="F530" s="16"/>
      <c r="G530" s="16"/>
      <c r="H530" s="90" t="str">
        <f>IF(G530="Regular",Listas!$K$16,IF(G530="Premium",Listas!$K$17,IF(G530="Diesel",Listas!$K$18,"-")))</f>
        <v>-</v>
      </c>
      <c r="I530" s="17"/>
      <c r="J530" s="18"/>
      <c r="K530" s="19" t="str">
        <f>+IFERROR(IF(G530="Regular",VLOOKUP(C530,'PRECIO TERMINAL PEMEX'!$B$4:$E$35,2,0),IF(G530="Premium",VLOOKUP(C530,'PRECIO TERMINAL PEMEX'!$B$4:$E$35,3,0),IF(G530="Diesel",VLOOKUP(C530,'PRECIO TERMINAL PEMEX'!$B$4:$E$35,4,0),"Seleccione Producto"))),"-")</f>
        <v>Seleccione Producto</v>
      </c>
      <c r="L530" s="93" t="str">
        <f>+IFERROR(IF(F530="VHSA",VLOOKUP(B530,Listas!$C$4:$F$17,2,0),IF(F530="DOS BOCAS",VLOOKUP(B530,Listas!$C$4:$F$17,3,0),IF(F530="GLENCORE",VLOOKUP(B530,Listas!$C$4:$F$17,4,0),"Seleccione TAR"))),"-")</f>
        <v>Seleccione TAR</v>
      </c>
      <c r="M530" s="19" t="str">
        <f>+IFERROR(IF(G530="Regular",VLOOKUP(C530,'DESCUENTO PROVEEDORES'!$B$4:$E$35,2,0),IF(G530="Premium",VLOOKUP(C530,'DESCUENTO PROVEEDORES'!$B$4:$E$35,3,0),IF(G530="Diesel",VLOOKUP(C530,'DESCUENTO PROVEEDORES'!$B$4:$E$35,4,0),"Seleccione Proveedor"))),"-")</f>
        <v>Seleccione Proveedor</v>
      </c>
      <c r="N530" s="20" t="e">
        <f>((((K530-H530)/1.16)-M530))</f>
        <v>#VALUE!</v>
      </c>
      <c r="O530" s="21" t="e">
        <f>((N530*16%)+N530)+H530+L530</f>
        <v>#VALUE!</v>
      </c>
      <c r="P530" s="21" t="e">
        <f>(((J530-O530)-H530)/1.16)+H530</f>
        <v>#VALUE!</v>
      </c>
      <c r="Q530" s="44"/>
      <c r="R530" s="24"/>
      <c r="S530" s="23" t="e">
        <f t="shared" si="24"/>
        <v>#DIV/0!</v>
      </c>
      <c r="T530" s="23" t="e">
        <f t="shared" si="25"/>
        <v>#DIV/0!</v>
      </c>
      <c r="U530" s="22" t="e">
        <f t="shared" si="26"/>
        <v>#DIV/0!</v>
      </c>
      <c r="V530" s="44"/>
      <c r="W530" s="44"/>
      <c r="X530" s="44"/>
      <c r="Y530" s="44"/>
      <c r="Z530" s="44"/>
    </row>
    <row r="531" spans="1:26" ht="15.75" customHeight="1">
      <c r="A531" s="44"/>
      <c r="B531" s="14"/>
      <c r="C531" s="53"/>
      <c r="D531" s="15"/>
      <c r="E531" s="89"/>
      <c r="F531" s="16"/>
      <c r="G531" s="16"/>
      <c r="H531" s="90" t="str">
        <f>IF(G531="Regular",Listas!$K$16,IF(G531="Premium",Listas!$K$17,IF(G531="Diesel",Listas!$K$18,"-")))</f>
        <v>-</v>
      </c>
      <c r="I531" s="17"/>
      <c r="J531" s="18"/>
      <c r="K531" s="19" t="str">
        <f>+IFERROR(IF(G531="Regular",VLOOKUP(C531,'PRECIO TERMINAL PEMEX'!$B$4:$E$35,2,0),IF(G531="Premium",VLOOKUP(C531,'PRECIO TERMINAL PEMEX'!$B$4:$E$35,3,0),IF(G531="Diesel",VLOOKUP(C531,'PRECIO TERMINAL PEMEX'!$B$4:$E$35,4,0),"Seleccione Producto"))),"-")</f>
        <v>Seleccione Producto</v>
      </c>
      <c r="L531" s="93" t="str">
        <f>+IFERROR(IF(F531="VHSA",VLOOKUP(B531,Listas!$C$4:$F$17,2,0),IF(F531="DOS BOCAS",VLOOKUP(B531,Listas!$C$4:$F$17,3,0),IF(F531="GLENCORE",VLOOKUP(B531,Listas!$C$4:$F$17,4,0),"Seleccione TAR"))),"-")</f>
        <v>Seleccione TAR</v>
      </c>
      <c r="M531" s="19" t="str">
        <f>+IFERROR(IF(G531="Regular",VLOOKUP(C531,'DESCUENTO PROVEEDORES'!$B$4:$E$35,2,0),IF(G531="Premium",VLOOKUP(C531,'DESCUENTO PROVEEDORES'!$B$4:$E$35,3,0),IF(G531="Diesel",VLOOKUP(C531,'DESCUENTO PROVEEDORES'!$B$4:$E$35,4,0),"Seleccione Proveedor"))),"-")</f>
        <v>Seleccione Proveedor</v>
      </c>
      <c r="N531" s="20" t="e">
        <f>((((K531-H531)/1.16)-M531))</f>
        <v>#VALUE!</v>
      </c>
      <c r="O531" s="21" t="e">
        <f>((N531*16%)+N531)+H531+L531</f>
        <v>#VALUE!</v>
      </c>
      <c r="P531" s="21" t="e">
        <f>(((J531-O531)-H531)/1.16)+H531</f>
        <v>#VALUE!</v>
      </c>
      <c r="Q531" s="44"/>
      <c r="R531" s="24"/>
      <c r="S531" s="23" t="e">
        <f t="shared" si="24"/>
        <v>#DIV/0!</v>
      </c>
      <c r="T531" s="23" t="e">
        <f t="shared" si="25"/>
        <v>#DIV/0!</v>
      </c>
      <c r="U531" s="22" t="e">
        <f t="shared" si="26"/>
        <v>#DIV/0!</v>
      </c>
      <c r="V531" s="44"/>
      <c r="W531" s="44"/>
      <c r="X531" s="44"/>
      <c r="Y531" s="44"/>
      <c r="Z531" s="44"/>
    </row>
    <row r="532" spans="1:26" ht="15.75" customHeight="1">
      <c r="A532" s="44"/>
      <c r="B532" s="14"/>
      <c r="C532" s="53"/>
      <c r="D532" s="15"/>
      <c r="E532" s="89"/>
      <c r="F532" s="16"/>
      <c r="G532" s="16"/>
      <c r="H532" s="90" t="str">
        <f>IF(G532="Regular",Listas!$K$16,IF(G532="Premium",Listas!$K$17,IF(G532="Diesel",Listas!$K$18,"-")))</f>
        <v>-</v>
      </c>
      <c r="I532" s="17"/>
      <c r="J532" s="18"/>
      <c r="K532" s="19" t="str">
        <f>+IFERROR(IF(G532="Regular",VLOOKUP(C532,'PRECIO TERMINAL PEMEX'!$B$4:$E$35,2,0),IF(G532="Premium",VLOOKUP(C532,'PRECIO TERMINAL PEMEX'!$B$4:$E$35,3,0),IF(G532="Diesel",VLOOKUP(C532,'PRECIO TERMINAL PEMEX'!$B$4:$E$35,4,0),"Seleccione Producto"))),"-")</f>
        <v>Seleccione Producto</v>
      </c>
      <c r="L532" s="93" t="str">
        <f>+IFERROR(IF(F532="VHSA",VLOOKUP(B532,Listas!$C$4:$F$17,2,0),IF(F532="DOS BOCAS",VLOOKUP(B532,Listas!$C$4:$F$17,3,0),IF(F532="GLENCORE",VLOOKUP(B532,Listas!$C$4:$F$17,4,0),"Seleccione TAR"))),"-")</f>
        <v>Seleccione TAR</v>
      </c>
      <c r="M532" s="19" t="str">
        <f>+IFERROR(IF(G532="Regular",VLOOKUP(C532,'DESCUENTO PROVEEDORES'!$B$4:$E$35,2,0),IF(G532="Premium",VLOOKUP(C532,'DESCUENTO PROVEEDORES'!$B$4:$E$35,3,0),IF(G532="Diesel",VLOOKUP(C532,'DESCUENTO PROVEEDORES'!$B$4:$E$35,4,0),"Seleccione Proveedor"))),"-")</f>
        <v>Seleccione Proveedor</v>
      </c>
      <c r="N532" s="20" t="e">
        <f>((((K532-H532)/1.16)-M532))</f>
        <v>#VALUE!</v>
      </c>
      <c r="O532" s="21" t="e">
        <f>((N532*16%)+N532)+H532+L532</f>
        <v>#VALUE!</v>
      </c>
      <c r="P532" s="21" t="e">
        <f>(((J532-O532)-H532)/1.16)+H532</f>
        <v>#VALUE!</v>
      </c>
      <c r="Q532" s="44"/>
      <c r="R532" s="24"/>
      <c r="S532" s="23" t="e">
        <f t="shared" si="24"/>
        <v>#DIV/0!</v>
      </c>
      <c r="T532" s="23" t="e">
        <f t="shared" si="25"/>
        <v>#DIV/0!</v>
      </c>
      <c r="U532" s="22" t="e">
        <f t="shared" si="26"/>
        <v>#DIV/0!</v>
      </c>
      <c r="V532" s="44"/>
      <c r="W532" s="44"/>
      <c r="X532" s="44"/>
      <c r="Y532" s="44"/>
      <c r="Z532" s="44"/>
    </row>
    <row r="533" spans="1:26" ht="15.75" customHeight="1">
      <c r="A533" s="44"/>
      <c r="B533" s="14"/>
      <c r="C533" s="53"/>
      <c r="D533" s="15"/>
      <c r="E533" s="89"/>
      <c r="F533" s="16"/>
      <c r="G533" s="16"/>
      <c r="H533" s="90" t="str">
        <f>IF(G533="Regular",Listas!$K$16,IF(G533="Premium",Listas!$K$17,IF(G533="Diesel",Listas!$K$18,"-")))</f>
        <v>-</v>
      </c>
      <c r="I533" s="17"/>
      <c r="J533" s="18"/>
      <c r="K533" s="19" t="str">
        <f>+IFERROR(IF(G533="Regular",VLOOKUP(C533,'PRECIO TERMINAL PEMEX'!$B$4:$E$35,2,0),IF(G533="Premium",VLOOKUP(C533,'PRECIO TERMINAL PEMEX'!$B$4:$E$35,3,0),IF(G533="Diesel",VLOOKUP(C533,'PRECIO TERMINAL PEMEX'!$B$4:$E$35,4,0),"Seleccione Producto"))),"-")</f>
        <v>Seleccione Producto</v>
      </c>
      <c r="L533" s="93" t="str">
        <f>+IFERROR(IF(F533="VHSA",VLOOKUP(B533,Listas!$C$4:$F$17,2,0),IF(F533="DOS BOCAS",VLOOKUP(B533,Listas!$C$4:$F$17,3,0),IF(F533="GLENCORE",VLOOKUP(B533,Listas!$C$4:$F$17,4,0),"Seleccione TAR"))),"-")</f>
        <v>Seleccione TAR</v>
      </c>
      <c r="M533" s="19" t="str">
        <f>+IFERROR(IF(G533="Regular",VLOOKUP(C533,'DESCUENTO PROVEEDORES'!$B$4:$E$35,2,0),IF(G533="Premium",VLOOKUP(C533,'DESCUENTO PROVEEDORES'!$B$4:$E$35,3,0),IF(G533="Diesel",VLOOKUP(C533,'DESCUENTO PROVEEDORES'!$B$4:$E$35,4,0),"Seleccione Proveedor"))),"-")</f>
        <v>Seleccione Proveedor</v>
      </c>
      <c r="N533" s="20" t="e">
        <f>((((K533-H533)/1.16)-M533))</f>
        <v>#VALUE!</v>
      </c>
      <c r="O533" s="21" t="e">
        <f>((N533*16%)+N533)+H533+L533</f>
        <v>#VALUE!</v>
      </c>
      <c r="P533" s="21" t="e">
        <f>(((J533-O533)-H533)/1.16)+H533</f>
        <v>#VALUE!</v>
      </c>
      <c r="Q533" s="44"/>
      <c r="R533" s="24"/>
      <c r="S533" s="23" t="e">
        <f t="shared" si="24"/>
        <v>#DIV/0!</v>
      </c>
      <c r="T533" s="23" t="e">
        <f t="shared" si="25"/>
        <v>#DIV/0!</v>
      </c>
      <c r="U533" s="22" t="e">
        <f t="shared" si="26"/>
        <v>#DIV/0!</v>
      </c>
      <c r="V533" s="44"/>
      <c r="W533" s="44"/>
      <c r="X533" s="44"/>
      <c r="Y533" s="44"/>
      <c r="Z533" s="44"/>
    </row>
    <row r="534" spans="1:26" ht="15.75" customHeight="1">
      <c r="A534" s="44"/>
      <c r="B534" s="14"/>
      <c r="C534" s="53"/>
      <c r="D534" s="15"/>
      <c r="E534" s="89"/>
      <c r="F534" s="16"/>
      <c r="G534" s="16"/>
      <c r="H534" s="90" t="str">
        <f>IF(G534="Regular",Listas!$K$16,IF(G534="Premium",Listas!$K$17,IF(G534="Diesel",Listas!$K$18,"-")))</f>
        <v>-</v>
      </c>
      <c r="I534" s="17"/>
      <c r="J534" s="18"/>
      <c r="K534" s="19" t="str">
        <f>+IFERROR(IF(G534="Regular",VLOOKUP(C534,'PRECIO TERMINAL PEMEX'!$B$4:$E$35,2,0),IF(G534="Premium",VLOOKUP(C534,'PRECIO TERMINAL PEMEX'!$B$4:$E$35,3,0),IF(G534="Diesel",VLOOKUP(C534,'PRECIO TERMINAL PEMEX'!$B$4:$E$35,4,0),"Seleccione Producto"))),"-")</f>
        <v>Seleccione Producto</v>
      </c>
      <c r="L534" s="93" t="str">
        <f>+IFERROR(IF(F534="VHSA",VLOOKUP(B534,Listas!$C$4:$F$17,2,0),IF(F534="DOS BOCAS",VLOOKUP(B534,Listas!$C$4:$F$17,3,0),IF(F534="GLENCORE",VLOOKUP(B534,Listas!$C$4:$F$17,4,0),"Seleccione TAR"))),"-")</f>
        <v>Seleccione TAR</v>
      </c>
      <c r="M534" s="19" t="str">
        <f>+IFERROR(IF(G534="Regular",VLOOKUP(C534,'DESCUENTO PROVEEDORES'!$B$4:$E$35,2,0),IF(G534="Premium",VLOOKUP(C534,'DESCUENTO PROVEEDORES'!$B$4:$E$35,3,0),IF(G534="Diesel",VLOOKUP(C534,'DESCUENTO PROVEEDORES'!$B$4:$E$35,4,0),"Seleccione Proveedor"))),"-")</f>
        <v>Seleccione Proveedor</v>
      </c>
      <c r="N534" s="20" t="e">
        <f>((((K534-H534)/1.16)-M534))</f>
        <v>#VALUE!</v>
      </c>
      <c r="O534" s="21" t="e">
        <f>((N534*16%)+N534)+H534+L534</f>
        <v>#VALUE!</v>
      </c>
      <c r="P534" s="21" t="e">
        <f>(((J534-O534)-H534)/1.16)+H534</f>
        <v>#VALUE!</v>
      </c>
      <c r="Q534" s="44"/>
      <c r="R534" s="24"/>
      <c r="S534" s="23" t="e">
        <f t="shared" si="24"/>
        <v>#DIV/0!</v>
      </c>
      <c r="T534" s="23" t="e">
        <f t="shared" si="25"/>
        <v>#DIV/0!</v>
      </c>
      <c r="U534" s="22" t="e">
        <f t="shared" si="26"/>
        <v>#DIV/0!</v>
      </c>
      <c r="V534" s="44"/>
      <c r="W534" s="44"/>
      <c r="X534" s="44"/>
      <c r="Y534" s="44"/>
      <c r="Z534" s="44"/>
    </row>
    <row r="535" spans="1:26" ht="15.75" customHeight="1">
      <c r="A535" s="44"/>
      <c r="B535" s="14"/>
      <c r="C535" s="53"/>
      <c r="D535" s="15"/>
      <c r="E535" s="89"/>
      <c r="F535" s="16"/>
      <c r="G535" s="16"/>
      <c r="H535" s="90" t="str">
        <f>IF(G535="Regular",Listas!$K$16,IF(G535="Premium",Listas!$K$17,IF(G535="Diesel",Listas!$K$18,"-")))</f>
        <v>-</v>
      </c>
      <c r="I535" s="17"/>
      <c r="J535" s="18"/>
      <c r="K535" s="19" t="str">
        <f>+IFERROR(IF(G535="Regular",VLOOKUP(C535,'PRECIO TERMINAL PEMEX'!$B$4:$E$35,2,0),IF(G535="Premium",VLOOKUP(C535,'PRECIO TERMINAL PEMEX'!$B$4:$E$35,3,0),IF(G535="Diesel",VLOOKUP(C535,'PRECIO TERMINAL PEMEX'!$B$4:$E$35,4,0),"Seleccione Producto"))),"-")</f>
        <v>Seleccione Producto</v>
      </c>
      <c r="L535" s="93" t="str">
        <f>+IFERROR(IF(F535="VHSA",VLOOKUP(B535,Listas!$C$4:$F$17,2,0),IF(F535="DOS BOCAS",VLOOKUP(B535,Listas!$C$4:$F$17,3,0),IF(F535="GLENCORE",VLOOKUP(B535,Listas!$C$4:$F$17,4,0),"Seleccione TAR"))),"-")</f>
        <v>Seleccione TAR</v>
      </c>
      <c r="M535" s="19" t="str">
        <f>+IFERROR(IF(G535="Regular",VLOOKUP(C535,'DESCUENTO PROVEEDORES'!$B$4:$E$35,2,0),IF(G535="Premium",VLOOKUP(C535,'DESCUENTO PROVEEDORES'!$B$4:$E$35,3,0),IF(G535="Diesel",VLOOKUP(C535,'DESCUENTO PROVEEDORES'!$B$4:$E$35,4,0),"Seleccione Proveedor"))),"-")</f>
        <v>Seleccione Proveedor</v>
      </c>
      <c r="N535" s="20" t="e">
        <f>((((K535-H535)/1.16)-M535))</f>
        <v>#VALUE!</v>
      </c>
      <c r="O535" s="21" t="e">
        <f>((N535*16%)+N535)+H535+L535</f>
        <v>#VALUE!</v>
      </c>
      <c r="P535" s="21" t="e">
        <f>(((J535-O535)-H535)/1.16)+H535</f>
        <v>#VALUE!</v>
      </c>
      <c r="Q535" s="44"/>
      <c r="R535" s="24"/>
      <c r="S535" s="23" t="e">
        <f t="shared" si="24"/>
        <v>#DIV/0!</v>
      </c>
      <c r="T535" s="23" t="e">
        <f t="shared" si="25"/>
        <v>#DIV/0!</v>
      </c>
      <c r="U535" s="22" t="e">
        <f t="shared" si="26"/>
        <v>#DIV/0!</v>
      </c>
      <c r="V535" s="44"/>
      <c r="W535" s="44"/>
      <c r="X535" s="44"/>
      <c r="Y535" s="44"/>
      <c r="Z535" s="44"/>
    </row>
    <row r="536" spans="1:26" ht="15.75" customHeight="1">
      <c r="A536" s="44"/>
      <c r="B536" s="14"/>
      <c r="C536" s="53"/>
      <c r="D536" s="15"/>
      <c r="E536" s="89"/>
      <c r="F536" s="16"/>
      <c r="G536" s="16"/>
      <c r="H536" s="90" t="str">
        <f>IF(G536="Regular",Listas!$K$16,IF(G536="Premium",Listas!$K$17,IF(G536="Diesel",Listas!$K$18,"-")))</f>
        <v>-</v>
      </c>
      <c r="I536" s="17"/>
      <c r="J536" s="18"/>
      <c r="K536" s="19" t="str">
        <f>+IFERROR(IF(G536="Regular",VLOOKUP(C536,'PRECIO TERMINAL PEMEX'!$B$4:$E$35,2,0),IF(G536="Premium",VLOOKUP(C536,'PRECIO TERMINAL PEMEX'!$B$4:$E$35,3,0),IF(G536="Diesel",VLOOKUP(C536,'PRECIO TERMINAL PEMEX'!$B$4:$E$35,4,0),"Seleccione Producto"))),"-")</f>
        <v>Seleccione Producto</v>
      </c>
      <c r="L536" s="93" t="str">
        <f>+IFERROR(IF(F536="VHSA",VLOOKUP(B536,Listas!$C$4:$F$17,2,0),IF(F536="DOS BOCAS",VLOOKUP(B536,Listas!$C$4:$F$17,3,0),IF(F536="GLENCORE",VLOOKUP(B536,Listas!$C$4:$F$17,4,0),"Seleccione TAR"))),"-")</f>
        <v>Seleccione TAR</v>
      </c>
      <c r="M536" s="19" t="str">
        <f>+IFERROR(IF(G536="Regular",VLOOKUP(C536,'DESCUENTO PROVEEDORES'!$B$4:$E$35,2,0),IF(G536="Premium",VLOOKUP(C536,'DESCUENTO PROVEEDORES'!$B$4:$E$35,3,0),IF(G536="Diesel",VLOOKUP(C536,'DESCUENTO PROVEEDORES'!$B$4:$E$35,4,0),"Seleccione Proveedor"))),"-")</f>
        <v>Seleccione Proveedor</v>
      </c>
      <c r="N536" s="20" t="e">
        <f>((((K536-H536)/1.16)-M536))</f>
        <v>#VALUE!</v>
      </c>
      <c r="O536" s="21" t="e">
        <f>((N536*16%)+N536)+H536+L536</f>
        <v>#VALUE!</v>
      </c>
      <c r="P536" s="21" t="e">
        <f>(((J536-O536)-H536)/1.16)+H536</f>
        <v>#VALUE!</v>
      </c>
      <c r="Q536" s="44"/>
      <c r="R536" s="24"/>
      <c r="S536" s="23" t="e">
        <f t="shared" si="24"/>
        <v>#DIV/0!</v>
      </c>
      <c r="T536" s="23" t="e">
        <f t="shared" si="25"/>
        <v>#DIV/0!</v>
      </c>
      <c r="U536" s="22" t="e">
        <f t="shared" si="26"/>
        <v>#DIV/0!</v>
      </c>
      <c r="V536" s="44"/>
      <c r="W536" s="44"/>
      <c r="X536" s="44"/>
      <c r="Y536" s="44"/>
      <c r="Z536" s="44"/>
    </row>
    <row r="537" spans="1:26" ht="15.75" customHeight="1">
      <c r="A537" s="44"/>
      <c r="B537" s="14"/>
      <c r="C537" s="53"/>
      <c r="D537" s="15"/>
      <c r="E537" s="89"/>
      <c r="F537" s="16"/>
      <c r="G537" s="16"/>
      <c r="H537" s="90" t="str">
        <f>IF(G537="Regular",Listas!$K$16,IF(G537="Premium",Listas!$K$17,IF(G537="Diesel",Listas!$K$18,"-")))</f>
        <v>-</v>
      </c>
      <c r="I537" s="17"/>
      <c r="J537" s="18"/>
      <c r="K537" s="19" t="str">
        <f>+IFERROR(IF(G537="Regular",VLOOKUP(C537,'PRECIO TERMINAL PEMEX'!$B$4:$E$35,2,0),IF(G537="Premium",VLOOKUP(C537,'PRECIO TERMINAL PEMEX'!$B$4:$E$35,3,0),IF(G537="Diesel",VLOOKUP(C537,'PRECIO TERMINAL PEMEX'!$B$4:$E$35,4,0),"Seleccione Producto"))),"-")</f>
        <v>Seleccione Producto</v>
      </c>
      <c r="L537" s="93" t="str">
        <f>+IFERROR(IF(F537="VHSA",VLOOKUP(B537,Listas!$C$4:$F$17,2,0),IF(F537="DOS BOCAS",VLOOKUP(B537,Listas!$C$4:$F$17,3,0),IF(F537="GLENCORE",VLOOKUP(B537,Listas!$C$4:$F$17,4,0),"Seleccione TAR"))),"-")</f>
        <v>Seleccione TAR</v>
      </c>
      <c r="M537" s="19" t="str">
        <f>+IFERROR(IF(G537="Regular",VLOOKUP(C537,'DESCUENTO PROVEEDORES'!$B$4:$E$35,2,0),IF(G537="Premium",VLOOKUP(C537,'DESCUENTO PROVEEDORES'!$B$4:$E$35,3,0),IF(G537="Diesel",VLOOKUP(C537,'DESCUENTO PROVEEDORES'!$B$4:$E$35,4,0),"Seleccione Proveedor"))),"-")</f>
        <v>Seleccione Proveedor</v>
      </c>
      <c r="N537" s="20" t="e">
        <f>((((K537-H537)/1.16)-M537))</f>
        <v>#VALUE!</v>
      </c>
      <c r="O537" s="21" t="e">
        <f>((N537*16%)+N537)+H537+L537</f>
        <v>#VALUE!</v>
      </c>
      <c r="P537" s="21" t="e">
        <f>(((J537-O537)-H537)/1.16)+H537</f>
        <v>#VALUE!</v>
      </c>
      <c r="Q537" s="44"/>
      <c r="R537" s="24"/>
      <c r="S537" s="23" t="e">
        <f t="shared" si="24"/>
        <v>#DIV/0!</v>
      </c>
      <c r="T537" s="23" t="e">
        <f t="shared" si="25"/>
        <v>#DIV/0!</v>
      </c>
      <c r="U537" s="22" t="e">
        <f t="shared" si="26"/>
        <v>#DIV/0!</v>
      </c>
      <c r="V537" s="44"/>
      <c r="W537" s="44"/>
      <c r="X537" s="44"/>
      <c r="Y537" s="44"/>
      <c r="Z537" s="44"/>
    </row>
    <row r="538" spans="1:26" ht="15.75" customHeight="1">
      <c r="A538" s="44"/>
      <c r="B538" s="14"/>
      <c r="C538" s="53"/>
      <c r="D538" s="15"/>
      <c r="E538" s="89"/>
      <c r="F538" s="16"/>
      <c r="G538" s="16"/>
      <c r="H538" s="90" t="str">
        <f>IF(G538="Regular",Listas!$K$16,IF(G538="Premium",Listas!$K$17,IF(G538="Diesel",Listas!$K$18,"-")))</f>
        <v>-</v>
      </c>
      <c r="I538" s="17"/>
      <c r="J538" s="18"/>
      <c r="K538" s="19" t="str">
        <f>+IFERROR(IF(G538="Regular",VLOOKUP(C538,'PRECIO TERMINAL PEMEX'!$B$4:$E$35,2,0),IF(G538="Premium",VLOOKUP(C538,'PRECIO TERMINAL PEMEX'!$B$4:$E$35,3,0),IF(G538="Diesel",VLOOKUP(C538,'PRECIO TERMINAL PEMEX'!$B$4:$E$35,4,0),"Seleccione Producto"))),"-")</f>
        <v>Seleccione Producto</v>
      </c>
      <c r="L538" s="93" t="str">
        <f>+IFERROR(IF(F538="VHSA",VLOOKUP(B538,Listas!$C$4:$F$17,2,0),IF(F538="DOS BOCAS",VLOOKUP(B538,Listas!$C$4:$F$17,3,0),IF(F538="GLENCORE",VLOOKUP(B538,Listas!$C$4:$F$17,4,0),"Seleccione TAR"))),"-")</f>
        <v>Seleccione TAR</v>
      </c>
      <c r="M538" s="19" t="str">
        <f>+IFERROR(IF(G538="Regular",VLOOKUP(C538,'DESCUENTO PROVEEDORES'!$B$4:$E$35,2,0),IF(G538="Premium",VLOOKUP(C538,'DESCUENTO PROVEEDORES'!$B$4:$E$35,3,0),IF(G538="Diesel",VLOOKUP(C538,'DESCUENTO PROVEEDORES'!$B$4:$E$35,4,0),"Seleccione Proveedor"))),"-")</f>
        <v>Seleccione Proveedor</v>
      </c>
      <c r="N538" s="20" t="e">
        <f>((((K538-H538)/1.16)-M538))</f>
        <v>#VALUE!</v>
      </c>
      <c r="O538" s="21" t="e">
        <f>((N538*16%)+N538)+H538+L538</f>
        <v>#VALUE!</v>
      </c>
      <c r="P538" s="21" t="e">
        <f>(((J538-O538)-H538)/1.16)+H538</f>
        <v>#VALUE!</v>
      </c>
      <c r="Q538" s="44"/>
      <c r="R538" s="24"/>
      <c r="S538" s="23" t="e">
        <f t="shared" si="24"/>
        <v>#DIV/0!</v>
      </c>
      <c r="T538" s="23" t="e">
        <f t="shared" si="25"/>
        <v>#DIV/0!</v>
      </c>
      <c r="U538" s="22" t="e">
        <f t="shared" si="26"/>
        <v>#DIV/0!</v>
      </c>
      <c r="V538" s="44"/>
      <c r="W538" s="44"/>
      <c r="X538" s="44"/>
      <c r="Y538" s="44"/>
      <c r="Z538" s="44"/>
    </row>
    <row r="539" spans="1:26" ht="15.75" customHeight="1">
      <c r="A539" s="44"/>
      <c r="B539" s="14"/>
      <c r="C539" s="53"/>
      <c r="D539" s="15"/>
      <c r="E539" s="89"/>
      <c r="F539" s="16"/>
      <c r="G539" s="16"/>
      <c r="H539" s="90" t="str">
        <f>IF(G539="Regular",Listas!$K$16,IF(G539="Premium",Listas!$K$17,IF(G539="Diesel",Listas!$K$18,"-")))</f>
        <v>-</v>
      </c>
      <c r="I539" s="17"/>
      <c r="J539" s="18"/>
      <c r="K539" s="19" t="str">
        <f>+IFERROR(IF(G539="Regular",VLOOKUP(C539,'PRECIO TERMINAL PEMEX'!$B$4:$E$35,2,0),IF(G539="Premium",VLOOKUP(C539,'PRECIO TERMINAL PEMEX'!$B$4:$E$35,3,0),IF(G539="Diesel",VLOOKUP(C539,'PRECIO TERMINAL PEMEX'!$B$4:$E$35,4,0),"Seleccione Producto"))),"-")</f>
        <v>Seleccione Producto</v>
      </c>
      <c r="L539" s="93" t="str">
        <f>+IFERROR(IF(F539="VHSA",VLOOKUP(B539,Listas!$C$4:$F$17,2,0),IF(F539="DOS BOCAS",VLOOKUP(B539,Listas!$C$4:$F$17,3,0),IF(F539="GLENCORE",VLOOKUP(B539,Listas!$C$4:$F$17,4,0),"Seleccione TAR"))),"-")</f>
        <v>Seleccione TAR</v>
      </c>
      <c r="M539" s="19" t="str">
        <f>+IFERROR(IF(G539="Regular",VLOOKUP(C539,'DESCUENTO PROVEEDORES'!$B$4:$E$35,2,0),IF(G539="Premium",VLOOKUP(C539,'DESCUENTO PROVEEDORES'!$B$4:$E$35,3,0),IF(G539="Diesel",VLOOKUP(C539,'DESCUENTO PROVEEDORES'!$B$4:$E$35,4,0),"Seleccione Proveedor"))),"-")</f>
        <v>Seleccione Proveedor</v>
      </c>
      <c r="N539" s="20" t="e">
        <f>((((K539-H539)/1.16)-M539))</f>
        <v>#VALUE!</v>
      </c>
      <c r="O539" s="21" t="e">
        <f>((N539*16%)+N539)+H539+L539</f>
        <v>#VALUE!</v>
      </c>
      <c r="P539" s="21" t="e">
        <f>(((J539-O539)-H539)/1.16)+H539</f>
        <v>#VALUE!</v>
      </c>
      <c r="Q539" s="44"/>
      <c r="R539" s="24"/>
      <c r="S539" s="23" t="e">
        <f t="shared" si="24"/>
        <v>#DIV/0!</v>
      </c>
      <c r="T539" s="23" t="e">
        <f t="shared" si="25"/>
        <v>#DIV/0!</v>
      </c>
      <c r="U539" s="22" t="e">
        <f t="shared" si="26"/>
        <v>#DIV/0!</v>
      </c>
      <c r="V539" s="44"/>
      <c r="W539" s="44"/>
      <c r="X539" s="44"/>
      <c r="Y539" s="44"/>
      <c r="Z539" s="44"/>
    </row>
    <row r="540" spans="1:26" ht="15.75" customHeight="1">
      <c r="A540" s="44"/>
      <c r="B540" s="14"/>
      <c r="C540" s="53"/>
      <c r="D540" s="15"/>
      <c r="E540" s="89"/>
      <c r="F540" s="16"/>
      <c r="G540" s="16"/>
      <c r="H540" s="90" t="str">
        <f>IF(G540="Regular",Listas!$K$16,IF(G540="Premium",Listas!$K$17,IF(G540="Diesel",Listas!$K$18,"-")))</f>
        <v>-</v>
      </c>
      <c r="I540" s="17"/>
      <c r="J540" s="18"/>
      <c r="K540" s="19" t="str">
        <f>+IFERROR(IF(G540="Regular",VLOOKUP(C540,'PRECIO TERMINAL PEMEX'!$B$4:$E$35,2,0),IF(G540="Premium",VLOOKUP(C540,'PRECIO TERMINAL PEMEX'!$B$4:$E$35,3,0),IF(G540="Diesel",VLOOKUP(C540,'PRECIO TERMINAL PEMEX'!$B$4:$E$35,4,0),"Seleccione Producto"))),"-")</f>
        <v>Seleccione Producto</v>
      </c>
      <c r="L540" s="93" t="str">
        <f>+IFERROR(IF(F540="VHSA",VLOOKUP(B540,Listas!$C$4:$F$17,2,0),IF(F540="DOS BOCAS",VLOOKUP(B540,Listas!$C$4:$F$17,3,0),IF(F540="GLENCORE",VLOOKUP(B540,Listas!$C$4:$F$17,4,0),"Seleccione TAR"))),"-")</f>
        <v>Seleccione TAR</v>
      </c>
      <c r="M540" s="19" t="str">
        <f>+IFERROR(IF(G540="Regular",VLOOKUP(C540,'DESCUENTO PROVEEDORES'!$B$4:$E$35,2,0),IF(G540="Premium",VLOOKUP(C540,'DESCUENTO PROVEEDORES'!$B$4:$E$35,3,0),IF(G540="Diesel",VLOOKUP(C540,'DESCUENTO PROVEEDORES'!$B$4:$E$35,4,0),"Seleccione Proveedor"))),"-")</f>
        <v>Seleccione Proveedor</v>
      </c>
      <c r="N540" s="20" t="e">
        <f>((((K540-H540)/1.16)-M540))</f>
        <v>#VALUE!</v>
      </c>
      <c r="O540" s="21" t="e">
        <f>((N540*16%)+N540)+H540+L540</f>
        <v>#VALUE!</v>
      </c>
      <c r="P540" s="21" t="e">
        <f>(((J540-O540)-H540)/1.16)+H540</f>
        <v>#VALUE!</v>
      </c>
      <c r="Q540" s="44"/>
      <c r="R540" s="24"/>
      <c r="S540" s="23" t="e">
        <f t="shared" si="24"/>
        <v>#DIV/0!</v>
      </c>
      <c r="T540" s="23" t="e">
        <f t="shared" si="25"/>
        <v>#DIV/0!</v>
      </c>
      <c r="U540" s="22" t="e">
        <f t="shared" si="26"/>
        <v>#DIV/0!</v>
      </c>
      <c r="V540" s="44"/>
      <c r="W540" s="44"/>
      <c r="X540" s="44"/>
      <c r="Y540" s="44"/>
      <c r="Z540" s="44"/>
    </row>
    <row r="541" spans="1:26" ht="15.75" customHeight="1">
      <c r="A541" s="44"/>
      <c r="B541" s="14"/>
      <c r="C541" s="53"/>
      <c r="D541" s="15"/>
      <c r="E541" s="89"/>
      <c r="F541" s="16"/>
      <c r="G541" s="16"/>
      <c r="H541" s="90" t="str">
        <f>IF(G541="Regular",Listas!$K$16,IF(G541="Premium",Listas!$K$17,IF(G541="Diesel",Listas!$K$18,"-")))</f>
        <v>-</v>
      </c>
      <c r="I541" s="17"/>
      <c r="J541" s="18"/>
      <c r="K541" s="19" t="str">
        <f>+IFERROR(IF(G541="Regular",VLOOKUP(C541,'PRECIO TERMINAL PEMEX'!$B$4:$E$35,2,0),IF(G541="Premium",VLOOKUP(C541,'PRECIO TERMINAL PEMEX'!$B$4:$E$35,3,0),IF(G541="Diesel",VLOOKUP(C541,'PRECIO TERMINAL PEMEX'!$B$4:$E$35,4,0),"Seleccione Producto"))),"-")</f>
        <v>Seleccione Producto</v>
      </c>
      <c r="L541" s="93" t="str">
        <f>+IFERROR(IF(F541="VHSA",VLOOKUP(B541,Listas!$C$4:$F$17,2,0),IF(F541="DOS BOCAS",VLOOKUP(B541,Listas!$C$4:$F$17,3,0),IF(F541="GLENCORE",VLOOKUP(B541,Listas!$C$4:$F$17,4,0),"Seleccione TAR"))),"-")</f>
        <v>Seleccione TAR</v>
      </c>
      <c r="M541" s="19" t="str">
        <f>+IFERROR(IF(G541="Regular",VLOOKUP(C541,'DESCUENTO PROVEEDORES'!$B$4:$E$35,2,0),IF(G541="Premium",VLOOKUP(C541,'DESCUENTO PROVEEDORES'!$B$4:$E$35,3,0),IF(G541="Diesel",VLOOKUP(C541,'DESCUENTO PROVEEDORES'!$B$4:$E$35,4,0),"Seleccione Proveedor"))),"-")</f>
        <v>Seleccione Proveedor</v>
      </c>
      <c r="N541" s="20" t="e">
        <f>((((K541-H541)/1.16)-M541))</f>
        <v>#VALUE!</v>
      </c>
      <c r="O541" s="21" t="e">
        <f>((N541*16%)+N541)+H541+L541</f>
        <v>#VALUE!</v>
      </c>
      <c r="P541" s="21" t="e">
        <f>(((J541-O541)-H541)/1.16)+H541</f>
        <v>#VALUE!</v>
      </c>
      <c r="Q541" s="44"/>
      <c r="R541" s="24"/>
      <c r="S541" s="23" t="e">
        <f t="shared" si="24"/>
        <v>#DIV/0!</v>
      </c>
      <c r="T541" s="23" t="e">
        <f t="shared" si="25"/>
        <v>#DIV/0!</v>
      </c>
      <c r="U541" s="22" t="e">
        <f t="shared" si="26"/>
        <v>#DIV/0!</v>
      </c>
      <c r="V541" s="44"/>
      <c r="W541" s="44"/>
      <c r="X541" s="44"/>
      <c r="Y541" s="44"/>
      <c r="Z541" s="44"/>
    </row>
    <row r="542" spans="1:26" ht="15.75" customHeight="1">
      <c r="A542" s="44"/>
      <c r="B542" s="14"/>
      <c r="C542" s="53"/>
      <c r="D542" s="15"/>
      <c r="E542" s="89"/>
      <c r="F542" s="16"/>
      <c r="G542" s="16"/>
      <c r="H542" s="90" t="str">
        <f>IF(G542="Regular",Listas!$K$16,IF(G542="Premium",Listas!$K$17,IF(G542="Diesel",Listas!$K$18,"-")))</f>
        <v>-</v>
      </c>
      <c r="I542" s="17"/>
      <c r="J542" s="18"/>
      <c r="K542" s="19" t="str">
        <f>+IFERROR(IF(G542="Regular",VLOOKUP(C542,'PRECIO TERMINAL PEMEX'!$B$4:$E$35,2,0),IF(G542="Premium",VLOOKUP(C542,'PRECIO TERMINAL PEMEX'!$B$4:$E$35,3,0),IF(G542="Diesel",VLOOKUP(C542,'PRECIO TERMINAL PEMEX'!$B$4:$E$35,4,0),"Seleccione Producto"))),"-")</f>
        <v>Seleccione Producto</v>
      </c>
      <c r="L542" s="93" t="str">
        <f>+IFERROR(IF(F542="VHSA",VLOOKUP(B542,Listas!$C$4:$F$17,2,0),IF(F542="DOS BOCAS",VLOOKUP(B542,Listas!$C$4:$F$17,3,0),IF(F542="GLENCORE",VLOOKUP(B542,Listas!$C$4:$F$17,4,0),"Seleccione TAR"))),"-")</f>
        <v>Seleccione TAR</v>
      </c>
      <c r="M542" s="19" t="str">
        <f>+IFERROR(IF(G542="Regular",VLOOKUP(C542,'DESCUENTO PROVEEDORES'!$B$4:$E$35,2,0),IF(G542="Premium",VLOOKUP(C542,'DESCUENTO PROVEEDORES'!$B$4:$E$35,3,0),IF(G542="Diesel",VLOOKUP(C542,'DESCUENTO PROVEEDORES'!$B$4:$E$35,4,0),"Seleccione Proveedor"))),"-")</f>
        <v>Seleccione Proveedor</v>
      </c>
      <c r="N542" s="20" t="e">
        <f>((((K542-H542)/1.16)-M542))</f>
        <v>#VALUE!</v>
      </c>
      <c r="O542" s="21" t="e">
        <f>((N542*16%)+N542)+H542+L542</f>
        <v>#VALUE!</v>
      </c>
      <c r="P542" s="21" t="e">
        <f>(((J542-O542)-H542)/1.16)+H542</f>
        <v>#VALUE!</v>
      </c>
      <c r="Q542" s="44"/>
      <c r="R542" s="24"/>
      <c r="S542" s="23" t="e">
        <f t="shared" si="24"/>
        <v>#DIV/0!</v>
      </c>
      <c r="T542" s="23" t="e">
        <f t="shared" si="25"/>
        <v>#DIV/0!</v>
      </c>
      <c r="U542" s="22" t="e">
        <f t="shared" si="26"/>
        <v>#DIV/0!</v>
      </c>
      <c r="V542" s="44"/>
      <c r="W542" s="44"/>
      <c r="X542" s="44"/>
      <c r="Y542" s="44"/>
      <c r="Z542" s="44"/>
    </row>
    <row r="543" spans="1:26" ht="15.75" customHeight="1">
      <c r="A543" s="44"/>
      <c r="B543" s="14"/>
      <c r="C543" s="53"/>
      <c r="D543" s="15"/>
      <c r="E543" s="89"/>
      <c r="F543" s="16"/>
      <c r="G543" s="16"/>
      <c r="H543" s="90" t="str">
        <f>IF(G543="Regular",Listas!$K$16,IF(G543="Premium",Listas!$K$17,IF(G543="Diesel",Listas!$K$18,"-")))</f>
        <v>-</v>
      </c>
      <c r="I543" s="17"/>
      <c r="J543" s="18"/>
      <c r="K543" s="19" t="str">
        <f>+IFERROR(IF(G543="Regular",VLOOKUP(C543,'PRECIO TERMINAL PEMEX'!$B$4:$E$35,2,0),IF(G543="Premium",VLOOKUP(C543,'PRECIO TERMINAL PEMEX'!$B$4:$E$35,3,0),IF(G543="Diesel",VLOOKUP(C543,'PRECIO TERMINAL PEMEX'!$B$4:$E$35,4,0),"Seleccione Producto"))),"-")</f>
        <v>Seleccione Producto</v>
      </c>
      <c r="L543" s="93" t="str">
        <f>+IFERROR(IF(F543="VHSA",VLOOKUP(B543,Listas!$C$4:$F$17,2,0),IF(F543="DOS BOCAS",VLOOKUP(B543,Listas!$C$4:$F$17,3,0),IF(F543="GLENCORE",VLOOKUP(B543,Listas!$C$4:$F$17,4,0),"Seleccione TAR"))),"-")</f>
        <v>Seleccione TAR</v>
      </c>
      <c r="M543" s="19" t="str">
        <f>+IFERROR(IF(G543="Regular",VLOOKUP(C543,'DESCUENTO PROVEEDORES'!$B$4:$E$35,2,0),IF(G543="Premium",VLOOKUP(C543,'DESCUENTO PROVEEDORES'!$B$4:$E$35,3,0),IF(G543="Diesel",VLOOKUP(C543,'DESCUENTO PROVEEDORES'!$B$4:$E$35,4,0),"Seleccione Proveedor"))),"-")</f>
        <v>Seleccione Proveedor</v>
      </c>
      <c r="N543" s="20" t="e">
        <f>((((K543-H543)/1.16)-M543))</f>
        <v>#VALUE!</v>
      </c>
      <c r="O543" s="21" t="e">
        <f>((N543*16%)+N543)+H543+L543</f>
        <v>#VALUE!</v>
      </c>
      <c r="P543" s="21" t="e">
        <f>(((J543-O543)-H543)/1.16)+H543</f>
        <v>#VALUE!</v>
      </c>
      <c r="Q543" s="44"/>
      <c r="R543" s="24"/>
      <c r="S543" s="23" t="e">
        <f t="shared" si="24"/>
        <v>#DIV/0!</v>
      </c>
      <c r="T543" s="23" t="e">
        <f t="shared" si="25"/>
        <v>#DIV/0!</v>
      </c>
      <c r="U543" s="22" t="e">
        <f t="shared" si="26"/>
        <v>#DIV/0!</v>
      </c>
      <c r="V543" s="44"/>
      <c r="W543" s="44"/>
      <c r="X543" s="44"/>
      <c r="Y543" s="44"/>
      <c r="Z543" s="44"/>
    </row>
    <row r="544" spans="1:26" ht="15.75" customHeight="1">
      <c r="A544" s="44"/>
      <c r="B544" s="14"/>
      <c r="C544" s="53"/>
      <c r="D544" s="15"/>
      <c r="E544" s="89"/>
      <c r="F544" s="16"/>
      <c r="G544" s="16"/>
      <c r="H544" s="90" t="str">
        <f>IF(G544="Regular",Listas!$K$16,IF(G544="Premium",Listas!$K$17,IF(G544="Diesel",Listas!$K$18,"-")))</f>
        <v>-</v>
      </c>
      <c r="I544" s="17"/>
      <c r="J544" s="18"/>
      <c r="K544" s="19" t="str">
        <f>+IFERROR(IF(G544="Regular",VLOOKUP(C544,'PRECIO TERMINAL PEMEX'!$B$4:$E$35,2,0),IF(G544="Premium",VLOOKUP(C544,'PRECIO TERMINAL PEMEX'!$B$4:$E$35,3,0),IF(G544="Diesel",VLOOKUP(C544,'PRECIO TERMINAL PEMEX'!$B$4:$E$35,4,0),"Seleccione Producto"))),"-")</f>
        <v>Seleccione Producto</v>
      </c>
      <c r="L544" s="93" t="str">
        <f>+IFERROR(IF(F544="VHSA",VLOOKUP(B544,Listas!$C$4:$F$17,2,0),IF(F544="DOS BOCAS",VLOOKUP(B544,Listas!$C$4:$F$17,3,0),IF(F544="GLENCORE",VLOOKUP(B544,Listas!$C$4:$F$17,4,0),"Seleccione TAR"))),"-")</f>
        <v>Seleccione TAR</v>
      </c>
      <c r="M544" s="19" t="str">
        <f>+IFERROR(IF(G544="Regular",VLOOKUP(C544,'DESCUENTO PROVEEDORES'!$B$4:$E$35,2,0),IF(G544="Premium",VLOOKUP(C544,'DESCUENTO PROVEEDORES'!$B$4:$E$35,3,0),IF(G544="Diesel",VLOOKUP(C544,'DESCUENTO PROVEEDORES'!$B$4:$E$35,4,0),"Seleccione Proveedor"))),"-")</f>
        <v>Seleccione Proveedor</v>
      </c>
      <c r="N544" s="20" t="e">
        <f>((((K544-H544)/1.16)-M544))</f>
        <v>#VALUE!</v>
      </c>
      <c r="O544" s="21" t="e">
        <f>((N544*16%)+N544)+H544+L544</f>
        <v>#VALUE!</v>
      </c>
      <c r="P544" s="21" t="e">
        <f>(((J544-O544)-H544)/1.16)+H544</f>
        <v>#VALUE!</v>
      </c>
      <c r="Q544" s="44"/>
      <c r="R544" s="24"/>
      <c r="S544" s="23" t="e">
        <f t="shared" ref="S544:S607" si="27">R544/I544</f>
        <v>#DIV/0!</v>
      </c>
      <c r="T544" s="23" t="e">
        <f t="shared" ref="T544:T607" si="28">(J544-S544)/1.16</f>
        <v>#DIV/0!</v>
      </c>
      <c r="U544" s="22" t="e">
        <f t="shared" ref="U544:U607" si="29">+T544-P544</f>
        <v>#DIV/0!</v>
      </c>
      <c r="V544" s="44"/>
      <c r="W544" s="44"/>
      <c r="X544" s="44"/>
      <c r="Y544" s="44"/>
      <c r="Z544" s="44"/>
    </row>
    <row r="545" spans="1:26" ht="15.75" customHeight="1">
      <c r="A545" s="44"/>
      <c r="B545" s="14"/>
      <c r="C545" s="53"/>
      <c r="D545" s="15"/>
      <c r="E545" s="89"/>
      <c r="F545" s="16"/>
      <c r="G545" s="16"/>
      <c r="H545" s="90" t="str">
        <f>IF(G545="Regular",Listas!$K$16,IF(G545="Premium",Listas!$K$17,IF(G545="Diesel",Listas!$K$18,"-")))</f>
        <v>-</v>
      </c>
      <c r="I545" s="17"/>
      <c r="J545" s="18"/>
      <c r="K545" s="19" t="str">
        <f>+IFERROR(IF(G545="Regular",VLOOKUP(C545,'PRECIO TERMINAL PEMEX'!$B$4:$E$35,2,0),IF(G545="Premium",VLOOKUP(C545,'PRECIO TERMINAL PEMEX'!$B$4:$E$35,3,0),IF(G545="Diesel",VLOOKUP(C545,'PRECIO TERMINAL PEMEX'!$B$4:$E$35,4,0),"Seleccione Producto"))),"-")</f>
        <v>Seleccione Producto</v>
      </c>
      <c r="L545" s="93" t="str">
        <f>+IFERROR(IF(F545="VHSA",VLOOKUP(B545,Listas!$C$4:$F$17,2,0),IF(F545="DOS BOCAS",VLOOKUP(B545,Listas!$C$4:$F$17,3,0),IF(F545="GLENCORE",VLOOKUP(B545,Listas!$C$4:$F$17,4,0),"Seleccione TAR"))),"-")</f>
        <v>Seleccione TAR</v>
      </c>
      <c r="M545" s="19" t="str">
        <f>+IFERROR(IF(G545="Regular",VLOOKUP(C545,'DESCUENTO PROVEEDORES'!$B$4:$E$35,2,0),IF(G545="Premium",VLOOKUP(C545,'DESCUENTO PROVEEDORES'!$B$4:$E$35,3,0),IF(G545="Diesel",VLOOKUP(C545,'DESCUENTO PROVEEDORES'!$B$4:$E$35,4,0),"Seleccione Proveedor"))),"-")</f>
        <v>Seleccione Proveedor</v>
      </c>
      <c r="N545" s="20" t="e">
        <f>((((K545-H545)/1.16)-M545))</f>
        <v>#VALUE!</v>
      </c>
      <c r="O545" s="21" t="e">
        <f>((N545*16%)+N545)+H545+L545</f>
        <v>#VALUE!</v>
      </c>
      <c r="P545" s="21" t="e">
        <f>(((J545-O545)-H545)/1.16)+H545</f>
        <v>#VALUE!</v>
      </c>
      <c r="Q545" s="44"/>
      <c r="R545" s="24"/>
      <c r="S545" s="23" t="e">
        <f t="shared" si="27"/>
        <v>#DIV/0!</v>
      </c>
      <c r="T545" s="23" t="e">
        <f t="shared" si="28"/>
        <v>#DIV/0!</v>
      </c>
      <c r="U545" s="22" t="e">
        <f t="shared" si="29"/>
        <v>#DIV/0!</v>
      </c>
      <c r="V545" s="44"/>
      <c r="W545" s="44"/>
      <c r="X545" s="44"/>
      <c r="Y545" s="44"/>
      <c r="Z545" s="44"/>
    </row>
    <row r="546" spans="1:26" ht="15.75" customHeight="1">
      <c r="A546" s="44"/>
      <c r="B546" s="14"/>
      <c r="C546" s="53"/>
      <c r="D546" s="15"/>
      <c r="E546" s="89"/>
      <c r="F546" s="16"/>
      <c r="G546" s="16"/>
      <c r="H546" s="90" t="str">
        <f>IF(G546="Regular",Listas!$K$16,IF(G546="Premium",Listas!$K$17,IF(G546="Diesel",Listas!$K$18,"-")))</f>
        <v>-</v>
      </c>
      <c r="I546" s="17"/>
      <c r="J546" s="18"/>
      <c r="K546" s="19" t="str">
        <f>+IFERROR(IF(G546="Regular",VLOOKUP(C546,'PRECIO TERMINAL PEMEX'!$B$4:$E$35,2,0),IF(G546="Premium",VLOOKUP(C546,'PRECIO TERMINAL PEMEX'!$B$4:$E$35,3,0),IF(G546="Diesel",VLOOKUP(C546,'PRECIO TERMINAL PEMEX'!$B$4:$E$35,4,0),"Seleccione Producto"))),"-")</f>
        <v>Seleccione Producto</v>
      </c>
      <c r="L546" s="93" t="str">
        <f>+IFERROR(IF(F546="VHSA",VLOOKUP(B546,Listas!$C$4:$F$17,2,0),IF(F546="DOS BOCAS",VLOOKUP(B546,Listas!$C$4:$F$17,3,0),IF(F546="GLENCORE",VLOOKUP(B546,Listas!$C$4:$F$17,4,0),"Seleccione TAR"))),"-")</f>
        <v>Seleccione TAR</v>
      </c>
      <c r="M546" s="19" t="str">
        <f>+IFERROR(IF(G546="Regular",VLOOKUP(C546,'DESCUENTO PROVEEDORES'!$B$4:$E$35,2,0),IF(G546="Premium",VLOOKUP(C546,'DESCUENTO PROVEEDORES'!$B$4:$E$35,3,0),IF(G546="Diesel",VLOOKUP(C546,'DESCUENTO PROVEEDORES'!$B$4:$E$35,4,0),"Seleccione Proveedor"))),"-")</f>
        <v>Seleccione Proveedor</v>
      </c>
      <c r="N546" s="20" t="e">
        <f>((((K546-H546)/1.16)-M546))</f>
        <v>#VALUE!</v>
      </c>
      <c r="O546" s="21" t="e">
        <f>((N546*16%)+N546)+H546+L546</f>
        <v>#VALUE!</v>
      </c>
      <c r="P546" s="21" t="e">
        <f>(((J546-O546)-H546)/1.16)+H546</f>
        <v>#VALUE!</v>
      </c>
      <c r="Q546" s="44"/>
      <c r="R546" s="24"/>
      <c r="S546" s="23" t="e">
        <f t="shared" si="27"/>
        <v>#DIV/0!</v>
      </c>
      <c r="T546" s="23" t="e">
        <f t="shared" si="28"/>
        <v>#DIV/0!</v>
      </c>
      <c r="U546" s="22" t="e">
        <f t="shared" si="29"/>
        <v>#DIV/0!</v>
      </c>
      <c r="V546" s="44"/>
      <c r="W546" s="44"/>
      <c r="X546" s="44"/>
      <c r="Y546" s="44"/>
      <c r="Z546" s="44"/>
    </row>
    <row r="547" spans="1:26" ht="15.75" customHeight="1">
      <c r="A547" s="44"/>
      <c r="B547" s="14"/>
      <c r="C547" s="53"/>
      <c r="D547" s="15"/>
      <c r="E547" s="89"/>
      <c r="F547" s="16"/>
      <c r="G547" s="16"/>
      <c r="H547" s="90" t="str">
        <f>IF(G547="Regular",Listas!$K$16,IF(G547="Premium",Listas!$K$17,IF(G547="Diesel",Listas!$K$18,"-")))</f>
        <v>-</v>
      </c>
      <c r="I547" s="17"/>
      <c r="J547" s="18"/>
      <c r="K547" s="19" t="str">
        <f>+IFERROR(IF(G547="Regular",VLOOKUP(C547,'PRECIO TERMINAL PEMEX'!$B$4:$E$35,2,0),IF(G547="Premium",VLOOKUP(C547,'PRECIO TERMINAL PEMEX'!$B$4:$E$35,3,0),IF(G547="Diesel",VLOOKUP(C547,'PRECIO TERMINAL PEMEX'!$B$4:$E$35,4,0),"Seleccione Producto"))),"-")</f>
        <v>Seleccione Producto</v>
      </c>
      <c r="L547" s="93" t="str">
        <f>+IFERROR(IF(F547="VHSA",VLOOKUP(B547,Listas!$C$4:$F$17,2,0),IF(F547="DOS BOCAS",VLOOKUP(B547,Listas!$C$4:$F$17,3,0),IF(F547="GLENCORE",VLOOKUP(B547,Listas!$C$4:$F$17,4,0),"Seleccione TAR"))),"-")</f>
        <v>Seleccione TAR</v>
      </c>
      <c r="M547" s="19" t="str">
        <f>+IFERROR(IF(G547="Regular",VLOOKUP(C547,'DESCUENTO PROVEEDORES'!$B$4:$E$35,2,0),IF(G547="Premium",VLOOKUP(C547,'DESCUENTO PROVEEDORES'!$B$4:$E$35,3,0),IF(G547="Diesel",VLOOKUP(C547,'DESCUENTO PROVEEDORES'!$B$4:$E$35,4,0),"Seleccione Proveedor"))),"-")</f>
        <v>Seleccione Proveedor</v>
      </c>
      <c r="N547" s="20" t="e">
        <f>((((K547-H547)/1.16)-M547))</f>
        <v>#VALUE!</v>
      </c>
      <c r="O547" s="21" t="e">
        <f>((N547*16%)+N547)+H547+L547</f>
        <v>#VALUE!</v>
      </c>
      <c r="P547" s="21" t="e">
        <f>(((J547-O547)-H547)/1.16)+H547</f>
        <v>#VALUE!</v>
      </c>
      <c r="Q547" s="44"/>
      <c r="R547" s="24"/>
      <c r="S547" s="23" t="e">
        <f t="shared" si="27"/>
        <v>#DIV/0!</v>
      </c>
      <c r="T547" s="23" t="e">
        <f t="shared" si="28"/>
        <v>#DIV/0!</v>
      </c>
      <c r="U547" s="22" t="e">
        <f t="shared" si="29"/>
        <v>#DIV/0!</v>
      </c>
      <c r="V547" s="44"/>
      <c r="W547" s="44"/>
      <c r="X547" s="44"/>
      <c r="Y547" s="44"/>
      <c r="Z547" s="44"/>
    </row>
    <row r="548" spans="1:26" ht="15.75" customHeight="1">
      <c r="A548" s="44"/>
      <c r="B548" s="14"/>
      <c r="C548" s="53"/>
      <c r="D548" s="15"/>
      <c r="E548" s="89"/>
      <c r="F548" s="16"/>
      <c r="G548" s="16"/>
      <c r="H548" s="90" t="str">
        <f>IF(G548="Regular",Listas!$K$16,IF(G548="Premium",Listas!$K$17,IF(G548="Diesel",Listas!$K$18,"-")))</f>
        <v>-</v>
      </c>
      <c r="I548" s="17"/>
      <c r="J548" s="18"/>
      <c r="K548" s="19" t="str">
        <f>+IFERROR(IF(G548="Regular",VLOOKUP(C548,'PRECIO TERMINAL PEMEX'!$B$4:$E$35,2,0),IF(G548="Premium",VLOOKUP(C548,'PRECIO TERMINAL PEMEX'!$B$4:$E$35,3,0),IF(G548="Diesel",VLOOKUP(C548,'PRECIO TERMINAL PEMEX'!$B$4:$E$35,4,0),"Seleccione Producto"))),"-")</f>
        <v>Seleccione Producto</v>
      </c>
      <c r="L548" s="93" t="str">
        <f>+IFERROR(IF(F548="VHSA",VLOOKUP(B548,Listas!$C$4:$F$17,2,0),IF(F548="DOS BOCAS",VLOOKUP(B548,Listas!$C$4:$F$17,3,0),IF(F548="GLENCORE",VLOOKUP(B548,Listas!$C$4:$F$17,4,0),"Seleccione TAR"))),"-")</f>
        <v>Seleccione TAR</v>
      </c>
      <c r="M548" s="19" t="str">
        <f>+IFERROR(IF(G548="Regular",VLOOKUP(C548,'DESCUENTO PROVEEDORES'!$B$4:$E$35,2,0),IF(G548="Premium",VLOOKUP(C548,'DESCUENTO PROVEEDORES'!$B$4:$E$35,3,0),IF(G548="Diesel",VLOOKUP(C548,'DESCUENTO PROVEEDORES'!$B$4:$E$35,4,0),"Seleccione Proveedor"))),"-")</f>
        <v>Seleccione Proveedor</v>
      </c>
      <c r="N548" s="20" t="e">
        <f>((((K548-H548)/1.16)-M548))</f>
        <v>#VALUE!</v>
      </c>
      <c r="O548" s="21" t="e">
        <f>((N548*16%)+N548)+H548+L548</f>
        <v>#VALUE!</v>
      </c>
      <c r="P548" s="21" t="e">
        <f>(((J548-O548)-H548)/1.16)+H548</f>
        <v>#VALUE!</v>
      </c>
      <c r="Q548" s="44"/>
      <c r="R548" s="24"/>
      <c r="S548" s="23" t="e">
        <f t="shared" si="27"/>
        <v>#DIV/0!</v>
      </c>
      <c r="T548" s="23" t="e">
        <f t="shared" si="28"/>
        <v>#DIV/0!</v>
      </c>
      <c r="U548" s="22" t="e">
        <f t="shared" si="29"/>
        <v>#DIV/0!</v>
      </c>
      <c r="V548" s="44"/>
      <c r="W548" s="44"/>
      <c r="X548" s="44"/>
      <c r="Y548" s="44"/>
      <c r="Z548" s="44"/>
    </row>
    <row r="549" spans="1:26" ht="15.75" customHeight="1">
      <c r="A549" s="44"/>
      <c r="B549" s="14"/>
      <c r="C549" s="53"/>
      <c r="D549" s="15"/>
      <c r="E549" s="89"/>
      <c r="F549" s="16"/>
      <c r="G549" s="16"/>
      <c r="H549" s="90" t="str">
        <f>IF(G549="Regular",Listas!$K$16,IF(G549="Premium",Listas!$K$17,IF(G549="Diesel",Listas!$K$18,"-")))</f>
        <v>-</v>
      </c>
      <c r="I549" s="17"/>
      <c r="J549" s="18"/>
      <c r="K549" s="19" t="str">
        <f>+IFERROR(IF(G549="Regular",VLOOKUP(C549,'PRECIO TERMINAL PEMEX'!$B$4:$E$35,2,0),IF(G549="Premium",VLOOKUP(C549,'PRECIO TERMINAL PEMEX'!$B$4:$E$35,3,0),IF(G549="Diesel",VLOOKUP(C549,'PRECIO TERMINAL PEMEX'!$B$4:$E$35,4,0),"Seleccione Producto"))),"-")</f>
        <v>Seleccione Producto</v>
      </c>
      <c r="L549" s="93" t="str">
        <f>+IFERROR(IF(F549="VHSA",VLOOKUP(B549,Listas!$C$4:$F$17,2,0),IF(F549="DOS BOCAS",VLOOKUP(B549,Listas!$C$4:$F$17,3,0),IF(F549="GLENCORE",VLOOKUP(B549,Listas!$C$4:$F$17,4,0),"Seleccione TAR"))),"-")</f>
        <v>Seleccione TAR</v>
      </c>
      <c r="M549" s="19" t="str">
        <f>+IFERROR(IF(G549="Regular",VLOOKUP(C549,'DESCUENTO PROVEEDORES'!$B$4:$E$35,2,0),IF(G549="Premium",VLOOKUP(C549,'DESCUENTO PROVEEDORES'!$B$4:$E$35,3,0),IF(G549="Diesel",VLOOKUP(C549,'DESCUENTO PROVEEDORES'!$B$4:$E$35,4,0),"Seleccione Proveedor"))),"-")</f>
        <v>Seleccione Proveedor</v>
      </c>
      <c r="N549" s="20" t="e">
        <f>((((K549-H549)/1.16)-M549))</f>
        <v>#VALUE!</v>
      </c>
      <c r="O549" s="21" t="e">
        <f>((N549*16%)+N549)+H549+L549</f>
        <v>#VALUE!</v>
      </c>
      <c r="P549" s="21" t="e">
        <f>(((J549-O549)-H549)/1.16)+H549</f>
        <v>#VALUE!</v>
      </c>
      <c r="Q549" s="44"/>
      <c r="R549" s="24"/>
      <c r="S549" s="23" t="e">
        <f t="shared" si="27"/>
        <v>#DIV/0!</v>
      </c>
      <c r="T549" s="23" t="e">
        <f t="shared" si="28"/>
        <v>#DIV/0!</v>
      </c>
      <c r="U549" s="22" t="e">
        <f t="shared" si="29"/>
        <v>#DIV/0!</v>
      </c>
      <c r="V549" s="44"/>
      <c r="W549" s="44"/>
      <c r="X549" s="44"/>
      <c r="Y549" s="44"/>
      <c r="Z549" s="44"/>
    </row>
    <row r="550" spans="1:26" ht="15.75" customHeight="1">
      <c r="A550" s="44"/>
      <c r="B550" s="14"/>
      <c r="C550" s="53"/>
      <c r="D550" s="15"/>
      <c r="E550" s="89"/>
      <c r="F550" s="16"/>
      <c r="G550" s="16"/>
      <c r="H550" s="90" t="str">
        <f>IF(G550="Regular",Listas!$K$16,IF(G550="Premium",Listas!$K$17,IF(G550="Diesel",Listas!$K$18,"-")))</f>
        <v>-</v>
      </c>
      <c r="I550" s="17"/>
      <c r="J550" s="18"/>
      <c r="K550" s="19" t="str">
        <f>+IFERROR(IF(G550="Regular",VLOOKUP(C550,'PRECIO TERMINAL PEMEX'!$B$4:$E$35,2,0),IF(G550="Premium",VLOOKUP(C550,'PRECIO TERMINAL PEMEX'!$B$4:$E$35,3,0),IF(G550="Diesel",VLOOKUP(C550,'PRECIO TERMINAL PEMEX'!$B$4:$E$35,4,0),"Seleccione Producto"))),"-")</f>
        <v>Seleccione Producto</v>
      </c>
      <c r="L550" s="93" t="str">
        <f>+IFERROR(IF(F550="VHSA",VLOOKUP(B550,Listas!$C$4:$F$17,2,0),IF(F550="DOS BOCAS",VLOOKUP(B550,Listas!$C$4:$F$17,3,0),IF(F550="GLENCORE",VLOOKUP(B550,Listas!$C$4:$F$17,4,0),"Seleccione TAR"))),"-")</f>
        <v>Seleccione TAR</v>
      </c>
      <c r="M550" s="19" t="str">
        <f>+IFERROR(IF(G550="Regular",VLOOKUP(C550,'DESCUENTO PROVEEDORES'!$B$4:$E$35,2,0),IF(G550="Premium",VLOOKUP(C550,'DESCUENTO PROVEEDORES'!$B$4:$E$35,3,0),IF(G550="Diesel",VLOOKUP(C550,'DESCUENTO PROVEEDORES'!$B$4:$E$35,4,0),"Seleccione Proveedor"))),"-")</f>
        <v>Seleccione Proveedor</v>
      </c>
      <c r="N550" s="20" t="e">
        <f>((((K550-H550)/1.16)-M550))</f>
        <v>#VALUE!</v>
      </c>
      <c r="O550" s="21" t="e">
        <f>((N550*16%)+N550)+H550+L550</f>
        <v>#VALUE!</v>
      </c>
      <c r="P550" s="21" t="e">
        <f>(((J550-O550)-H550)/1.16)+H550</f>
        <v>#VALUE!</v>
      </c>
      <c r="Q550" s="44"/>
      <c r="R550" s="24"/>
      <c r="S550" s="23" t="e">
        <f t="shared" si="27"/>
        <v>#DIV/0!</v>
      </c>
      <c r="T550" s="23" t="e">
        <f t="shared" si="28"/>
        <v>#DIV/0!</v>
      </c>
      <c r="U550" s="22" t="e">
        <f t="shared" si="29"/>
        <v>#DIV/0!</v>
      </c>
      <c r="V550" s="44"/>
      <c r="W550" s="44"/>
      <c r="X550" s="44"/>
      <c r="Y550" s="44"/>
      <c r="Z550" s="44"/>
    </row>
    <row r="551" spans="1:26" ht="15.75" customHeight="1">
      <c r="A551" s="44"/>
      <c r="B551" s="14"/>
      <c r="C551" s="53"/>
      <c r="D551" s="15"/>
      <c r="E551" s="89"/>
      <c r="F551" s="16"/>
      <c r="G551" s="16"/>
      <c r="H551" s="90" t="str">
        <f>IF(G551="Regular",Listas!$K$16,IF(G551="Premium",Listas!$K$17,IF(G551="Diesel",Listas!$K$18,"-")))</f>
        <v>-</v>
      </c>
      <c r="I551" s="17"/>
      <c r="J551" s="18"/>
      <c r="K551" s="19" t="str">
        <f>+IFERROR(IF(G551="Regular",VLOOKUP(C551,'PRECIO TERMINAL PEMEX'!$B$4:$E$35,2,0),IF(G551="Premium",VLOOKUP(C551,'PRECIO TERMINAL PEMEX'!$B$4:$E$35,3,0),IF(G551="Diesel",VLOOKUP(C551,'PRECIO TERMINAL PEMEX'!$B$4:$E$35,4,0),"Seleccione Producto"))),"-")</f>
        <v>Seleccione Producto</v>
      </c>
      <c r="L551" s="93" t="str">
        <f>+IFERROR(IF(F551="VHSA",VLOOKUP(B551,Listas!$C$4:$F$17,2,0),IF(F551="DOS BOCAS",VLOOKUP(B551,Listas!$C$4:$F$17,3,0),IF(F551="GLENCORE",VLOOKUP(B551,Listas!$C$4:$F$17,4,0),"Seleccione TAR"))),"-")</f>
        <v>Seleccione TAR</v>
      </c>
      <c r="M551" s="19" t="str">
        <f>+IFERROR(IF(G551="Regular",VLOOKUP(C551,'DESCUENTO PROVEEDORES'!$B$4:$E$35,2,0),IF(G551="Premium",VLOOKUP(C551,'DESCUENTO PROVEEDORES'!$B$4:$E$35,3,0),IF(G551="Diesel",VLOOKUP(C551,'DESCUENTO PROVEEDORES'!$B$4:$E$35,4,0),"Seleccione Proveedor"))),"-")</f>
        <v>Seleccione Proveedor</v>
      </c>
      <c r="N551" s="20" t="e">
        <f>((((K551-H551)/1.16)-M551))</f>
        <v>#VALUE!</v>
      </c>
      <c r="O551" s="21" t="e">
        <f>((N551*16%)+N551)+H551+L551</f>
        <v>#VALUE!</v>
      </c>
      <c r="P551" s="21" t="e">
        <f>(((J551-O551)-H551)/1.16)+H551</f>
        <v>#VALUE!</v>
      </c>
      <c r="Q551" s="44"/>
      <c r="R551" s="24"/>
      <c r="S551" s="23" t="e">
        <f t="shared" si="27"/>
        <v>#DIV/0!</v>
      </c>
      <c r="T551" s="23" t="e">
        <f t="shared" si="28"/>
        <v>#DIV/0!</v>
      </c>
      <c r="U551" s="22" t="e">
        <f t="shared" si="29"/>
        <v>#DIV/0!</v>
      </c>
      <c r="V551" s="44"/>
      <c r="W551" s="44"/>
      <c r="X551" s="44"/>
      <c r="Y551" s="44"/>
      <c r="Z551" s="44"/>
    </row>
    <row r="552" spans="1:26" ht="15.75" customHeight="1">
      <c r="A552" s="44"/>
      <c r="B552" s="14"/>
      <c r="C552" s="53"/>
      <c r="D552" s="15"/>
      <c r="E552" s="89"/>
      <c r="F552" s="16"/>
      <c r="G552" s="16"/>
      <c r="H552" s="90" t="str">
        <f>IF(G552="Regular",Listas!$K$16,IF(G552="Premium",Listas!$K$17,IF(G552="Diesel",Listas!$K$18,"-")))</f>
        <v>-</v>
      </c>
      <c r="I552" s="17"/>
      <c r="J552" s="18"/>
      <c r="K552" s="19" t="str">
        <f>+IFERROR(IF(G552="Regular",VLOOKUP(C552,'PRECIO TERMINAL PEMEX'!$B$4:$E$35,2,0),IF(G552="Premium",VLOOKUP(C552,'PRECIO TERMINAL PEMEX'!$B$4:$E$35,3,0),IF(G552="Diesel",VLOOKUP(C552,'PRECIO TERMINAL PEMEX'!$B$4:$E$35,4,0),"Seleccione Producto"))),"-")</f>
        <v>Seleccione Producto</v>
      </c>
      <c r="L552" s="93" t="str">
        <f>+IFERROR(IF(F552="VHSA",VLOOKUP(B552,Listas!$C$4:$F$17,2,0),IF(F552="DOS BOCAS",VLOOKUP(B552,Listas!$C$4:$F$17,3,0),IF(F552="GLENCORE",VLOOKUP(B552,Listas!$C$4:$F$17,4,0),"Seleccione TAR"))),"-")</f>
        <v>Seleccione TAR</v>
      </c>
      <c r="M552" s="19" t="str">
        <f>+IFERROR(IF(G552="Regular",VLOOKUP(C552,'DESCUENTO PROVEEDORES'!$B$4:$E$35,2,0),IF(G552="Premium",VLOOKUP(C552,'DESCUENTO PROVEEDORES'!$B$4:$E$35,3,0),IF(G552="Diesel",VLOOKUP(C552,'DESCUENTO PROVEEDORES'!$B$4:$E$35,4,0),"Seleccione Proveedor"))),"-")</f>
        <v>Seleccione Proveedor</v>
      </c>
      <c r="N552" s="20" t="e">
        <f>((((K552-H552)/1.16)-M552))</f>
        <v>#VALUE!</v>
      </c>
      <c r="O552" s="21" t="e">
        <f>((N552*16%)+N552)+H552+L552</f>
        <v>#VALUE!</v>
      </c>
      <c r="P552" s="21" t="e">
        <f>(((J552-O552)-H552)/1.16)+H552</f>
        <v>#VALUE!</v>
      </c>
      <c r="Q552" s="44"/>
      <c r="R552" s="24"/>
      <c r="S552" s="23" t="e">
        <f t="shared" si="27"/>
        <v>#DIV/0!</v>
      </c>
      <c r="T552" s="23" t="e">
        <f t="shared" si="28"/>
        <v>#DIV/0!</v>
      </c>
      <c r="U552" s="22" t="e">
        <f t="shared" si="29"/>
        <v>#DIV/0!</v>
      </c>
      <c r="V552" s="44"/>
      <c r="W552" s="44"/>
      <c r="X552" s="44"/>
      <c r="Y552" s="44"/>
      <c r="Z552" s="44"/>
    </row>
    <row r="553" spans="1:26" ht="15.75" customHeight="1">
      <c r="A553" s="44"/>
      <c r="B553" s="14"/>
      <c r="C553" s="53"/>
      <c r="D553" s="15"/>
      <c r="E553" s="89"/>
      <c r="F553" s="16"/>
      <c r="G553" s="16"/>
      <c r="H553" s="90" t="str">
        <f>IF(G553="Regular",Listas!$K$16,IF(G553="Premium",Listas!$K$17,IF(G553="Diesel",Listas!$K$18,"-")))</f>
        <v>-</v>
      </c>
      <c r="I553" s="17"/>
      <c r="J553" s="18"/>
      <c r="K553" s="19" t="str">
        <f>+IFERROR(IF(G553="Regular",VLOOKUP(C553,'PRECIO TERMINAL PEMEX'!$B$4:$E$35,2,0),IF(G553="Premium",VLOOKUP(C553,'PRECIO TERMINAL PEMEX'!$B$4:$E$35,3,0),IF(G553="Diesel",VLOOKUP(C553,'PRECIO TERMINAL PEMEX'!$B$4:$E$35,4,0),"Seleccione Producto"))),"-")</f>
        <v>Seleccione Producto</v>
      </c>
      <c r="L553" s="93" t="str">
        <f>+IFERROR(IF(F553="VHSA",VLOOKUP(B553,Listas!$C$4:$F$17,2,0),IF(F553="DOS BOCAS",VLOOKUP(B553,Listas!$C$4:$F$17,3,0),IF(F553="GLENCORE",VLOOKUP(B553,Listas!$C$4:$F$17,4,0),"Seleccione TAR"))),"-")</f>
        <v>Seleccione TAR</v>
      </c>
      <c r="M553" s="19" t="str">
        <f>+IFERROR(IF(G553="Regular",VLOOKUP(C553,'DESCUENTO PROVEEDORES'!$B$4:$E$35,2,0),IF(G553="Premium",VLOOKUP(C553,'DESCUENTO PROVEEDORES'!$B$4:$E$35,3,0),IF(G553="Diesel",VLOOKUP(C553,'DESCUENTO PROVEEDORES'!$B$4:$E$35,4,0),"Seleccione Proveedor"))),"-")</f>
        <v>Seleccione Proveedor</v>
      </c>
      <c r="N553" s="20" t="e">
        <f>((((K553-H553)/1.16)-M553))</f>
        <v>#VALUE!</v>
      </c>
      <c r="O553" s="21" t="e">
        <f>((N553*16%)+N553)+H553+L553</f>
        <v>#VALUE!</v>
      </c>
      <c r="P553" s="21" t="e">
        <f>(((J553-O553)-H553)/1.16)+H553</f>
        <v>#VALUE!</v>
      </c>
      <c r="Q553" s="44"/>
      <c r="R553" s="24"/>
      <c r="S553" s="23" t="e">
        <f t="shared" si="27"/>
        <v>#DIV/0!</v>
      </c>
      <c r="T553" s="23" t="e">
        <f t="shared" si="28"/>
        <v>#DIV/0!</v>
      </c>
      <c r="U553" s="22" t="e">
        <f t="shared" si="29"/>
        <v>#DIV/0!</v>
      </c>
      <c r="V553" s="44"/>
      <c r="W553" s="44"/>
      <c r="X553" s="44"/>
      <c r="Y553" s="44"/>
      <c r="Z553" s="44"/>
    </row>
    <row r="554" spans="1:26" ht="15.75" customHeight="1">
      <c r="A554" s="44"/>
      <c r="B554" s="14"/>
      <c r="C554" s="53"/>
      <c r="D554" s="15"/>
      <c r="E554" s="89"/>
      <c r="F554" s="16"/>
      <c r="G554" s="16"/>
      <c r="H554" s="90" t="str">
        <f>IF(G554="Regular",Listas!$K$16,IF(G554="Premium",Listas!$K$17,IF(G554="Diesel",Listas!$K$18,"-")))</f>
        <v>-</v>
      </c>
      <c r="I554" s="17"/>
      <c r="J554" s="18"/>
      <c r="K554" s="19" t="str">
        <f>+IFERROR(IF(G554="Regular",VLOOKUP(C554,'PRECIO TERMINAL PEMEX'!$B$4:$E$35,2,0),IF(G554="Premium",VLOOKUP(C554,'PRECIO TERMINAL PEMEX'!$B$4:$E$35,3,0),IF(G554="Diesel",VLOOKUP(C554,'PRECIO TERMINAL PEMEX'!$B$4:$E$35,4,0),"Seleccione Producto"))),"-")</f>
        <v>Seleccione Producto</v>
      </c>
      <c r="L554" s="93" t="str">
        <f>+IFERROR(IF(F554="VHSA",VLOOKUP(B554,Listas!$C$4:$F$17,2,0),IF(F554="DOS BOCAS",VLOOKUP(B554,Listas!$C$4:$F$17,3,0),IF(F554="GLENCORE",VLOOKUP(B554,Listas!$C$4:$F$17,4,0),"Seleccione TAR"))),"-")</f>
        <v>Seleccione TAR</v>
      </c>
      <c r="M554" s="19" t="str">
        <f>+IFERROR(IF(G554="Regular",VLOOKUP(C554,'DESCUENTO PROVEEDORES'!$B$4:$E$35,2,0),IF(G554="Premium",VLOOKUP(C554,'DESCUENTO PROVEEDORES'!$B$4:$E$35,3,0),IF(G554="Diesel",VLOOKUP(C554,'DESCUENTO PROVEEDORES'!$B$4:$E$35,4,0),"Seleccione Proveedor"))),"-")</f>
        <v>Seleccione Proveedor</v>
      </c>
      <c r="N554" s="20" t="e">
        <f>((((K554-H554)/1.16)-M554))</f>
        <v>#VALUE!</v>
      </c>
      <c r="O554" s="21" t="e">
        <f>((N554*16%)+N554)+H554+L554</f>
        <v>#VALUE!</v>
      </c>
      <c r="P554" s="21" t="e">
        <f>(((J554-O554)-H554)/1.16)+H554</f>
        <v>#VALUE!</v>
      </c>
      <c r="Q554" s="44"/>
      <c r="R554" s="24"/>
      <c r="S554" s="23" t="e">
        <f t="shared" si="27"/>
        <v>#DIV/0!</v>
      </c>
      <c r="T554" s="23" t="e">
        <f t="shared" si="28"/>
        <v>#DIV/0!</v>
      </c>
      <c r="U554" s="22" t="e">
        <f t="shared" si="29"/>
        <v>#DIV/0!</v>
      </c>
      <c r="V554" s="44"/>
      <c r="W554" s="44"/>
      <c r="X554" s="44"/>
      <c r="Y554" s="44"/>
      <c r="Z554" s="44"/>
    </row>
    <row r="555" spans="1:26" ht="15.75" customHeight="1">
      <c r="A555" s="44"/>
      <c r="B555" s="14"/>
      <c r="C555" s="53"/>
      <c r="D555" s="15"/>
      <c r="E555" s="89"/>
      <c r="F555" s="16"/>
      <c r="G555" s="16"/>
      <c r="H555" s="90" t="str">
        <f>IF(G555="Regular",Listas!$K$16,IF(G555="Premium",Listas!$K$17,IF(G555="Diesel",Listas!$K$18,"-")))</f>
        <v>-</v>
      </c>
      <c r="I555" s="17"/>
      <c r="J555" s="18"/>
      <c r="K555" s="19" t="str">
        <f>+IFERROR(IF(G555="Regular",VLOOKUP(C555,'PRECIO TERMINAL PEMEX'!$B$4:$E$35,2,0),IF(G555="Premium",VLOOKUP(C555,'PRECIO TERMINAL PEMEX'!$B$4:$E$35,3,0),IF(G555="Diesel",VLOOKUP(C555,'PRECIO TERMINAL PEMEX'!$B$4:$E$35,4,0),"Seleccione Producto"))),"-")</f>
        <v>Seleccione Producto</v>
      </c>
      <c r="L555" s="93" t="str">
        <f>+IFERROR(IF(F555="VHSA",VLOOKUP(B555,Listas!$C$4:$F$17,2,0),IF(F555="DOS BOCAS",VLOOKUP(B555,Listas!$C$4:$F$17,3,0),IF(F555="GLENCORE",VLOOKUP(B555,Listas!$C$4:$F$17,4,0),"Seleccione TAR"))),"-")</f>
        <v>Seleccione TAR</v>
      </c>
      <c r="M555" s="19" t="str">
        <f>+IFERROR(IF(G555="Regular",VLOOKUP(C555,'DESCUENTO PROVEEDORES'!$B$4:$E$35,2,0),IF(G555="Premium",VLOOKUP(C555,'DESCUENTO PROVEEDORES'!$B$4:$E$35,3,0),IF(G555="Diesel",VLOOKUP(C555,'DESCUENTO PROVEEDORES'!$B$4:$E$35,4,0),"Seleccione Proveedor"))),"-")</f>
        <v>Seleccione Proveedor</v>
      </c>
      <c r="N555" s="20" t="e">
        <f>((((K555-H555)/1.16)-M555))</f>
        <v>#VALUE!</v>
      </c>
      <c r="O555" s="21" t="e">
        <f>((N555*16%)+N555)+H555+L555</f>
        <v>#VALUE!</v>
      </c>
      <c r="P555" s="21" t="e">
        <f>(((J555-O555)-H555)/1.16)+H555</f>
        <v>#VALUE!</v>
      </c>
      <c r="Q555" s="44"/>
      <c r="R555" s="24"/>
      <c r="S555" s="23" t="e">
        <f t="shared" si="27"/>
        <v>#DIV/0!</v>
      </c>
      <c r="T555" s="23" t="e">
        <f t="shared" si="28"/>
        <v>#DIV/0!</v>
      </c>
      <c r="U555" s="22" t="e">
        <f t="shared" si="29"/>
        <v>#DIV/0!</v>
      </c>
      <c r="V555" s="44"/>
      <c r="W555" s="44"/>
      <c r="X555" s="44"/>
      <c r="Y555" s="44"/>
      <c r="Z555" s="44"/>
    </row>
    <row r="556" spans="1:26" ht="15.75" customHeight="1">
      <c r="A556" s="44"/>
      <c r="B556" s="14"/>
      <c r="C556" s="53"/>
      <c r="D556" s="15"/>
      <c r="E556" s="89"/>
      <c r="F556" s="16"/>
      <c r="G556" s="16"/>
      <c r="H556" s="90" t="str">
        <f>IF(G556="Regular",Listas!$K$16,IF(G556="Premium",Listas!$K$17,IF(G556="Diesel",Listas!$K$18,"-")))</f>
        <v>-</v>
      </c>
      <c r="I556" s="17"/>
      <c r="J556" s="18"/>
      <c r="K556" s="19" t="str">
        <f>+IFERROR(IF(G556="Regular",VLOOKUP(C556,'PRECIO TERMINAL PEMEX'!$B$4:$E$35,2,0),IF(G556="Premium",VLOOKUP(C556,'PRECIO TERMINAL PEMEX'!$B$4:$E$35,3,0),IF(G556="Diesel",VLOOKUP(C556,'PRECIO TERMINAL PEMEX'!$B$4:$E$35,4,0),"Seleccione Producto"))),"-")</f>
        <v>Seleccione Producto</v>
      </c>
      <c r="L556" s="93" t="str">
        <f>+IFERROR(IF(F556="VHSA",VLOOKUP(B556,Listas!$C$4:$F$17,2,0),IF(F556="DOS BOCAS",VLOOKUP(B556,Listas!$C$4:$F$17,3,0),IF(F556="GLENCORE",VLOOKUP(B556,Listas!$C$4:$F$17,4,0),"Seleccione TAR"))),"-")</f>
        <v>Seleccione TAR</v>
      </c>
      <c r="M556" s="19" t="str">
        <f>+IFERROR(IF(G556="Regular",VLOOKUP(C556,'DESCUENTO PROVEEDORES'!$B$4:$E$35,2,0),IF(G556="Premium",VLOOKUP(C556,'DESCUENTO PROVEEDORES'!$B$4:$E$35,3,0),IF(G556="Diesel",VLOOKUP(C556,'DESCUENTO PROVEEDORES'!$B$4:$E$35,4,0),"Seleccione Proveedor"))),"-")</f>
        <v>Seleccione Proveedor</v>
      </c>
      <c r="N556" s="20" t="e">
        <f>((((K556-H556)/1.16)-M556))</f>
        <v>#VALUE!</v>
      </c>
      <c r="O556" s="21" t="e">
        <f>((N556*16%)+N556)+H556+L556</f>
        <v>#VALUE!</v>
      </c>
      <c r="P556" s="21" t="e">
        <f>(((J556-O556)-H556)/1.16)+H556</f>
        <v>#VALUE!</v>
      </c>
      <c r="Q556" s="44"/>
      <c r="R556" s="24"/>
      <c r="S556" s="23" t="e">
        <f t="shared" si="27"/>
        <v>#DIV/0!</v>
      </c>
      <c r="T556" s="23" t="e">
        <f t="shared" si="28"/>
        <v>#DIV/0!</v>
      </c>
      <c r="U556" s="22" t="e">
        <f t="shared" si="29"/>
        <v>#DIV/0!</v>
      </c>
      <c r="V556" s="44"/>
      <c r="W556" s="44"/>
      <c r="X556" s="44"/>
      <c r="Y556" s="44"/>
      <c r="Z556" s="44"/>
    </row>
    <row r="557" spans="1:26" ht="15.75" customHeight="1">
      <c r="A557" s="44"/>
      <c r="B557" s="14"/>
      <c r="C557" s="53"/>
      <c r="D557" s="15"/>
      <c r="E557" s="89"/>
      <c r="F557" s="16"/>
      <c r="G557" s="16"/>
      <c r="H557" s="90" t="str">
        <f>IF(G557="Regular",Listas!$K$16,IF(G557="Premium",Listas!$K$17,IF(G557="Diesel",Listas!$K$18,"-")))</f>
        <v>-</v>
      </c>
      <c r="I557" s="17"/>
      <c r="J557" s="18"/>
      <c r="K557" s="19" t="str">
        <f>+IFERROR(IF(G557="Regular",VLOOKUP(C557,'PRECIO TERMINAL PEMEX'!$B$4:$E$35,2,0),IF(G557="Premium",VLOOKUP(C557,'PRECIO TERMINAL PEMEX'!$B$4:$E$35,3,0),IF(G557="Diesel",VLOOKUP(C557,'PRECIO TERMINAL PEMEX'!$B$4:$E$35,4,0),"Seleccione Producto"))),"-")</f>
        <v>Seleccione Producto</v>
      </c>
      <c r="L557" s="93" t="str">
        <f>+IFERROR(IF(F557="VHSA",VLOOKUP(B557,Listas!$C$4:$F$17,2,0),IF(F557="DOS BOCAS",VLOOKUP(B557,Listas!$C$4:$F$17,3,0),IF(F557="GLENCORE",VLOOKUP(B557,Listas!$C$4:$F$17,4,0),"Seleccione TAR"))),"-")</f>
        <v>Seleccione TAR</v>
      </c>
      <c r="M557" s="19" t="str">
        <f>+IFERROR(IF(G557="Regular",VLOOKUP(C557,'DESCUENTO PROVEEDORES'!$B$4:$E$35,2,0),IF(G557="Premium",VLOOKUP(C557,'DESCUENTO PROVEEDORES'!$B$4:$E$35,3,0),IF(G557="Diesel",VLOOKUP(C557,'DESCUENTO PROVEEDORES'!$B$4:$E$35,4,0),"Seleccione Proveedor"))),"-")</f>
        <v>Seleccione Proveedor</v>
      </c>
      <c r="N557" s="20" t="e">
        <f>((((K557-H557)/1.16)-M557))</f>
        <v>#VALUE!</v>
      </c>
      <c r="O557" s="21" t="e">
        <f>((N557*16%)+N557)+H557+L557</f>
        <v>#VALUE!</v>
      </c>
      <c r="P557" s="21" t="e">
        <f>(((J557-O557)-H557)/1.16)+H557</f>
        <v>#VALUE!</v>
      </c>
      <c r="Q557" s="44"/>
      <c r="R557" s="24"/>
      <c r="S557" s="23" t="e">
        <f t="shared" si="27"/>
        <v>#DIV/0!</v>
      </c>
      <c r="T557" s="23" t="e">
        <f t="shared" si="28"/>
        <v>#DIV/0!</v>
      </c>
      <c r="U557" s="22" t="e">
        <f t="shared" si="29"/>
        <v>#DIV/0!</v>
      </c>
      <c r="V557" s="44"/>
      <c r="W557" s="44"/>
      <c r="X557" s="44"/>
      <c r="Y557" s="44"/>
      <c r="Z557" s="44"/>
    </row>
    <row r="558" spans="1:26" ht="15.75" customHeight="1">
      <c r="A558" s="44"/>
      <c r="B558" s="14"/>
      <c r="C558" s="53"/>
      <c r="D558" s="15"/>
      <c r="E558" s="89"/>
      <c r="F558" s="16"/>
      <c r="G558" s="16"/>
      <c r="H558" s="90" t="str">
        <f>IF(G558="Regular",Listas!$K$16,IF(G558="Premium",Listas!$K$17,IF(G558="Diesel",Listas!$K$18,"-")))</f>
        <v>-</v>
      </c>
      <c r="I558" s="17"/>
      <c r="J558" s="18"/>
      <c r="K558" s="19" t="str">
        <f>+IFERROR(IF(G558="Regular",VLOOKUP(C558,'PRECIO TERMINAL PEMEX'!$B$4:$E$35,2,0),IF(G558="Premium",VLOOKUP(C558,'PRECIO TERMINAL PEMEX'!$B$4:$E$35,3,0),IF(G558="Diesel",VLOOKUP(C558,'PRECIO TERMINAL PEMEX'!$B$4:$E$35,4,0),"Seleccione Producto"))),"-")</f>
        <v>Seleccione Producto</v>
      </c>
      <c r="L558" s="93" t="str">
        <f>+IFERROR(IF(F558="VHSA",VLOOKUP(B558,Listas!$C$4:$F$17,2,0),IF(F558="DOS BOCAS",VLOOKUP(B558,Listas!$C$4:$F$17,3,0),IF(F558="GLENCORE",VLOOKUP(B558,Listas!$C$4:$F$17,4,0),"Seleccione TAR"))),"-")</f>
        <v>Seleccione TAR</v>
      </c>
      <c r="M558" s="19" t="str">
        <f>+IFERROR(IF(G558="Regular",VLOOKUP(C558,'DESCUENTO PROVEEDORES'!$B$4:$E$35,2,0),IF(G558="Premium",VLOOKUP(C558,'DESCUENTO PROVEEDORES'!$B$4:$E$35,3,0),IF(G558="Diesel",VLOOKUP(C558,'DESCUENTO PROVEEDORES'!$B$4:$E$35,4,0),"Seleccione Proveedor"))),"-")</f>
        <v>Seleccione Proveedor</v>
      </c>
      <c r="N558" s="20" t="e">
        <f>((((K558-H558)/1.16)-M558))</f>
        <v>#VALUE!</v>
      </c>
      <c r="O558" s="21" t="e">
        <f>((N558*16%)+N558)+H558+L558</f>
        <v>#VALUE!</v>
      </c>
      <c r="P558" s="21" t="e">
        <f>(((J558-O558)-H558)/1.16)+H558</f>
        <v>#VALUE!</v>
      </c>
      <c r="Q558" s="44"/>
      <c r="R558" s="24"/>
      <c r="S558" s="23" t="e">
        <f t="shared" si="27"/>
        <v>#DIV/0!</v>
      </c>
      <c r="T558" s="23" t="e">
        <f t="shared" si="28"/>
        <v>#DIV/0!</v>
      </c>
      <c r="U558" s="22" t="e">
        <f t="shared" si="29"/>
        <v>#DIV/0!</v>
      </c>
      <c r="V558" s="44"/>
      <c r="W558" s="44"/>
      <c r="X558" s="44"/>
      <c r="Y558" s="44"/>
      <c r="Z558" s="44"/>
    </row>
    <row r="559" spans="1:26" ht="15.75" customHeight="1">
      <c r="A559" s="44"/>
      <c r="B559" s="14"/>
      <c r="C559" s="53"/>
      <c r="D559" s="15"/>
      <c r="E559" s="89"/>
      <c r="F559" s="16"/>
      <c r="G559" s="16"/>
      <c r="H559" s="90" t="str">
        <f>IF(G559="Regular",Listas!$K$16,IF(G559="Premium",Listas!$K$17,IF(G559="Diesel",Listas!$K$18,"-")))</f>
        <v>-</v>
      </c>
      <c r="I559" s="17"/>
      <c r="J559" s="18"/>
      <c r="K559" s="19" t="str">
        <f>+IFERROR(IF(G559="Regular",VLOOKUP(C559,'PRECIO TERMINAL PEMEX'!$B$4:$E$35,2,0),IF(G559="Premium",VLOOKUP(C559,'PRECIO TERMINAL PEMEX'!$B$4:$E$35,3,0),IF(G559="Diesel",VLOOKUP(C559,'PRECIO TERMINAL PEMEX'!$B$4:$E$35,4,0),"Seleccione Producto"))),"-")</f>
        <v>Seleccione Producto</v>
      </c>
      <c r="L559" s="93" t="str">
        <f>+IFERROR(IF(F559="VHSA",VLOOKUP(B559,Listas!$C$4:$F$17,2,0),IF(F559="DOS BOCAS",VLOOKUP(B559,Listas!$C$4:$F$17,3,0),IF(F559="GLENCORE",VLOOKUP(B559,Listas!$C$4:$F$17,4,0),"Seleccione TAR"))),"-")</f>
        <v>Seleccione TAR</v>
      </c>
      <c r="M559" s="19" t="str">
        <f>+IFERROR(IF(G559="Regular",VLOOKUP(C559,'DESCUENTO PROVEEDORES'!$B$4:$E$35,2,0),IF(G559="Premium",VLOOKUP(C559,'DESCUENTO PROVEEDORES'!$B$4:$E$35,3,0),IF(G559="Diesel",VLOOKUP(C559,'DESCUENTO PROVEEDORES'!$B$4:$E$35,4,0),"Seleccione Proveedor"))),"-")</f>
        <v>Seleccione Proveedor</v>
      </c>
      <c r="N559" s="20" t="e">
        <f>((((K559-H559)/1.16)-M559))</f>
        <v>#VALUE!</v>
      </c>
      <c r="O559" s="21" t="e">
        <f>((N559*16%)+N559)+H559+L559</f>
        <v>#VALUE!</v>
      </c>
      <c r="P559" s="21" t="e">
        <f>(((J559-O559)-H559)/1.16)+H559</f>
        <v>#VALUE!</v>
      </c>
      <c r="Q559" s="44"/>
      <c r="R559" s="24"/>
      <c r="S559" s="23" t="e">
        <f t="shared" si="27"/>
        <v>#DIV/0!</v>
      </c>
      <c r="T559" s="23" t="e">
        <f t="shared" si="28"/>
        <v>#DIV/0!</v>
      </c>
      <c r="U559" s="22" t="e">
        <f t="shared" si="29"/>
        <v>#DIV/0!</v>
      </c>
      <c r="V559" s="44"/>
      <c r="W559" s="44"/>
      <c r="X559" s="44"/>
      <c r="Y559" s="44"/>
      <c r="Z559" s="44"/>
    </row>
    <row r="560" spans="1:26" ht="15.75" customHeight="1">
      <c r="A560" s="44"/>
      <c r="B560" s="14"/>
      <c r="C560" s="53"/>
      <c r="D560" s="15"/>
      <c r="E560" s="89"/>
      <c r="F560" s="16"/>
      <c r="G560" s="16"/>
      <c r="H560" s="90" t="str">
        <f>IF(G560="Regular",Listas!$K$16,IF(G560="Premium",Listas!$K$17,IF(G560="Diesel",Listas!$K$18,"-")))</f>
        <v>-</v>
      </c>
      <c r="I560" s="17"/>
      <c r="J560" s="18"/>
      <c r="K560" s="19" t="str">
        <f>+IFERROR(IF(G560="Regular",VLOOKUP(C560,'PRECIO TERMINAL PEMEX'!$B$4:$E$35,2,0),IF(G560="Premium",VLOOKUP(C560,'PRECIO TERMINAL PEMEX'!$B$4:$E$35,3,0),IF(G560="Diesel",VLOOKUP(C560,'PRECIO TERMINAL PEMEX'!$B$4:$E$35,4,0),"Seleccione Producto"))),"-")</f>
        <v>Seleccione Producto</v>
      </c>
      <c r="L560" s="93" t="str">
        <f>+IFERROR(IF(F560="VHSA",VLOOKUP(B560,Listas!$C$4:$F$17,2,0),IF(F560="DOS BOCAS",VLOOKUP(B560,Listas!$C$4:$F$17,3,0),IF(F560="GLENCORE",VLOOKUP(B560,Listas!$C$4:$F$17,4,0),"Seleccione TAR"))),"-")</f>
        <v>Seleccione TAR</v>
      </c>
      <c r="M560" s="19" t="str">
        <f>+IFERROR(IF(G560="Regular",VLOOKUP(C560,'DESCUENTO PROVEEDORES'!$B$4:$E$35,2,0),IF(G560="Premium",VLOOKUP(C560,'DESCUENTO PROVEEDORES'!$B$4:$E$35,3,0),IF(G560="Diesel",VLOOKUP(C560,'DESCUENTO PROVEEDORES'!$B$4:$E$35,4,0),"Seleccione Proveedor"))),"-")</f>
        <v>Seleccione Proveedor</v>
      </c>
      <c r="N560" s="20" t="e">
        <f>((((K560-H560)/1.16)-M560))</f>
        <v>#VALUE!</v>
      </c>
      <c r="O560" s="21" t="e">
        <f>((N560*16%)+N560)+H560+L560</f>
        <v>#VALUE!</v>
      </c>
      <c r="P560" s="21" t="e">
        <f>(((J560-O560)-H560)/1.16)+H560</f>
        <v>#VALUE!</v>
      </c>
      <c r="Q560" s="44"/>
      <c r="R560" s="24"/>
      <c r="S560" s="23" t="e">
        <f t="shared" si="27"/>
        <v>#DIV/0!</v>
      </c>
      <c r="T560" s="23" t="e">
        <f t="shared" si="28"/>
        <v>#DIV/0!</v>
      </c>
      <c r="U560" s="22" t="e">
        <f t="shared" si="29"/>
        <v>#DIV/0!</v>
      </c>
      <c r="V560" s="44"/>
      <c r="W560" s="44"/>
      <c r="X560" s="44"/>
      <c r="Y560" s="44"/>
      <c r="Z560" s="44"/>
    </row>
    <row r="561" spans="1:26" ht="15.75" customHeight="1">
      <c r="A561" s="44"/>
      <c r="B561" s="14"/>
      <c r="C561" s="53"/>
      <c r="D561" s="15"/>
      <c r="E561" s="89"/>
      <c r="F561" s="16"/>
      <c r="G561" s="16"/>
      <c r="H561" s="90" t="str">
        <f>IF(G561="Regular",Listas!$K$16,IF(G561="Premium",Listas!$K$17,IF(G561="Diesel",Listas!$K$18,"-")))</f>
        <v>-</v>
      </c>
      <c r="I561" s="17"/>
      <c r="J561" s="18"/>
      <c r="K561" s="19" t="str">
        <f>+IFERROR(IF(G561="Regular",VLOOKUP(C561,'PRECIO TERMINAL PEMEX'!$B$4:$E$35,2,0),IF(G561="Premium",VLOOKUP(C561,'PRECIO TERMINAL PEMEX'!$B$4:$E$35,3,0),IF(G561="Diesel",VLOOKUP(C561,'PRECIO TERMINAL PEMEX'!$B$4:$E$35,4,0),"Seleccione Producto"))),"-")</f>
        <v>Seleccione Producto</v>
      </c>
      <c r="L561" s="93" t="str">
        <f>+IFERROR(IF(F561="VHSA",VLOOKUP(B561,Listas!$C$4:$F$17,2,0),IF(F561="DOS BOCAS",VLOOKUP(B561,Listas!$C$4:$F$17,3,0),IF(F561="GLENCORE",VLOOKUP(B561,Listas!$C$4:$F$17,4,0),"Seleccione TAR"))),"-")</f>
        <v>Seleccione TAR</v>
      </c>
      <c r="M561" s="19" t="str">
        <f>+IFERROR(IF(G561="Regular",VLOOKUP(C561,'DESCUENTO PROVEEDORES'!$B$4:$E$35,2,0),IF(G561="Premium",VLOOKUP(C561,'DESCUENTO PROVEEDORES'!$B$4:$E$35,3,0),IF(G561="Diesel",VLOOKUP(C561,'DESCUENTO PROVEEDORES'!$B$4:$E$35,4,0),"Seleccione Proveedor"))),"-")</f>
        <v>Seleccione Proveedor</v>
      </c>
      <c r="N561" s="20" t="e">
        <f>((((K561-H561)/1.16)-M561))</f>
        <v>#VALUE!</v>
      </c>
      <c r="O561" s="21" t="e">
        <f>((N561*16%)+N561)+H561+L561</f>
        <v>#VALUE!</v>
      </c>
      <c r="P561" s="21" t="e">
        <f>(((J561-O561)-H561)/1.16)+H561</f>
        <v>#VALUE!</v>
      </c>
      <c r="Q561" s="44"/>
      <c r="R561" s="24"/>
      <c r="S561" s="23" t="e">
        <f t="shared" si="27"/>
        <v>#DIV/0!</v>
      </c>
      <c r="T561" s="23" t="e">
        <f t="shared" si="28"/>
        <v>#DIV/0!</v>
      </c>
      <c r="U561" s="22" t="e">
        <f t="shared" si="29"/>
        <v>#DIV/0!</v>
      </c>
      <c r="V561" s="44"/>
      <c r="W561" s="44"/>
      <c r="X561" s="44"/>
      <c r="Y561" s="44"/>
      <c r="Z561" s="44"/>
    </row>
    <row r="562" spans="1:26" ht="15.75" customHeight="1">
      <c r="A562" s="44"/>
      <c r="B562" s="14"/>
      <c r="C562" s="53"/>
      <c r="D562" s="15"/>
      <c r="E562" s="89"/>
      <c r="F562" s="16"/>
      <c r="G562" s="16"/>
      <c r="H562" s="90" t="str">
        <f>IF(G562="Regular",Listas!$K$16,IF(G562="Premium",Listas!$K$17,IF(G562="Diesel",Listas!$K$18,"-")))</f>
        <v>-</v>
      </c>
      <c r="I562" s="17"/>
      <c r="J562" s="18"/>
      <c r="K562" s="19" t="str">
        <f>+IFERROR(IF(G562="Regular",VLOOKUP(C562,'PRECIO TERMINAL PEMEX'!$B$4:$E$35,2,0),IF(G562="Premium",VLOOKUP(C562,'PRECIO TERMINAL PEMEX'!$B$4:$E$35,3,0),IF(G562="Diesel",VLOOKUP(C562,'PRECIO TERMINAL PEMEX'!$B$4:$E$35,4,0),"Seleccione Producto"))),"-")</f>
        <v>Seleccione Producto</v>
      </c>
      <c r="L562" s="93" t="str">
        <f>+IFERROR(IF(F562="VHSA",VLOOKUP(B562,Listas!$C$4:$F$17,2,0),IF(F562="DOS BOCAS",VLOOKUP(B562,Listas!$C$4:$F$17,3,0),IF(F562="GLENCORE",VLOOKUP(B562,Listas!$C$4:$F$17,4,0),"Seleccione TAR"))),"-")</f>
        <v>Seleccione TAR</v>
      </c>
      <c r="M562" s="19" t="str">
        <f>+IFERROR(IF(G562="Regular",VLOOKUP(C562,'DESCUENTO PROVEEDORES'!$B$4:$E$35,2,0),IF(G562="Premium",VLOOKUP(C562,'DESCUENTO PROVEEDORES'!$B$4:$E$35,3,0),IF(G562="Diesel",VLOOKUP(C562,'DESCUENTO PROVEEDORES'!$B$4:$E$35,4,0),"Seleccione Proveedor"))),"-")</f>
        <v>Seleccione Proveedor</v>
      </c>
      <c r="N562" s="20" t="e">
        <f>((((K562-H562)/1.16)-M562))</f>
        <v>#VALUE!</v>
      </c>
      <c r="O562" s="21" t="e">
        <f>((N562*16%)+N562)+H562+L562</f>
        <v>#VALUE!</v>
      </c>
      <c r="P562" s="21" t="e">
        <f>(((J562-O562)-H562)/1.16)+H562</f>
        <v>#VALUE!</v>
      </c>
      <c r="Q562" s="44"/>
      <c r="R562" s="24"/>
      <c r="S562" s="23" t="e">
        <f t="shared" si="27"/>
        <v>#DIV/0!</v>
      </c>
      <c r="T562" s="23" t="e">
        <f t="shared" si="28"/>
        <v>#DIV/0!</v>
      </c>
      <c r="U562" s="22" t="e">
        <f t="shared" si="29"/>
        <v>#DIV/0!</v>
      </c>
      <c r="V562" s="44"/>
      <c r="W562" s="44"/>
      <c r="X562" s="44"/>
      <c r="Y562" s="44"/>
      <c r="Z562" s="44"/>
    </row>
    <row r="563" spans="1:26" ht="15.75" customHeight="1">
      <c r="A563" s="44"/>
      <c r="B563" s="14"/>
      <c r="C563" s="53"/>
      <c r="D563" s="15"/>
      <c r="E563" s="89"/>
      <c r="F563" s="16"/>
      <c r="G563" s="16"/>
      <c r="H563" s="90" t="str">
        <f>IF(G563="Regular",Listas!$K$16,IF(G563="Premium",Listas!$K$17,IF(G563="Diesel",Listas!$K$18,"-")))</f>
        <v>-</v>
      </c>
      <c r="I563" s="17"/>
      <c r="J563" s="18"/>
      <c r="K563" s="19" t="str">
        <f>+IFERROR(IF(G563="Regular",VLOOKUP(C563,'PRECIO TERMINAL PEMEX'!$B$4:$E$35,2,0),IF(G563="Premium",VLOOKUP(C563,'PRECIO TERMINAL PEMEX'!$B$4:$E$35,3,0),IF(G563="Diesel",VLOOKUP(C563,'PRECIO TERMINAL PEMEX'!$B$4:$E$35,4,0),"Seleccione Producto"))),"-")</f>
        <v>Seleccione Producto</v>
      </c>
      <c r="L563" s="93" t="str">
        <f>+IFERROR(IF(F563="VHSA",VLOOKUP(B563,Listas!$C$4:$F$17,2,0),IF(F563="DOS BOCAS",VLOOKUP(B563,Listas!$C$4:$F$17,3,0),IF(F563="GLENCORE",VLOOKUP(B563,Listas!$C$4:$F$17,4,0),"Seleccione TAR"))),"-")</f>
        <v>Seleccione TAR</v>
      </c>
      <c r="M563" s="19" t="str">
        <f>+IFERROR(IF(G563="Regular",VLOOKUP(C563,'DESCUENTO PROVEEDORES'!$B$4:$E$35,2,0),IF(G563="Premium",VLOOKUP(C563,'DESCUENTO PROVEEDORES'!$B$4:$E$35,3,0),IF(G563="Diesel",VLOOKUP(C563,'DESCUENTO PROVEEDORES'!$B$4:$E$35,4,0),"Seleccione Proveedor"))),"-")</f>
        <v>Seleccione Proveedor</v>
      </c>
      <c r="N563" s="20" t="e">
        <f>((((K563-H563)/1.16)-M563))</f>
        <v>#VALUE!</v>
      </c>
      <c r="O563" s="21" t="e">
        <f>((N563*16%)+N563)+H563+L563</f>
        <v>#VALUE!</v>
      </c>
      <c r="P563" s="21" t="e">
        <f>(((J563-O563)-H563)/1.16)+H563</f>
        <v>#VALUE!</v>
      </c>
      <c r="Q563" s="44"/>
      <c r="R563" s="24"/>
      <c r="S563" s="23" t="e">
        <f t="shared" si="27"/>
        <v>#DIV/0!</v>
      </c>
      <c r="T563" s="23" t="e">
        <f t="shared" si="28"/>
        <v>#DIV/0!</v>
      </c>
      <c r="U563" s="22" t="e">
        <f t="shared" si="29"/>
        <v>#DIV/0!</v>
      </c>
      <c r="V563" s="44"/>
      <c r="W563" s="44"/>
      <c r="X563" s="44"/>
      <c r="Y563" s="44"/>
      <c r="Z563" s="44"/>
    </row>
    <row r="564" spans="1:26" ht="15.75" customHeight="1">
      <c r="A564" s="44"/>
      <c r="B564" s="14"/>
      <c r="C564" s="53"/>
      <c r="D564" s="15"/>
      <c r="E564" s="89"/>
      <c r="F564" s="16"/>
      <c r="G564" s="16"/>
      <c r="H564" s="90" t="str">
        <f>IF(G564="Regular",Listas!$K$16,IF(G564="Premium",Listas!$K$17,IF(G564="Diesel",Listas!$K$18,"-")))</f>
        <v>-</v>
      </c>
      <c r="I564" s="17"/>
      <c r="J564" s="18"/>
      <c r="K564" s="19" t="str">
        <f>+IFERROR(IF(G564="Regular",VLOOKUP(C564,'PRECIO TERMINAL PEMEX'!$B$4:$E$35,2,0),IF(G564="Premium",VLOOKUP(C564,'PRECIO TERMINAL PEMEX'!$B$4:$E$35,3,0),IF(G564="Diesel",VLOOKUP(C564,'PRECIO TERMINAL PEMEX'!$B$4:$E$35,4,0),"Seleccione Producto"))),"-")</f>
        <v>Seleccione Producto</v>
      </c>
      <c r="L564" s="93" t="str">
        <f>+IFERROR(IF(F564="VHSA",VLOOKUP(B564,Listas!$C$4:$F$17,2,0),IF(F564="DOS BOCAS",VLOOKUP(B564,Listas!$C$4:$F$17,3,0),IF(F564="GLENCORE",VLOOKUP(B564,Listas!$C$4:$F$17,4,0),"Seleccione TAR"))),"-")</f>
        <v>Seleccione TAR</v>
      </c>
      <c r="M564" s="19" t="str">
        <f>+IFERROR(IF(G564="Regular",VLOOKUP(C564,'DESCUENTO PROVEEDORES'!$B$4:$E$35,2,0),IF(G564="Premium",VLOOKUP(C564,'DESCUENTO PROVEEDORES'!$B$4:$E$35,3,0),IF(G564="Diesel",VLOOKUP(C564,'DESCUENTO PROVEEDORES'!$B$4:$E$35,4,0),"Seleccione Proveedor"))),"-")</f>
        <v>Seleccione Proveedor</v>
      </c>
      <c r="N564" s="20" t="e">
        <f>((((K564-H564)/1.16)-M564))</f>
        <v>#VALUE!</v>
      </c>
      <c r="O564" s="21" t="e">
        <f>((N564*16%)+N564)+H564+L564</f>
        <v>#VALUE!</v>
      </c>
      <c r="P564" s="21" t="e">
        <f>(((J564-O564)-H564)/1.16)+H564</f>
        <v>#VALUE!</v>
      </c>
      <c r="Q564" s="44"/>
      <c r="R564" s="24"/>
      <c r="S564" s="23" t="e">
        <f t="shared" si="27"/>
        <v>#DIV/0!</v>
      </c>
      <c r="T564" s="23" t="e">
        <f t="shared" si="28"/>
        <v>#DIV/0!</v>
      </c>
      <c r="U564" s="22" t="e">
        <f t="shared" si="29"/>
        <v>#DIV/0!</v>
      </c>
      <c r="V564" s="44"/>
      <c r="W564" s="44"/>
      <c r="X564" s="44"/>
      <c r="Y564" s="44"/>
      <c r="Z564" s="44"/>
    </row>
    <row r="565" spans="1:26" ht="15.75" customHeight="1">
      <c r="A565" s="44"/>
      <c r="B565" s="14"/>
      <c r="C565" s="53"/>
      <c r="D565" s="15"/>
      <c r="E565" s="89"/>
      <c r="F565" s="16"/>
      <c r="G565" s="16"/>
      <c r="H565" s="90" t="str">
        <f>IF(G565="Regular",Listas!$K$16,IF(G565="Premium",Listas!$K$17,IF(G565="Diesel",Listas!$K$18,"-")))</f>
        <v>-</v>
      </c>
      <c r="I565" s="17"/>
      <c r="J565" s="18"/>
      <c r="K565" s="19" t="str">
        <f>+IFERROR(IF(G565="Regular",VLOOKUP(C565,'PRECIO TERMINAL PEMEX'!$B$4:$E$35,2,0),IF(G565="Premium",VLOOKUP(C565,'PRECIO TERMINAL PEMEX'!$B$4:$E$35,3,0),IF(G565="Diesel",VLOOKUP(C565,'PRECIO TERMINAL PEMEX'!$B$4:$E$35,4,0),"Seleccione Producto"))),"-")</f>
        <v>Seleccione Producto</v>
      </c>
      <c r="L565" s="93" t="str">
        <f>+IFERROR(IF(F565="VHSA",VLOOKUP(B565,Listas!$C$4:$F$17,2,0),IF(F565="DOS BOCAS",VLOOKUP(B565,Listas!$C$4:$F$17,3,0),IF(F565="GLENCORE",VLOOKUP(B565,Listas!$C$4:$F$17,4,0),"Seleccione TAR"))),"-")</f>
        <v>Seleccione TAR</v>
      </c>
      <c r="M565" s="19" t="str">
        <f>+IFERROR(IF(G565="Regular",VLOOKUP(C565,'DESCUENTO PROVEEDORES'!$B$4:$E$35,2,0),IF(G565="Premium",VLOOKUP(C565,'DESCUENTO PROVEEDORES'!$B$4:$E$35,3,0),IF(G565="Diesel",VLOOKUP(C565,'DESCUENTO PROVEEDORES'!$B$4:$E$35,4,0),"Seleccione Proveedor"))),"-")</f>
        <v>Seleccione Proveedor</v>
      </c>
      <c r="N565" s="20" t="e">
        <f>((((K565-H565)/1.16)-M565))</f>
        <v>#VALUE!</v>
      </c>
      <c r="O565" s="21" t="e">
        <f>((N565*16%)+N565)+H565+L565</f>
        <v>#VALUE!</v>
      </c>
      <c r="P565" s="21" t="e">
        <f>(((J565-O565)-H565)/1.16)+H565</f>
        <v>#VALUE!</v>
      </c>
      <c r="Q565" s="44"/>
      <c r="R565" s="24"/>
      <c r="S565" s="23" t="e">
        <f t="shared" si="27"/>
        <v>#DIV/0!</v>
      </c>
      <c r="T565" s="23" t="e">
        <f t="shared" si="28"/>
        <v>#DIV/0!</v>
      </c>
      <c r="U565" s="22" t="e">
        <f t="shared" si="29"/>
        <v>#DIV/0!</v>
      </c>
      <c r="V565" s="44"/>
      <c r="W565" s="44"/>
      <c r="X565" s="44"/>
      <c r="Y565" s="44"/>
      <c r="Z565" s="44"/>
    </row>
    <row r="566" spans="1:26" ht="15.75" customHeight="1">
      <c r="A566" s="44"/>
      <c r="B566" s="14"/>
      <c r="C566" s="53"/>
      <c r="D566" s="15"/>
      <c r="E566" s="89"/>
      <c r="F566" s="16"/>
      <c r="G566" s="16"/>
      <c r="H566" s="90" t="str">
        <f>IF(G566="Regular",Listas!$K$16,IF(G566="Premium",Listas!$K$17,IF(G566="Diesel",Listas!$K$18,"-")))</f>
        <v>-</v>
      </c>
      <c r="I566" s="17"/>
      <c r="J566" s="18"/>
      <c r="K566" s="19" t="str">
        <f>+IFERROR(IF(G566="Regular",VLOOKUP(C566,'PRECIO TERMINAL PEMEX'!$B$4:$E$35,2,0),IF(G566="Premium",VLOOKUP(C566,'PRECIO TERMINAL PEMEX'!$B$4:$E$35,3,0),IF(G566="Diesel",VLOOKUP(C566,'PRECIO TERMINAL PEMEX'!$B$4:$E$35,4,0),"Seleccione Producto"))),"-")</f>
        <v>Seleccione Producto</v>
      </c>
      <c r="L566" s="93" t="str">
        <f>+IFERROR(IF(F566="VHSA",VLOOKUP(B566,Listas!$C$4:$F$17,2,0),IF(F566="DOS BOCAS",VLOOKUP(B566,Listas!$C$4:$F$17,3,0),IF(F566="GLENCORE",VLOOKUP(B566,Listas!$C$4:$F$17,4,0),"Seleccione TAR"))),"-")</f>
        <v>Seleccione TAR</v>
      </c>
      <c r="M566" s="19" t="str">
        <f>+IFERROR(IF(G566="Regular",VLOOKUP(C566,'DESCUENTO PROVEEDORES'!$B$4:$E$35,2,0),IF(G566="Premium",VLOOKUP(C566,'DESCUENTO PROVEEDORES'!$B$4:$E$35,3,0),IF(G566="Diesel",VLOOKUP(C566,'DESCUENTO PROVEEDORES'!$B$4:$E$35,4,0),"Seleccione Proveedor"))),"-")</f>
        <v>Seleccione Proveedor</v>
      </c>
      <c r="N566" s="20" t="e">
        <f>((((K566-H566)/1.16)-M566))</f>
        <v>#VALUE!</v>
      </c>
      <c r="O566" s="21" t="e">
        <f>((N566*16%)+N566)+H566+L566</f>
        <v>#VALUE!</v>
      </c>
      <c r="P566" s="21" t="e">
        <f>(((J566-O566)-H566)/1.16)+H566</f>
        <v>#VALUE!</v>
      </c>
      <c r="Q566" s="44"/>
      <c r="R566" s="24"/>
      <c r="S566" s="23" t="e">
        <f t="shared" si="27"/>
        <v>#DIV/0!</v>
      </c>
      <c r="T566" s="23" t="e">
        <f t="shared" si="28"/>
        <v>#DIV/0!</v>
      </c>
      <c r="U566" s="22" t="e">
        <f t="shared" si="29"/>
        <v>#DIV/0!</v>
      </c>
      <c r="V566" s="44"/>
      <c r="W566" s="44"/>
      <c r="X566" s="44"/>
      <c r="Y566" s="44"/>
      <c r="Z566" s="44"/>
    </row>
    <row r="567" spans="1:26" ht="15.75" customHeight="1">
      <c r="A567" s="44"/>
      <c r="B567" s="14"/>
      <c r="C567" s="53"/>
      <c r="D567" s="15"/>
      <c r="E567" s="89"/>
      <c r="F567" s="16"/>
      <c r="G567" s="16"/>
      <c r="H567" s="90" t="str">
        <f>IF(G567="Regular",Listas!$K$16,IF(G567="Premium",Listas!$K$17,IF(G567="Diesel",Listas!$K$18,"-")))</f>
        <v>-</v>
      </c>
      <c r="I567" s="17"/>
      <c r="J567" s="18"/>
      <c r="K567" s="19" t="str">
        <f>+IFERROR(IF(G567="Regular",VLOOKUP(C567,'PRECIO TERMINAL PEMEX'!$B$4:$E$35,2,0),IF(G567="Premium",VLOOKUP(C567,'PRECIO TERMINAL PEMEX'!$B$4:$E$35,3,0),IF(G567="Diesel",VLOOKUP(C567,'PRECIO TERMINAL PEMEX'!$B$4:$E$35,4,0),"Seleccione Producto"))),"-")</f>
        <v>Seleccione Producto</v>
      </c>
      <c r="L567" s="93" t="str">
        <f>+IFERROR(IF(F567="VHSA",VLOOKUP(B567,Listas!$C$4:$F$17,2,0),IF(F567="DOS BOCAS",VLOOKUP(B567,Listas!$C$4:$F$17,3,0),IF(F567="GLENCORE",VLOOKUP(B567,Listas!$C$4:$F$17,4,0),"Seleccione TAR"))),"-")</f>
        <v>Seleccione TAR</v>
      </c>
      <c r="M567" s="19" t="str">
        <f>+IFERROR(IF(G567="Regular",VLOOKUP(C567,'DESCUENTO PROVEEDORES'!$B$4:$E$35,2,0),IF(G567="Premium",VLOOKUP(C567,'DESCUENTO PROVEEDORES'!$B$4:$E$35,3,0),IF(G567="Diesel",VLOOKUP(C567,'DESCUENTO PROVEEDORES'!$B$4:$E$35,4,0),"Seleccione Proveedor"))),"-")</f>
        <v>Seleccione Proveedor</v>
      </c>
      <c r="N567" s="20" t="e">
        <f>((((K567-H567)/1.16)-M567))</f>
        <v>#VALUE!</v>
      </c>
      <c r="O567" s="21" t="e">
        <f>((N567*16%)+N567)+H567+L567</f>
        <v>#VALUE!</v>
      </c>
      <c r="P567" s="21" t="e">
        <f>(((J567-O567)-H567)/1.16)+H567</f>
        <v>#VALUE!</v>
      </c>
      <c r="Q567" s="44"/>
      <c r="R567" s="24"/>
      <c r="S567" s="23" t="e">
        <f t="shared" si="27"/>
        <v>#DIV/0!</v>
      </c>
      <c r="T567" s="23" t="e">
        <f t="shared" si="28"/>
        <v>#DIV/0!</v>
      </c>
      <c r="U567" s="22" t="e">
        <f t="shared" si="29"/>
        <v>#DIV/0!</v>
      </c>
      <c r="V567" s="44"/>
      <c r="W567" s="44"/>
      <c r="X567" s="44"/>
      <c r="Y567" s="44"/>
      <c r="Z567" s="44"/>
    </row>
    <row r="568" spans="1:26" ht="15.75" customHeight="1">
      <c r="A568" s="44"/>
      <c r="B568" s="14"/>
      <c r="C568" s="53"/>
      <c r="D568" s="15"/>
      <c r="E568" s="89"/>
      <c r="F568" s="16"/>
      <c r="G568" s="16"/>
      <c r="H568" s="90" t="str">
        <f>IF(G568="Regular",Listas!$K$16,IF(G568="Premium",Listas!$K$17,IF(G568="Diesel",Listas!$K$18,"-")))</f>
        <v>-</v>
      </c>
      <c r="I568" s="17"/>
      <c r="J568" s="18"/>
      <c r="K568" s="19" t="str">
        <f>+IFERROR(IF(G568="Regular",VLOOKUP(C568,'PRECIO TERMINAL PEMEX'!$B$4:$E$35,2,0),IF(G568="Premium",VLOOKUP(C568,'PRECIO TERMINAL PEMEX'!$B$4:$E$35,3,0),IF(G568="Diesel",VLOOKUP(C568,'PRECIO TERMINAL PEMEX'!$B$4:$E$35,4,0),"Seleccione Producto"))),"-")</f>
        <v>Seleccione Producto</v>
      </c>
      <c r="L568" s="93" t="str">
        <f>+IFERROR(IF(F568="VHSA",VLOOKUP(B568,Listas!$C$4:$F$17,2,0),IF(F568="DOS BOCAS",VLOOKUP(B568,Listas!$C$4:$F$17,3,0),IF(F568="GLENCORE",VLOOKUP(B568,Listas!$C$4:$F$17,4,0),"Seleccione TAR"))),"-")</f>
        <v>Seleccione TAR</v>
      </c>
      <c r="M568" s="19" t="str">
        <f>+IFERROR(IF(G568="Regular",VLOOKUP(C568,'DESCUENTO PROVEEDORES'!$B$4:$E$35,2,0),IF(G568="Premium",VLOOKUP(C568,'DESCUENTO PROVEEDORES'!$B$4:$E$35,3,0),IF(G568="Diesel",VLOOKUP(C568,'DESCUENTO PROVEEDORES'!$B$4:$E$35,4,0),"Seleccione Proveedor"))),"-")</f>
        <v>Seleccione Proveedor</v>
      </c>
      <c r="N568" s="20" t="e">
        <f>((((K568-H568)/1.16)-M568))</f>
        <v>#VALUE!</v>
      </c>
      <c r="O568" s="21" t="e">
        <f>((N568*16%)+N568)+H568+L568</f>
        <v>#VALUE!</v>
      </c>
      <c r="P568" s="21" t="e">
        <f>(((J568-O568)-H568)/1.16)+H568</f>
        <v>#VALUE!</v>
      </c>
      <c r="Q568" s="44"/>
      <c r="R568" s="24"/>
      <c r="S568" s="23" t="e">
        <f t="shared" si="27"/>
        <v>#DIV/0!</v>
      </c>
      <c r="T568" s="23" t="e">
        <f t="shared" si="28"/>
        <v>#DIV/0!</v>
      </c>
      <c r="U568" s="22" t="e">
        <f t="shared" si="29"/>
        <v>#DIV/0!</v>
      </c>
      <c r="V568" s="44"/>
      <c r="W568" s="44"/>
      <c r="X568" s="44"/>
      <c r="Y568" s="44"/>
      <c r="Z568" s="44"/>
    </row>
    <row r="569" spans="1:26" ht="15.75" customHeight="1">
      <c r="A569" s="44"/>
      <c r="B569" s="14"/>
      <c r="C569" s="53"/>
      <c r="D569" s="15"/>
      <c r="E569" s="89"/>
      <c r="F569" s="16"/>
      <c r="G569" s="16"/>
      <c r="H569" s="90" t="str">
        <f>IF(G569="Regular",Listas!$K$16,IF(G569="Premium",Listas!$K$17,IF(G569="Diesel",Listas!$K$18,"-")))</f>
        <v>-</v>
      </c>
      <c r="I569" s="17"/>
      <c r="J569" s="18"/>
      <c r="K569" s="19" t="str">
        <f>+IFERROR(IF(G569="Regular",VLOOKUP(C569,'PRECIO TERMINAL PEMEX'!$B$4:$E$35,2,0),IF(G569="Premium",VLOOKUP(C569,'PRECIO TERMINAL PEMEX'!$B$4:$E$35,3,0),IF(G569="Diesel",VLOOKUP(C569,'PRECIO TERMINAL PEMEX'!$B$4:$E$35,4,0),"Seleccione Producto"))),"-")</f>
        <v>Seleccione Producto</v>
      </c>
      <c r="L569" s="93" t="str">
        <f>+IFERROR(IF(F569="VHSA",VLOOKUP(B569,Listas!$C$4:$F$17,2,0),IF(F569="DOS BOCAS",VLOOKUP(B569,Listas!$C$4:$F$17,3,0),IF(F569="GLENCORE",VLOOKUP(B569,Listas!$C$4:$F$17,4,0),"Seleccione TAR"))),"-")</f>
        <v>Seleccione TAR</v>
      </c>
      <c r="M569" s="19" t="str">
        <f>+IFERROR(IF(G569="Regular",VLOOKUP(C569,'DESCUENTO PROVEEDORES'!$B$4:$E$35,2,0),IF(G569="Premium",VLOOKUP(C569,'DESCUENTO PROVEEDORES'!$B$4:$E$35,3,0),IF(G569="Diesel",VLOOKUP(C569,'DESCUENTO PROVEEDORES'!$B$4:$E$35,4,0),"Seleccione Proveedor"))),"-")</f>
        <v>Seleccione Proveedor</v>
      </c>
      <c r="N569" s="20" t="e">
        <f>((((K569-H569)/1.16)-M569))</f>
        <v>#VALUE!</v>
      </c>
      <c r="O569" s="21" t="e">
        <f>((N569*16%)+N569)+H569+L569</f>
        <v>#VALUE!</v>
      </c>
      <c r="P569" s="21" t="e">
        <f>(((J569-O569)-H569)/1.16)+H569</f>
        <v>#VALUE!</v>
      </c>
      <c r="Q569" s="44"/>
      <c r="R569" s="24"/>
      <c r="S569" s="23" t="e">
        <f t="shared" si="27"/>
        <v>#DIV/0!</v>
      </c>
      <c r="T569" s="23" t="e">
        <f t="shared" si="28"/>
        <v>#DIV/0!</v>
      </c>
      <c r="U569" s="22" t="e">
        <f t="shared" si="29"/>
        <v>#DIV/0!</v>
      </c>
      <c r="V569" s="44"/>
      <c r="W569" s="44"/>
      <c r="X569" s="44"/>
      <c r="Y569" s="44"/>
      <c r="Z569" s="44"/>
    </row>
    <row r="570" spans="1:26" ht="15.75" customHeight="1">
      <c r="A570" s="44"/>
      <c r="B570" s="14"/>
      <c r="C570" s="53"/>
      <c r="D570" s="15"/>
      <c r="E570" s="89"/>
      <c r="F570" s="16"/>
      <c r="G570" s="16"/>
      <c r="H570" s="90" t="str">
        <f>IF(G570="Regular",Listas!$K$16,IF(G570="Premium",Listas!$K$17,IF(G570="Diesel",Listas!$K$18,"-")))</f>
        <v>-</v>
      </c>
      <c r="I570" s="17"/>
      <c r="J570" s="18"/>
      <c r="K570" s="19" t="str">
        <f>+IFERROR(IF(G570="Regular",VLOOKUP(C570,'PRECIO TERMINAL PEMEX'!$B$4:$E$35,2,0),IF(G570="Premium",VLOOKUP(C570,'PRECIO TERMINAL PEMEX'!$B$4:$E$35,3,0),IF(G570="Diesel",VLOOKUP(C570,'PRECIO TERMINAL PEMEX'!$B$4:$E$35,4,0),"Seleccione Producto"))),"-")</f>
        <v>Seleccione Producto</v>
      </c>
      <c r="L570" s="93" t="str">
        <f>+IFERROR(IF(F570="VHSA",VLOOKUP(B570,Listas!$C$4:$F$17,2,0),IF(F570="DOS BOCAS",VLOOKUP(B570,Listas!$C$4:$F$17,3,0),IF(F570="GLENCORE",VLOOKUP(B570,Listas!$C$4:$F$17,4,0),"Seleccione TAR"))),"-")</f>
        <v>Seleccione TAR</v>
      </c>
      <c r="M570" s="19" t="str">
        <f>+IFERROR(IF(G570="Regular",VLOOKUP(C570,'DESCUENTO PROVEEDORES'!$B$4:$E$35,2,0),IF(G570="Premium",VLOOKUP(C570,'DESCUENTO PROVEEDORES'!$B$4:$E$35,3,0),IF(G570="Diesel",VLOOKUP(C570,'DESCUENTO PROVEEDORES'!$B$4:$E$35,4,0),"Seleccione Proveedor"))),"-")</f>
        <v>Seleccione Proveedor</v>
      </c>
      <c r="N570" s="20" t="e">
        <f>((((K570-H570)/1.16)-M570))</f>
        <v>#VALUE!</v>
      </c>
      <c r="O570" s="21" t="e">
        <f>((N570*16%)+N570)+H570+L570</f>
        <v>#VALUE!</v>
      </c>
      <c r="P570" s="21" t="e">
        <f>(((J570-O570)-H570)/1.16)+H570</f>
        <v>#VALUE!</v>
      </c>
      <c r="Q570" s="44"/>
      <c r="R570" s="24"/>
      <c r="S570" s="23" t="e">
        <f t="shared" si="27"/>
        <v>#DIV/0!</v>
      </c>
      <c r="T570" s="23" t="e">
        <f t="shared" si="28"/>
        <v>#DIV/0!</v>
      </c>
      <c r="U570" s="22" t="e">
        <f t="shared" si="29"/>
        <v>#DIV/0!</v>
      </c>
      <c r="V570" s="44"/>
      <c r="W570" s="44"/>
      <c r="X570" s="44"/>
      <c r="Y570" s="44"/>
      <c r="Z570" s="44"/>
    </row>
    <row r="571" spans="1:26" ht="15.75" customHeight="1">
      <c r="A571" s="44"/>
      <c r="B571" s="14"/>
      <c r="C571" s="53"/>
      <c r="D571" s="15"/>
      <c r="E571" s="89"/>
      <c r="F571" s="16"/>
      <c r="G571" s="16"/>
      <c r="H571" s="90" t="str">
        <f>IF(G571="Regular",Listas!$K$16,IF(G571="Premium",Listas!$K$17,IF(G571="Diesel",Listas!$K$18,"-")))</f>
        <v>-</v>
      </c>
      <c r="I571" s="17"/>
      <c r="J571" s="18"/>
      <c r="K571" s="19" t="str">
        <f>+IFERROR(IF(G571="Regular",VLOOKUP(C571,'PRECIO TERMINAL PEMEX'!$B$4:$E$35,2,0),IF(G571="Premium",VLOOKUP(C571,'PRECIO TERMINAL PEMEX'!$B$4:$E$35,3,0),IF(G571="Diesel",VLOOKUP(C571,'PRECIO TERMINAL PEMEX'!$B$4:$E$35,4,0),"Seleccione Producto"))),"-")</f>
        <v>Seleccione Producto</v>
      </c>
      <c r="L571" s="93" t="str">
        <f>+IFERROR(IF(F571="VHSA",VLOOKUP(B571,Listas!$C$4:$F$17,2,0),IF(F571="DOS BOCAS",VLOOKUP(B571,Listas!$C$4:$F$17,3,0),IF(F571="GLENCORE",VLOOKUP(B571,Listas!$C$4:$F$17,4,0),"Seleccione TAR"))),"-")</f>
        <v>Seleccione TAR</v>
      </c>
      <c r="M571" s="19" t="str">
        <f>+IFERROR(IF(G571="Regular",VLOOKUP(C571,'DESCUENTO PROVEEDORES'!$B$4:$E$35,2,0),IF(G571="Premium",VLOOKUP(C571,'DESCUENTO PROVEEDORES'!$B$4:$E$35,3,0),IF(G571="Diesel",VLOOKUP(C571,'DESCUENTO PROVEEDORES'!$B$4:$E$35,4,0),"Seleccione Proveedor"))),"-")</f>
        <v>Seleccione Proveedor</v>
      </c>
      <c r="N571" s="20" t="e">
        <f>((((K571-H571)/1.16)-M571))</f>
        <v>#VALUE!</v>
      </c>
      <c r="O571" s="21" t="e">
        <f>((N571*16%)+N571)+H571+L571</f>
        <v>#VALUE!</v>
      </c>
      <c r="P571" s="21" t="e">
        <f>(((J571-O571)-H571)/1.16)+H571</f>
        <v>#VALUE!</v>
      </c>
      <c r="Q571" s="44"/>
      <c r="R571" s="24"/>
      <c r="S571" s="23" t="e">
        <f t="shared" si="27"/>
        <v>#DIV/0!</v>
      </c>
      <c r="T571" s="23" t="e">
        <f t="shared" si="28"/>
        <v>#DIV/0!</v>
      </c>
      <c r="U571" s="22" t="e">
        <f t="shared" si="29"/>
        <v>#DIV/0!</v>
      </c>
      <c r="V571" s="44"/>
      <c r="W571" s="44"/>
      <c r="X571" s="44"/>
      <c r="Y571" s="44"/>
      <c r="Z571" s="44"/>
    </row>
    <row r="572" spans="1:26" ht="15.75" customHeight="1">
      <c r="A572" s="44"/>
      <c r="B572" s="14"/>
      <c r="C572" s="53"/>
      <c r="D572" s="15"/>
      <c r="E572" s="89"/>
      <c r="F572" s="16"/>
      <c r="G572" s="16"/>
      <c r="H572" s="90" t="str">
        <f>IF(G572="Regular",Listas!$K$16,IF(G572="Premium",Listas!$K$17,IF(G572="Diesel",Listas!$K$18,"-")))</f>
        <v>-</v>
      </c>
      <c r="I572" s="17"/>
      <c r="J572" s="18"/>
      <c r="K572" s="19" t="str">
        <f>+IFERROR(IF(G572="Regular",VLOOKUP(C572,'PRECIO TERMINAL PEMEX'!$B$4:$E$35,2,0),IF(G572="Premium",VLOOKUP(C572,'PRECIO TERMINAL PEMEX'!$B$4:$E$35,3,0),IF(G572="Diesel",VLOOKUP(C572,'PRECIO TERMINAL PEMEX'!$B$4:$E$35,4,0),"Seleccione Producto"))),"-")</f>
        <v>Seleccione Producto</v>
      </c>
      <c r="L572" s="93" t="str">
        <f>+IFERROR(IF(F572="VHSA",VLOOKUP(B572,Listas!$C$4:$F$17,2,0),IF(F572="DOS BOCAS",VLOOKUP(B572,Listas!$C$4:$F$17,3,0),IF(F572="GLENCORE",VLOOKUP(B572,Listas!$C$4:$F$17,4,0),"Seleccione TAR"))),"-")</f>
        <v>Seleccione TAR</v>
      </c>
      <c r="M572" s="19" t="str">
        <f>+IFERROR(IF(G572="Regular",VLOOKUP(C572,'DESCUENTO PROVEEDORES'!$B$4:$E$35,2,0),IF(G572="Premium",VLOOKUP(C572,'DESCUENTO PROVEEDORES'!$B$4:$E$35,3,0),IF(G572="Diesel",VLOOKUP(C572,'DESCUENTO PROVEEDORES'!$B$4:$E$35,4,0),"Seleccione Proveedor"))),"-")</f>
        <v>Seleccione Proveedor</v>
      </c>
      <c r="N572" s="20" t="e">
        <f>((((K572-H572)/1.16)-M572))</f>
        <v>#VALUE!</v>
      </c>
      <c r="O572" s="21" t="e">
        <f>((N572*16%)+N572)+H572+L572</f>
        <v>#VALUE!</v>
      </c>
      <c r="P572" s="21" t="e">
        <f>(((J572-O572)-H572)/1.16)+H572</f>
        <v>#VALUE!</v>
      </c>
      <c r="Q572" s="44"/>
      <c r="R572" s="24"/>
      <c r="S572" s="23" t="e">
        <f t="shared" si="27"/>
        <v>#DIV/0!</v>
      </c>
      <c r="T572" s="23" t="e">
        <f t="shared" si="28"/>
        <v>#DIV/0!</v>
      </c>
      <c r="U572" s="22" t="e">
        <f t="shared" si="29"/>
        <v>#DIV/0!</v>
      </c>
      <c r="V572" s="44"/>
      <c r="W572" s="44"/>
      <c r="X572" s="44"/>
      <c r="Y572" s="44"/>
      <c r="Z572" s="44"/>
    </row>
    <row r="573" spans="1:26" ht="15.75" customHeight="1">
      <c r="A573" s="44"/>
      <c r="B573" s="14"/>
      <c r="C573" s="53"/>
      <c r="D573" s="15"/>
      <c r="E573" s="89"/>
      <c r="F573" s="16"/>
      <c r="G573" s="16"/>
      <c r="H573" s="90" t="str">
        <f>IF(G573="Regular",Listas!$K$16,IF(G573="Premium",Listas!$K$17,IF(G573="Diesel",Listas!$K$18,"-")))</f>
        <v>-</v>
      </c>
      <c r="I573" s="17"/>
      <c r="J573" s="18"/>
      <c r="K573" s="19" t="str">
        <f>+IFERROR(IF(G573="Regular",VLOOKUP(C573,'PRECIO TERMINAL PEMEX'!$B$4:$E$35,2,0),IF(G573="Premium",VLOOKUP(C573,'PRECIO TERMINAL PEMEX'!$B$4:$E$35,3,0),IF(G573="Diesel",VLOOKUP(C573,'PRECIO TERMINAL PEMEX'!$B$4:$E$35,4,0),"Seleccione Producto"))),"-")</f>
        <v>Seleccione Producto</v>
      </c>
      <c r="L573" s="93" t="str">
        <f>+IFERROR(IF(F573="VHSA",VLOOKUP(B573,Listas!$C$4:$F$17,2,0),IF(F573="DOS BOCAS",VLOOKUP(B573,Listas!$C$4:$F$17,3,0),IF(F573="GLENCORE",VLOOKUP(B573,Listas!$C$4:$F$17,4,0),"Seleccione TAR"))),"-")</f>
        <v>Seleccione TAR</v>
      </c>
      <c r="M573" s="19" t="str">
        <f>+IFERROR(IF(G573="Regular",VLOOKUP(C573,'DESCUENTO PROVEEDORES'!$B$4:$E$35,2,0),IF(G573="Premium",VLOOKUP(C573,'DESCUENTO PROVEEDORES'!$B$4:$E$35,3,0),IF(G573="Diesel",VLOOKUP(C573,'DESCUENTO PROVEEDORES'!$B$4:$E$35,4,0),"Seleccione Proveedor"))),"-")</f>
        <v>Seleccione Proveedor</v>
      </c>
      <c r="N573" s="20" t="e">
        <f>((((K573-H573)/1.16)-M573))</f>
        <v>#VALUE!</v>
      </c>
      <c r="O573" s="21" t="e">
        <f>((N573*16%)+N573)+H573+L573</f>
        <v>#VALUE!</v>
      </c>
      <c r="P573" s="21" t="e">
        <f>(((J573-O573)-H573)/1.16)+H573</f>
        <v>#VALUE!</v>
      </c>
      <c r="Q573" s="44"/>
      <c r="R573" s="24"/>
      <c r="S573" s="23" t="e">
        <f t="shared" si="27"/>
        <v>#DIV/0!</v>
      </c>
      <c r="T573" s="23" t="e">
        <f t="shared" si="28"/>
        <v>#DIV/0!</v>
      </c>
      <c r="U573" s="22" t="e">
        <f t="shared" si="29"/>
        <v>#DIV/0!</v>
      </c>
      <c r="V573" s="44"/>
      <c r="W573" s="44"/>
      <c r="X573" s="44"/>
      <c r="Y573" s="44"/>
      <c r="Z573" s="44"/>
    </row>
    <row r="574" spans="1:26" ht="15.75" customHeight="1">
      <c r="A574" s="44"/>
      <c r="B574" s="14"/>
      <c r="C574" s="53"/>
      <c r="D574" s="15"/>
      <c r="E574" s="89"/>
      <c r="F574" s="16"/>
      <c r="G574" s="16"/>
      <c r="H574" s="90" t="str">
        <f>IF(G574="Regular",Listas!$K$16,IF(G574="Premium",Listas!$K$17,IF(G574="Diesel",Listas!$K$18,"-")))</f>
        <v>-</v>
      </c>
      <c r="I574" s="17"/>
      <c r="J574" s="18"/>
      <c r="K574" s="19" t="str">
        <f>+IFERROR(IF(G574="Regular",VLOOKUP(C574,'PRECIO TERMINAL PEMEX'!$B$4:$E$35,2,0),IF(G574="Premium",VLOOKUP(C574,'PRECIO TERMINAL PEMEX'!$B$4:$E$35,3,0),IF(G574="Diesel",VLOOKUP(C574,'PRECIO TERMINAL PEMEX'!$B$4:$E$35,4,0),"Seleccione Producto"))),"-")</f>
        <v>Seleccione Producto</v>
      </c>
      <c r="L574" s="93" t="str">
        <f>+IFERROR(IF(F574="VHSA",VLOOKUP(B574,Listas!$C$4:$F$17,2,0),IF(F574="DOS BOCAS",VLOOKUP(B574,Listas!$C$4:$F$17,3,0),IF(F574="GLENCORE",VLOOKUP(B574,Listas!$C$4:$F$17,4,0),"Seleccione TAR"))),"-")</f>
        <v>Seleccione TAR</v>
      </c>
      <c r="M574" s="19" t="str">
        <f>+IFERROR(IF(G574="Regular",VLOOKUP(C574,'DESCUENTO PROVEEDORES'!$B$4:$E$35,2,0),IF(G574="Premium",VLOOKUP(C574,'DESCUENTO PROVEEDORES'!$B$4:$E$35,3,0),IF(G574="Diesel",VLOOKUP(C574,'DESCUENTO PROVEEDORES'!$B$4:$E$35,4,0),"Seleccione Proveedor"))),"-")</f>
        <v>Seleccione Proveedor</v>
      </c>
      <c r="N574" s="20" t="e">
        <f>((((K574-H574)/1.16)-M574))</f>
        <v>#VALUE!</v>
      </c>
      <c r="O574" s="21" t="e">
        <f>((N574*16%)+N574)+H574+L574</f>
        <v>#VALUE!</v>
      </c>
      <c r="P574" s="21" t="e">
        <f>(((J574-O574)-H574)/1.16)+H574</f>
        <v>#VALUE!</v>
      </c>
      <c r="Q574" s="44"/>
      <c r="R574" s="24"/>
      <c r="S574" s="23" t="e">
        <f t="shared" si="27"/>
        <v>#DIV/0!</v>
      </c>
      <c r="T574" s="23" t="e">
        <f t="shared" si="28"/>
        <v>#DIV/0!</v>
      </c>
      <c r="U574" s="22" t="e">
        <f t="shared" si="29"/>
        <v>#DIV/0!</v>
      </c>
      <c r="V574" s="44"/>
      <c r="W574" s="44"/>
      <c r="X574" s="44"/>
      <c r="Y574" s="44"/>
      <c r="Z574" s="44"/>
    </row>
    <row r="575" spans="1:26" ht="15.75" customHeight="1">
      <c r="A575" s="44"/>
      <c r="B575" s="14"/>
      <c r="C575" s="53"/>
      <c r="D575" s="15"/>
      <c r="E575" s="89"/>
      <c r="F575" s="16"/>
      <c r="G575" s="16"/>
      <c r="H575" s="90" t="str">
        <f>IF(G575="Regular",Listas!$K$16,IF(G575="Premium",Listas!$K$17,IF(G575="Diesel",Listas!$K$18,"-")))</f>
        <v>-</v>
      </c>
      <c r="I575" s="17"/>
      <c r="J575" s="18"/>
      <c r="K575" s="19" t="str">
        <f>+IFERROR(IF(G575="Regular",VLOOKUP(C575,'PRECIO TERMINAL PEMEX'!$B$4:$E$35,2,0),IF(G575="Premium",VLOOKUP(C575,'PRECIO TERMINAL PEMEX'!$B$4:$E$35,3,0),IF(G575="Diesel",VLOOKUP(C575,'PRECIO TERMINAL PEMEX'!$B$4:$E$35,4,0),"Seleccione Producto"))),"-")</f>
        <v>Seleccione Producto</v>
      </c>
      <c r="L575" s="93" t="str">
        <f>+IFERROR(IF(F575="VHSA",VLOOKUP(B575,Listas!$C$4:$F$17,2,0),IF(F575="DOS BOCAS",VLOOKUP(B575,Listas!$C$4:$F$17,3,0),IF(F575="GLENCORE",VLOOKUP(B575,Listas!$C$4:$F$17,4,0),"Seleccione TAR"))),"-")</f>
        <v>Seleccione TAR</v>
      </c>
      <c r="M575" s="19" t="str">
        <f>+IFERROR(IF(G575="Regular",VLOOKUP(C575,'DESCUENTO PROVEEDORES'!$B$4:$E$35,2,0),IF(G575="Premium",VLOOKUP(C575,'DESCUENTO PROVEEDORES'!$B$4:$E$35,3,0),IF(G575="Diesel",VLOOKUP(C575,'DESCUENTO PROVEEDORES'!$B$4:$E$35,4,0),"Seleccione Proveedor"))),"-")</f>
        <v>Seleccione Proveedor</v>
      </c>
      <c r="N575" s="20" t="e">
        <f>((((K575-H575)/1.16)-M575))</f>
        <v>#VALUE!</v>
      </c>
      <c r="O575" s="21" t="e">
        <f>((N575*16%)+N575)+H575+L575</f>
        <v>#VALUE!</v>
      </c>
      <c r="P575" s="21" t="e">
        <f>(((J575-O575)-H575)/1.16)+H575</f>
        <v>#VALUE!</v>
      </c>
      <c r="Q575" s="44"/>
      <c r="R575" s="24"/>
      <c r="S575" s="23" t="e">
        <f t="shared" si="27"/>
        <v>#DIV/0!</v>
      </c>
      <c r="T575" s="23" t="e">
        <f t="shared" si="28"/>
        <v>#DIV/0!</v>
      </c>
      <c r="U575" s="22" t="e">
        <f t="shared" si="29"/>
        <v>#DIV/0!</v>
      </c>
      <c r="V575" s="44"/>
      <c r="W575" s="44"/>
      <c r="X575" s="44"/>
      <c r="Y575" s="44"/>
      <c r="Z575" s="44"/>
    </row>
    <row r="576" spans="1:26" ht="15.75" customHeight="1">
      <c r="A576" s="44"/>
      <c r="B576" s="14"/>
      <c r="C576" s="53"/>
      <c r="D576" s="15"/>
      <c r="E576" s="89"/>
      <c r="F576" s="16"/>
      <c r="G576" s="16"/>
      <c r="H576" s="90" t="str">
        <f>IF(G576="Regular",Listas!$K$16,IF(G576="Premium",Listas!$K$17,IF(G576="Diesel",Listas!$K$18,"-")))</f>
        <v>-</v>
      </c>
      <c r="I576" s="17"/>
      <c r="J576" s="18"/>
      <c r="K576" s="19" t="str">
        <f>+IFERROR(IF(G576="Regular",VLOOKUP(C576,'PRECIO TERMINAL PEMEX'!$B$4:$E$35,2,0),IF(G576="Premium",VLOOKUP(C576,'PRECIO TERMINAL PEMEX'!$B$4:$E$35,3,0),IF(G576="Diesel",VLOOKUP(C576,'PRECIO TERMINAL PEMEX'!$B$4:$E$35,4,0),"Seleccione Producto"))),"-")</f>
        <v>Seleccione Producto</v>
      </c>
      <c r="L576" s="93" t="str">
        <f>+IFERROR(IF(F576="VHSA",VLOOKUP(B576,Listas!$C$4:$F$17,2,0),IF(F576="DOS BOCAS",VLOOKUP(B576,Listas!$C$4:$F$17,3,0),IF(F576="GLENCORE",VLOOKUP(B576,Listas!$C$4:$F$17,4,0),"Seleccione TAR"))),"-")</f>
        <v>Seleccione TAR</v>
      </c>
      <c r="M576" s="19" t="str">
        <f>+IFERROR(IF(G576="Regular",VLOOKUP(C576,'DESCUENTO PROVEEDORES'!$B$4:$E$35,2,0),IF(G576="Premium",VLOOKUP(C576,'DESCUENTO PROVEEDORES'!$B$4:$E$35,3,0),IF(G576="Diesel",VLOOKUP(C576,'DESCUENTO PROVEEDORES'!$B$4:$E$35,4,0),"Seleccione Proveedor"))),"-")</f>
        <v>Seleccione Proveedor</v>
      </c>
      <c r="N576" s="20" t="e">
        <f>((((K576-H576)/1.16)-M576))</f>
        <v>#VALUE!</v>
      </c>
      <c r="O576" s="21" t="e">
        <f>((N576*16%)+N576)+H576+L576</f>
        <v>#VALUE!</v>
      </c>
      <c r="P576" s="21" t="e">
        <f>(((J576-O576)-H576)/1.16)+H576</f>
        <v>#VALUE!</v>
      </c>
      <c r="Q576" s="44"/>
      <c r="R576" s="24"/>
      <c r="S576" s="23" t="e">
        <f t="shared" si="27"/>
        <v>#DIV/0!</v>
      </c>
      <c r="T576" s="23" t="e">
        <f t="shared" si="28"/>
        <v>#DIV/0!</v>
      </c>
      <c r="U576" s="22" t="e">
        <f t="shared" si="29"/>
        <v>#DIV/0!</v>
      </c>
      <c r="V576" s="44"/>
      <c r="W576" s="44"/>
      <c r="X576" s="44"/>
      <c r="Y576" s="44"/>
      <c r="Z576" s="44"/>
    </row>
    <row r="577" spans="1:26" ht="15.75" customHeight="1">
      <c r="A577" s="44"/>
      <c r="B577" s="14"/>
      <c r="C577" s="53"/>
      <c r="D577" s="15"/>
      <c r="E577" s="89"/>
      <c r="F577" s="16"/>
      <c r="G577" s="16"/>
      <c r="H577" s="90" t="str">
        <f>IF(G577="Regular",Listas!$K$16,IF(G577="Premium",Listas!$K$17,IF(G577="Diesel",Listas!$K$18,"-")))</f>
        <v>-</v>
      </c>
      <c r="I577" s="17"/>
      <c r="J577" s="18"/>
      <c r="K577" s="19" t="str">
        <f>+IFERROR(IF(G577="Regular",VLOOKUP(C577,'PRECIO TERMINAL PEMEX'!$B$4:$E$35,2,0),IF(G577="Premium",VLOOKUP(C577,'PRECIO TERMINAL PEMEX'!$B$4:$E$35,3,0),IF(G577="Diesel",VLOOKUP(C577,'PRECIO TERMINAL PEMEX'!$B$4:$E$35,4,0),"Seleccione Producto"))),"-")</f>
        <v>Seleccione Producto</v>
      </c>
      <c r="L577" s="93" t="str">
        <f>+IFERROR(IF(F577="VHSA",VLOOKUP(B577,Listas!$C$4:$F$17,2,0),IF(F577="DOS BOCAS",VLOOKUP(B577,Listas!$C$4:$F$17,3,0),IF(F577="GLENCORE",VLOOKUP(B577,Listas!$C$4:$F$17,4,0),"Seleccione TAR"))),"-")</f>
        <v>Seleccione TAR</v>
      </c>
      <c r="M577" s="19" t="str">
        <f>+IFERROR(IF(G577="Regular",VLOOKUP(C577,'DESCUENTO PROVEEDORES'!$B$4:$E$35,2,0),IF(G577="Premium",VLOOKUP(C577,'DESCUENTO PROVEEDORES'!$B$4:$E$35,3,0),IF(G577="Diesel",VLOOKUP(C577,'DESCUENTO PROVEEDORES'!$B$4:$E$35,4,0),"Seleccione Proveedor"))),"-")</f>
        <v>Seleccione Proveedor</v>
      </c>
      <c r="N577" s="20" t="e">
        <f>((((K577-H577)/1.16)-M577))</f>
        <v>#VALUE!</v>
      </c>
      <c r="O577" s="21" t="e">
        <f>((N577*16%)+N577)+H577+L577</f>
        <v>#VALUE!</v>
      </c>
      <c r="P577" s="21" t="e">
        <f>(((J577-O577)-H577)/1.16)+H577</f>
        <v>#VALUE!</v>
      </c>
      <c r="Q577" s="44"/>
      <c r="R577" s="24"/>
      <c r="S577" s="23" t="e">
        <f t="shared" si="27"/>
        <v>#DIV/0!</v>
      </c>
      <c r="T577" s="23" t="e">
        <f t="shared" si="28"/>
        <v>#DIV/0!</v>
      </c>
      <c r="U577" s="22" t="e">
        <f t="shared" si="29"/>
        <v>#DIV/0!</v>
      </c>
      <c r="V577" s="44"/>
      <c r="W577" s="44"/>
      <c r="X577" s="44"/>
      <c r="Y577" s="44"/>
      <c r="Z577" s="44"/>
    </row>
    <row r="578" spans="1:26" ht="15.75" customHeight="1">
      <c r="A578" s="44"/>
      <c r="B578" s="14"/>
      <c r="C578" s="53"/>
      <c r="D578" s="15"/>
      <c r="E578" s="89"/>
      <c r="F578" s="16"/>
      <c r="G578" s="16"/>
      <c r="H578" s="90" t="str">
        <f>IF(G578="Regular",Listas!$K$16,IF(G578="Premium",Listas!$K$17,IF(G578="Diesel",Listas!$K$18,"-")))</f>
        <v>-</v>
      </c>
      <c r="I578" s="17"/>
      <c r="J578" s="18"/>
      <c r="K578" s="19" t="str">
        <f>+IFERROR(IF(G578="Regular",VLOOKUP(C578,'PRECIO TERMINAL PEMEX'!$B$4:$E$35,2,0),IF(G578="Premium",VLOOKUP(C578,'PRECIO TERMINAL PEMEX'!$B$4:$E$35,3,0),IF(G578="Diesel",VLOOKUP(C578,'PRECIO TERMINAL PEMEX'!$B$4:$E$35,4,0),"Seleccione Producto"))),"-")</f>
        <v>Seleccione Producto</v>
      </c>
      <c r="L578" s="93" t="str">
        <f>+IFERROR(IF(F578="VHSA",VLOOKUP(B578,Listas!$C$4:$F$17,2,0),IF(F578="DOS BOCAS",VLOOKUP(B578,Listas!$C$4:$F$17,3,0),IF(F578="GLENCORE",VLOOKUP(B578,Listas!$C$4:$F$17,4,0),"Seleccione TAR"))),"-")</f>
        <v>Seleccione TAR</v>
      </c>
      <c r="M578" s="19" t="str">
        <f>+IFERROR(IF(G578="Regular",VLOOKUP(C578,'DESCUENTO PROVEEDORES'!$B$4:$E$35,2,0),IF(G578="Premium",VLOOKUP(C578,'DESCUENTO PROVEEDORES'!$B$4:$E$35,3,0),IF(G578="Diesel",VLOOKUP(C578,'DESCUENTO PROVEEDORES'!$B$4:$E$35,4,0),"Seleccione Proveedor"))),"-")</f>
        <v>Seleccione Proveedor</v>
      </c>
      <c r="N578" s="20" t="e">
        <f>((((K578-H578)/1.16)-M578))</f>
        <v>#VALUE!</v>
      </c>
      <c r="O578" s="21" t="e">
        <f>((N578*16%)+N578)+H578+L578</f>
        <v>#VALUE!</v>
      </c>
      <c r="P578" s="21" t="e">
        <f>(((J578-O578)-H578)/1.16)+H578</f>
        <v>#VALUE!</v>
      </c>
      <c r="Q578" s="44"/>
      <c r="R578" s="24"/>
      <c r="S578" s="23" t="e">
        <f t="shared" si="27"/>
        <v>#DIV/0!</v>
      </c>
      <c r="T578" s="23" t="e">
        <f t="shared" si="28"/>
        <v>#DIV/0!</v>
      </c>
      <c r="U578" s="22" t="e">
        <f t="shared" si="29"/>
        <v>#DIV/0!</v>
      </c>
      <c r="V578" s="44"/>
      <c r="W578" s="44"/>
      <c r="X578" s="44"/>
      <c r="Y578" s="44"/>
      <c r="Z578" s="44"/>
    </row>
    <row r="579" spans="1:26" ht="15.75" customHeight="1">
      <c r="A579" s="44"/>
      <c r="B579" s="14"/>
      <c r="C579" s="53"/>
      <c r="D579" s="15"/>
      <c r="E579" s="89"/>
      <c r="F579" s="16"/>
      <c r="G579" s="16"/>
      <c r="H579" s="90" t="str">
        <f>IF(G579="Regular",Listas!$K$16,IF(G579="Premium",Listas!$K$17,IF(G579="Diesel",Listas!$K$18,"-")))</f>
        <v>-</v>
      </c>
      <c r="I579" s="17"/>
      <c r="J579" s="18"/>
      <c r="K579" s="19" t="str">
        <f>+IFERROR(IF(G579="Regular",VLOOKUP(C579,'PRECIO TERMINAL PEMEX'!$B$4:$E$35,2,0),IF(G579="Premium",VLOOKUP(C579,'PRECIO TERMINAL PEMEX'!$B$4:$E$35,3,0),IF(G579="Diesel",VLOOKUP(C579,'PRECIO TERMINAL PEMEX'!$B$4:$E$35,4,0),"Seleccione Producto"))),"-")</f>
        <v>Seleccione Producto</v>
      </c>
      <c r="L579" s="93" t="str">
        <f>+IFERROR(IF(F579="VHSA",VLOOKUP(B579,Listas!$C$4:$F$17,2,0),IF(F579="DOS BOCAS",VLOOKUP(B579,Listas!$C$4:$F$17,3,0),IF(F579="GLENCORE",VLOOKUP(B579,Listas!$C$4:$F$17,4,0),"Seleccione TAR"))),"-")</f>
        <v>Seleccione TAR</v>
      </c>
      <c r="M579" s="19" t="str">
        <f>+IFERROR(IF(G579="Regular",VLOOKUP(C579,'DESCUENTO PROVEEDORES'!$B$4:$E$35,2,0),IF(G579="Premium",VLOOKUP(C579,'DESCUENTO PROVEEDORES'!$B$4:$E$35,3,0),IF(G579="Diesel",VLOOKUP(C579,'DESCUENTO PROVEEDORES'!$B$4:$E$35,4,0),"Seleccione Proveedor"))),"-")</f>
        <v>Seleccione Proveedor</v>
      </c>
      <c r="N579" s="20" t="e">
        <f>((((K579-H579)/1.16)-M579))</f>
        <v>#VALUE!</v>
      </c>
      <c r="O579" s="21" t="e">
        <f>((N579*16%)+N579)+H579+L579</f>
        <v>#VALUE!</v>
      </c>
      <c r="P579" s="21" t="e">
        <f>(((J579-O579)-H579)/1.16)+H579</f>
        <v>#VALUE!</v>
      </c>
      <c r="Q579" s="44"/>
      <c r="R579" s="24"/>
      <c r="S579" s="23" t="e">
        <f t="shared" si="27"/>
        <v>#DIV/0!</v>
      </c>
      <c r="T579" s="23" t="e">
        <f t="shared" si="28"/>
        <v>#DIV/0!</v>
      </c>
      <c r="U579" s="22" t="e">
        <f t="shared" si="29"/>
        <v>#DIV/0!</v>
      </c>
      <c r="V579" s="44"/>
      <c r="W579" s="44"/>
      <c r="X579" s="44"/>
      <c r="Y579" s="44"/>
      <c r="Z579" s="44"/>
    </row>
    <row r="580" spans="1:26" ht="15.75" customHeight="1">
      <c r="A580" s="44"/>
      <c r="B580" s="14"/>
      <c r="C580" s="53"/>
      <c r="D580" s="15"/>
      <c r="E580" s="89"/>
      <c r="F580" s="16"/>
      <c r="G580" s="16"/>
      <c r="H580" s="90" t="str">
        <f>IF(G580="Regular",Listas!$K$16,IF(G580="Premium",Listas!$K$17,IF(G580="Diesel",Listas!$K$18,"-")))</f>
        <v>-</v>
      </c>
      <c r="I580" s="17"/>
      <c r="J580" s="18"/>
      <c r="K580" s="19" t="str">
        <f>+IFERROR(IF(G580="Regular",VLOOKUP(C580,'PRECIO TERMINAL PEMEX'!$B$4:$E$35,2,0),IF(G580="Premium",VLOOKUP(C580,'PRECIO TERMINAL PEMEX'!$B$4:$E$35,3,0),IF(G580="Diesel",VLOOKUP(C580,'PRECIO TERMINAL PEMEX'!$B$4:$E$35,4,0),"Seleccione Producto"))),"-")</f>
        <v>Seleccione Producto</v>
      </c>
      <c r="L580" s="93" t="str">
        <f>+IFERROR(IF(F580="VHSA",VLOOKUP(B580,Listas!$C$4:$F$17,2,0),IF(F580="DOS BOCAS",VLOOKUP(B580,Listas!$C$4:$F$17,3,0),IF(F580="GLENCORE",VLOOKUP(B580,Listas!$C$4:$F$17,4,0),"Seleccione TAR"))),"-")</f>
        <v>Seleccione TAR</v>
      </c>
      <c r="M580" s="19" t="str">
        <f>+IFERROR(IF(G580="Regular",VLOOKUP(C580,'DESCUENTO PROVEEDORES'!$B$4:$E$35,2,0),IF(G580="Premium",VLOOKUP(C580,'DESCUENTO PROVEEDORES'!$B$4:$E$35,3,0),IF(G580="Diesel",VLOOKUP(C580,'DESCUENTO PROVEEDORES'!$B$4:$E$35,4,0),"Seleccione Proveedor"))),"-")</f>
        <v>Seleccione Proveedor</v>
      </c>
      <c r="N580" s="20" t="e">
        <f>((((K580-H580)/1.16)-M580))</f>
        <v>#VALUE!</v>
      </c>
      <c r="O580" s="21" t="e">
        <f>((N580*16%)+N580)+H580+L580</f>
        <v>#VALUE!</v>
      </c>
      <c r="P580" s="21" t="e">
        <f>(((J580-O580)-H580)/1.16)+H580</f>
        <v>#VALUE!</v>
      </c>
      <c r="Q580" s="44"/>
      <c r="R580" s="24"/>
      <c r="S580" s="23" t="e">
        <f t="shared" si="27"/>
        <v>#DIV/0!</v>
      </c>
      <c r="T580" s="23" t="e">
        <f t="shared" si="28"/>
        <v>#DIV/0!</v>
      </c>
      <c r="U580" s="22" t="e">
        <f t="shared" si="29"/>
        <v>#DIV/0!</v>
      </c>
      <c r="V580" s="44"/>
      <c r="W580" s="44"/>
      <c r="X580" s="44"/>
      <c r="Y580" s="44"/>
      <c r="Z580" s="44"/>
    </row>
    <row r="581" spans="1:26" ht="15.75" customHeight="1">
      <c r="A581" s="44"/>
      <c r="B581" s="14"/>
      <c r="C581" s="53"/>
      <c r="D581" s="15"/>
      <c r="E581" s="89"/>
      <c r="F581" s="16"/>
      <c r="G581" s="16"/>
      <c r="H581" s="90" t="str">
        <f>IF(G581="Regular",Listas!$K$16,IF(G581="Premium",Listas!$K$17,IF(G581="Diesel",Listas!$K$18,"-")))</f>
        <v>-</v>
      </c>
      <c r="I581" s="17"/>
      <c r="J581" s="18"/>
      <c r="K581" s="19" t="str">
        <f>+IFERROR(IF(G581="Regular",VLOOKUP(C581,'PRECIO TERMINAL PEMEX'!$B$4:$E$35,2,0),IF(G581="Premium",VLOOKUP(C581,'PRECIO TERMINAL PEMEX'!$B$4:$E$35,3,0),IF(G581="Diesel",VLOOKUP(C581,'PRECIO TERMINAL PEMEX'!$B$4:$E$35,4,0),"Seleccione Producto"))),"-")</f>
        <v>Seleccione Producto</v>
      </c>
      <c r="L581" s="93" t="str">
        <f>+IFERROR(IF(F581="VHSA",VLOOKUP(B581,Listas!$C$4:$F$17,2,0),IF(F581="DOS BOCAS",VLOOKUP(B581,Listas!$C$4:$F$17,3,0),IF(F581="GLENCORE",VLOOKUP(B581,Listas!$C$4:$F$17,4,0),"Seleccione TAR"))),"-")</f>
        <v>Seleccione TAR</v>
      </c>
      <c r="M581" s="19" t="str">
        <f>+IFERROR(IF(G581="Regular",VLOOKUP(C581,'DESCUENTO PROVEEDORES'!$B$4:$E$35,2,0),IF(G581="Premium",VLOOKUP(C581,'DESCUENTO PROVEEDORES'!$B$4:$E$35,3,0),IF(G581="Diesel",VLOOKUP(C581,'DESCUENTO PROVEEDORES'!$B$4:$E$35,4,0),"Seleccione Proveedor"))),"-")</f>
        <v>Seleccione Proveedor</v>
      </c>
      <c r="N581" s="20" t="e">
        <f>((((K581-H581)/1.16)-M581))</f>
        <v>#VALUE!</v>
      </c>
      <c r="O581" s="21" t="e">
        <f>((N581*16%)+N581)+H581+L581</f>
        <v>#VALUE!</v>
      </c>
      <c r="P581" s="21" t="e">
        <f>(((J581-O581)-H581)/1.16)+H581</f>
        <v>#VALUE!</v>
      </c>
      <c r="Q581" s="44"/>
      <c r="R581" s="24"/>
      <c r="S581" s="23" t="e">
        <f t="shared" si="27"/>
        <v>#DIV/0!</v>
      </c>
      <c r="T581" s="23" t="e">
        <f t="shared" si="28"/>
        <v>#DIV/0!</v>
      </c>
      <c r="U581" s="22" t="e">
        <f t="shared" si="29"/>
        <v>#DIV/0!</v>
      </c>
      <c r="V581" s="44"/>
      <c r="W581" s="44"/>
      <c r="X581" s="44"/>
      <c r="Y581" s="44"/>
      <c r="Z581" s="44"/>
    </row>
    <row r="582" spans="1:26" ht="15.75" customHeight="1">
      <c r="A582" s="44"/>
      <c r="B582" s="14"/>
      <c r="C582" s="53"/>
      <c r="D582" s="15"/>
      <c r="E582" s="89"/>
      <c r="F582" s="16"/>
      <c r="G582" s="16"/>
      <c r="H582" s="90" t="str">
        <f>IF(G582="Regular",Listas!$K$16,IF(G582="Premium",Listas!$K$17,IF(G582="Diesel",Listas!$K$18,"-")))</f>
        <v>-</v>
      </c>
      <c r="I582" s="17"/>
      <c r="J582" s="18"/>
      <c r="K582" s="19" t="str">
        <f>+IFERROR(IF(G582="Regular",VLOOKUP(C582,'PRECIO TERMINAL PEMEX'!$B$4:$E$35,2,0),IF(G582="Premium",VLOOKUP(C582,'PRECIO TERMINAL PEMEX'!$B$4:$E$35,3,0),IF(G582="Diesel",VLOOKUP(C582,'PRECIO TERMINAL PEMEX'!$B$4:$E$35,4,0),"Seleccione Producto"))),"-")</f>
        <v>Seleccione Producto</v>
      </c>
      <c r="L582" s="93" t="str">
        <f>+IFERROR(IF(F582="VHSA",VLOOKUP(B582,Listas!$C$4:$F$17,2,0),IF(F582="DOS BOCAS",VLOOKUP(B582,Listas!$C$4:$F$17,3,0),IF(F582="GLENCORE",VLOOKUP(B582,Listas!$C$4:$F$17,4,0),"Seleccione TAR"))),"-")</f>
        <v>Seleccione TAR</v>
      </c>
      <c r="M582" s="19" t="str">
        <f>+IFERROR(IF(G582="Regular",VLOOKUP(C582,'DESCUENTO PROVEEDORES'!$B$4:$E$35,2,0),IF(G582="Premium",VLOOKUP(C582,'DESCUENTO PROVEEDORES'!$B$4:$E$35,3,0),IF(G582="Diesel",VLOOKUP(C582,'DESCUENTO PROVEEDORES'!$B$4:$E$35,4,0),"Seleccione Proveedor"))),"-")</f>
        <v>Seleccione Proveedor</v>
      </c>
      <c r="N582" s="20" t="e">
        <f>((((K582-H582)/1.16)-M582))</f>
        <v>#VALUE!</v>
      </c>
      <c r="O582" s="21" t="e">
        <f>((N582*16%)+N582)+H582+L582</f>
        <v>#VALUE!</v>
      </c>
      <c r="P582" s="21" t="e">
        <f>(((J582-O582)-H582)/1.16)+H582</f>
        <v>#VALUE!</v>
      </c>
      <c r="Q582" s="44"/>
      <c r="R582" s="24"/>
      <c r="S582" s="23" t="e">
        <f t="shared" si="27"/>
        <v>#DIV/0!</v>
      </c>
      <c r="T582" s="23" t="e">
        <f t="shared" si="28"/>
        <v>#DIV/0!</v>
      </c>
      <c r="U582" s="22" t="e">
        <f t="shared" si="29"/>
        <v>#DIV/0!</v>
      </c>
      <c r="V582" s="44"/>
      <c r="W582" s="44"/>
      <c r="X582" s="44"/>
      <c r="Y582" s="44"/>
      <c r="Z582" s="44"/>
    </row>
    <row r="583" spans="1:26" ht="15.75" customHeight="1">
      <c r="A583" s="44"/>
      <c r="B583" s="14"/>
      <c r="C583" s="53"/>
      <c r="D583" s="15"/>
      <c r="E583" s="89"/>
      <c r="F583" s="16"/>
      <c r="G583" s="16"/>
      <c r="H583" s="90" t="str">
        <f>IF(G583="Regular",Listas!$K$16,IF(G583="Premium",Listas!$K$17,IF(G583="Diesel",Listas!$K$18,"-")))</f>
        <v>-</v>
      </c>
      <c r="I583" s="17"/>
      <c r="J583" s="18"/>
      <c r="K583" s="19" t="str">
        <f>+IFERROR(IF(G583="Regular",VLOOKUP(C583,'PRECIO TERMINAL PEMEX'!$B$4:$E$35,2,0),IF(G583="Premium",VLOOKUP(C583,'PRECIO TERMINAL PEMEX'!$B$4:$E$35,3,0),IF(G583="Diesel",VLOOKUP(C583,'PRECIO TERMINAL PEMEX'!$B$4:$E$35,4,0),"Seleccione Producto"))),"-")</f>
        <v>Seleccione Producto</v>
      </c>
      <c r="L583" s="93" t="str">
        <f>+IFERROR(IF(F583="VHSA",VLOOKUP(B583,Listas!$C$4:$F$17,2,0),IF(F583="DOS BOCAS",VLOOKUP(B583,Listas!$C$4:$F$17,3,0),IF(F583="GLENCORE",VLOOKUP(B583,Listas!$C$4:$F$17,4,0),"Seleccione TAR"))),"-")</f>
        <v>Seleccione TAR</v>
      </c>
      <c r="M583" s="19" t="str">
        <f>+IFERROR(IF(G583="Regular",VLOOKUP(C583,'DESCUENTO PROVEEDORES'!$B$4:$E$35,2,0),IF(G583="Premium",VLOOKUP(C583,'DESCUENTO PROVEEDORES'!$B$4:$E$35,3,0),IF(G583="Diesel",VLOOKUP(C583,'DESCUENTO PROVEEDORES'!$B$4:$E$35,4,0),"Seleccione Proveedor"))),"-")</f>
        <v>Seleccione Proveedor</v>
      </c>
      <c r="N583" s="20" t="e">
        <f>((((K583-H583)/1.16)-M583))</f>
        <v>#VALUE!</v>
      </c>
      <c r="O583" s="21" t="e">
        <f>((N583*16%)+N583)+H583+L583</f>
        <v>#VALUE!</v>
      </c>
      <c r="P583" s="21" t="e">
        <f>(((J583-O583)-H583)/1.16)+H583</f>
        <v>#VALUE!</v>
      </c>
      <c r="Q583" s="44"/>
      <c r="R583" s="24"/>
      <c r="S583" s="23" t="e">
        <f t="shared" si="27"/>
        <v>#DIV/0!</v>
      </c>
      <c r="T583" s="23" t="e">
        <f t="shared" si="28"/>
        <v>#DIV/0!</v>
      </c>
      <c r="U583" s="22" t="e">
        <f t="shared" si="29"/>
        <v>#DIV/0!</v>
      </c>
      <c r="V583" s="44"/>
      <c r="W583" s="44"/>
      <c r="X583" s="44"/>
      <c r="Y583" s="44"/>
      <c r="Z583" s="44"/>
    </row>
    <row r="584" spans="1:26" ht="15.75" customHeight="1">
      <c r="A584" s="44"/>
      <c r="B584" s="14"/>
      <c r="C584" s="53"/>
      <c r="D584" s="15"/>
      <c r="E584" s="89"/>
      <c r="F584" s="16"/>
      <c r="G584" s="16"/>
      <c r="H584" s="90" t="str">
        <f>IF(G584="Regular",Listas!$K$16,IF(G584="Premium",Listas!$K$17,IF(G584="Diesel",Listas!$K$18,"-")))</f>
        <v>-</v>
      </c>
      <c r="I584" s="17"/>
      <c r="J584" s="18"/>
      <c r="K584" s="19" t="str">
        <f>+IFERROR(IF(G584="Regular",VLOOKUP(C584,'PRECIO TERMINAL PEMEX'!$B$4:$E$35,2,0),IF(G584="Premium",VLOOKUP(C584,'PRECIO TERMINAL PEMEX'!$B$4:$E$35,3,0),IF(G584="Diesel",VLOOKUP(C584,'PRECIO TERMINAL PEMEX'!$B$4:$E$35,4,0),"Seleccione Producto"))),"-")</f>
        <v>Seleccione Producto</v>
      </c>
      <c r="L584" s="93" t="str">
        <f>+IFERROR(IF(F584="VHSA",VLOOKUP(B584,Listas!$C$4:$F$17,2,0),IF(F584="DOS BOCAS",VLOOKUP(B584,Listas!$C$4:$F$17,3,0),IF(F584="GLENCORE",VLOOKUP(B584,Listas!$C$4:$F$17,4,0),"Seleccione TAR"))),"-")</f>
        <v>Seleccione TAR</v>
      </c>
      <c r="M584" s="19" t="str">
        <f>+IFERROR(IF(G584="Regular",VLOOKUP(C584,'DESCUENTO PROVEEDORES'!$B$4:$E$35,2,0),IF(G584="Premium",VLOOKUP(C584,'DESCUENTO PROVEEDORES'!$B$4:$E$35,3,0),IF(G584="Diesel",VLOOKUP(C584,'DESCUENTO PROVEEDORES'!$B$4:$E$35,4,0),"Seleccione Proveedor"))),"-")</f>
        <v>Seleccione Proveedor</v>
      </c>
      <c r="N584" s="20" t="e">
        <f>((((K584-H584)/1.16)-M584))</f>
        <v>#VALUE!</v>
      </c>
      <c r="O584" s="21" t="e">
        <f>((N584*16%)+N584)+H584+L584</f>
        <v>#VALUE!</v>
      </c>
      <c r="P584" s="21" t="e">
        <f>(((J584-O584)-H584)/1.16)+H584</f>
        <v>#VALUE!</v>
      </c>
      <c r="Q584" s="44"/>
      <c r="R584" s="24"/>
      <c r="S584" s="23" t="e">
        <f t="shared" si="27"/>
        <v>#DIV/0!</v>
      </c>
      <c r="T584" s="23" t="e">
        <f t="shared" si="28"/>
        <v>#DIV/0!</v>
      </c>
      <c r="U584" s="22" t="e">
        <f t="shared" si="29"/>
        <v>#DIV/0!</v>
      </c>
      <c r="V584" s="44"/>
      <c r="W584" s="44"/>
      <c r="X584" s="44"/>
      <c r="Y584" s="44"/>
      <c r="Z584" s="44"/>
    </row>
    <row r="585" spans="1:26" ht="15.75" customHeight="1">
      <c r="A585" s="44"/>
      <c r="B585" s="14"/>
      <c r="C585" s="53"/>
      <c r="D585" s="15"/>
      <c r="E585" s="89"/>
      <c r="F585" s="16"/>
      <c r="G585" s="16"/>
      <c r="H585" s="90" t="str">
        <f>IF(G585="Regular",Listas!$K$16,IF(G585="Premium",Listas!$K$17,IF(G585="Diesel",Listas!$K$18,"-")))</f>
        <v>-</v>
      </c>
      <c r="I585" s="17"/>
      <c r="J585" s="18"/>
      <c r="K585" s="19" t="str">
        <f>+IFERROR(IF(G585="Regular",VLOOKUP(C585,'PRECIO TERMINAL PEMEX'!$B$4:$E$35,2,0),IF(G585="Premium",VLOOKUP(C585,'PRECIO TERMINAL PEMEX'!$B$4:$E$35,3,0),IF(G585="Diesel",VLOOKUP(C585,'PRECIO TERMINAL PEMEX'!$B$4:$E$35,4,0),"Seleccione Producto"))),"-")</f>
        <v>Seleccione Producto</v>
      </c>
      <c r="L585" s="93" t="str">
        <f>+IFERROR(IF(F585="VHSA",VLOOKUP(B585,Listas!$C$4:$F$17,2,0),IF(F585="DOS BOCAS",VLOOKUP(B585,Listas!$C$4:$F$17,3,0),IF(F585="GLENCORE",VLOOKUP(B585,Listas!$C$4:$F$17,4,0),"Seleccione TAR"))),"-")</f>
        <v>Seleccione TAR</v>
      </c>
      <c r="M585" s="19" t="str">
        <f>+IFERROR(IF(G585="Regular",VLOOKUP(C585,'DESCUENTO PROVEEDORES'!$B$4:$E$35,2,0),IF(G585="Premium",VLOOKUP(C585,'DESCUENTO PROVEEDORES'!$B$4:$E$35,3,0),IF(G585="Diesel",VLOOKUP(C585,'DESCUENTO PROVEEDORES'!$B$4:$E$35,4,0),"Seleccione Proveedor"))),"-")</f>
        <v>Seleccione Proveedor</v>
      </c>
      <c r="N585" s="20" t="e">
        <f>((((K585-H585)/1.16)-M585))</f>
        <v>#VALUE!</v>
      </c>
      <c r="O585" s="21" t="e">
        <f>((N585*16%)+N585)+H585+L585</f>
        <v>#VALUE!</v>
      </c>
      <c r="P585" s="21" t="e">
        <f>(((J585-O585)-H585)/1.16)+H585</f>
        <v>#VALUE!</v>
      </c>
      <c r="Q585" s="44"/>
      <c r="R585" s="24"/>
      <c r="S585" s="23" t="e">
        <f t="shared" si="27"/>
        <v>#DIV/0!</v>
      </c>
      <c r="T585" s="23" t="e">
        <f t="shared" si="28"/>
        <v>#DIV/0!</v>
      </c>
      <c r="U585" s="22" t="e">
        <f t="shared" si="29"/>
        <v>#DIV/0!</v>
      </c>
      <c r="V585" s="44"/>
      <c r="W585" s="44"/>
      <c r="X585" s="44"/>
      <c r="Y585" s="44"/>
      <c r="Z585" s="44"/>
    </row>
    <row r="586" spans="1:26" ht="15.75" customHeight="1">
      <c r="A586" s="44"/>
      <c r="B586" s="14"/>
      <c r="C586" s="53"/>
      <c r="D586" s="15"/>
      <c r="E586" s="89"/>
      <c r="F586" s="16"/>
      <c r="G586" s="16"/>
      <c r="H586" s="90" t="str">
        <f>IF(G586="Regular",Listas!$K$16,IF(G586="Premium",Listas!$K$17,IF(G586="Diesel",Listas!$K$18,"-")))</f>
        <v>-</v>
      </c>
      <c r="I586" s="17"/>
      <c r="J586" s="18"/>
      <c r="K586" s="19" t="str">
        <f>+IFERROR(IF(G586="Regular",VLOOKUP(C586,'PRECIO TERMINAL PEMEX'!$B$4:$E$35,2,0),IF(G586="Premium",VLOOKUP(C586,'PRECIO TERMINAL PEMEX'!$B$4:$E$35,3,0),IF(G586="Diesel",VLOOKUP(C586,'PRECIO TERMINAL PEMEX'!$B$4:$E$35,4,0),"Seleccione Producto"))),"-")</f>
        <v>Seleccione Producto</v>
      </c>
      <c r="L586" s="93" t="str">
        <f>+IFERROR(IF(F586="VHSA",VLOOKUP(B586,Listas!$C$4:$F$17,2,0),IF(F586="DOS BOCAS",VLOOKUP(B586,Listas!$C$4:$F$17,3,0),IF(F586="GLENCORE",VLOOKUP(B586,Listas!$C$4:$F$17,4,0),"Seleccione TAR"))),"-")</f>
        <v>Seleccione TAR</v>
      </c>
      <c r="M586" s="19" t="str">
        <f>+IFERROR(IF(G586="Regular",VLOOKUP(C586,'DESCUENTO PROVEEDORES'!$B$4:$E$35,2,0),IF(G586="Premium",VLOOKUP(C586,'DESCUENTO PROVEEDORES'!$B$4:$E$35,3,0),IF(G586="Diesel",VLOOKUP(C586,'DESCUENTO PROVEEDORES'!$B$4:$E$35,4,0),"Seleccione Proveedor"))),"-")</f>
        <v>Seleccione Proveedor</v>
      </c>
      <c r="N586" s="20" t="e">
        <f>((((K586-H586)/1.16)-M586))</f>
        <v>#VALUE!</v>
      </c>
      <c r="O586" s="21" t="e">
        <f>((N586*16%)+N586)+H586+L586</f>
        <v>#VALUE!</v>
      </c>
      <c r="P586" s="21" t="e">
        <f>(((J586-O586)-H586)/1.16)+H586</f>
        <v>#VALUE!</v>
      </c>
      <c r="Q586" s="44"/>
      <c r="R586" s="24"/>
      <c r="S586" s="23" t="e">
        <f t="shared" si="27"/>
        <v>#DIV/0!</v>
      </c>
      <c r="T586" s="23" t="e">
        <f t="shared" si="28"/>
        <v>#DIV/0!</v>
      </c>
      <c r="U586" s="22" t="e">
        <f t="shared" si="29"/>
        <v>#DIV/0!</v>
      </c>
      <c r="V586" s="44"/>
      <c r="W586" s="44"/>
      <c r="X586" s="44"/>
      <c r="Y586" s="44"/>
      <c r="Z586" s="44"/>
    </row>
    <row r="587" spans="1:26" ht="15.75" customHeight="1">
      <c r="A587" s="44"/>
      <c r="B587" s="14"/>
      <c r="C587" s="53"/>
      <c r="D587" s="15"/>
      <c r="E587" s="89"/>
      <c r="F587" s="16"/>
      <c r="G587" s="16"/>
      <c r="H587" s="90" t="str">
        <f>IF(G587="Regular",Listas!$K$16,IF(G587="Premium",Listas!$K$17,IF(G587="Diesel",Listas!$K$18,"-")))</f>
        <v>-</v>
      </c>
      <c r="I587" s="17"/>
      <c r="J587" s="18"/>
      <c r="K587" s="19" t="str">
        <f>+IFERROR(IF(G587="Regular",VLOOKUP(C587,'PRECIO TERMINAL PEMEX'!$B$4:$E$35,2,0),IF(G587="Premium",VLOOKUP(C587,'PRECIO TERMINAL PEMEX'!$B$4:$E$35,3,0),IF(G587="Diesel",VLOOKUP(C587,'PRECIO TERMINAL PEMEX'!$B$4:$E$35,4,0),"Seleccione Producto"))),"-")</f>
        <v>Seleccione Producto</v>
      </c>
      <c r="L587" s="93" t="str">
        <f>+IFERROR(IF(F587="VHSA",VLOOKUP(B587,Listas!$C$4:$F$17,2,0),IF(F587="DOS BOCAS",VLOOKUP(B587,Listas!$C$4:$F$17,3,0),IF(F587="GLENCORE",VLOOKUP(B587,Listas!$C$4:$F$17,4,0),"Seleccione TAR"))),"-")</f>
        <v>Seleccione TAR</v>
      </c>
      <c r="M587" s="19" t="str">
        <f>+IFERROR(IF(G587="Regular",VLOOKUP(C587,'DESCUENTO PROVEEDORES'!$B$4:$E$35,2,0),IF(G587="Premium",VLOOKUP(C587,'DESCUENTO PROVEEDORES'!$B$4:$E$35,3,0),IF(G587="Diesel",VLOOKUP(C587,'DESCUENTO PROVEEDORES'!$B$4:$E$35,4,0),"Seleccione Proveedor"))),"-")</f>
        <v>Seleccione Proveedor</v>
      </c>
      <c r="N587" s="20" t="e">
        <f>((((K587-H587)/1.16)-M587))</f>
        <v>#VALUE!</v>
      </c>
      <c r="O587" s="21" t="e">
        <f>((N587*16%)+N587)+H587+L587</f>
        <v>#VALUE!</v>
      </c>
      <c r="P587" s="21" t="e">
        <f>(((J587-O587)-H587)/1.16)+H587</f>
        <v>#VALUE!</v>
      </c>
      <c r="Q587" s="44"/>
      <c r="R587" s="24"/>
      <c r="S587" s="23" t="e">
        <f t="shared" si="27"/>
        <v>#DIV/0!</v>
      </c>
      <c r="T587" s="23" t="e">
        <f t="shared" si="28"/>
        <v>#DIV/0!</v>
      </c>
      <c r="U587" s="22" t="e">
        <f t="shared" si="29"/>
        <v>#DIV/0!</v>
      </c>
      <c r="V587" s="44"/>
      <c r="W587" s="44"/>
      <c r="X587" s="44"/>
      <c r="Y587" s="44"/>
      <c r="Z587" s="44"/>
    </row>
    <row r="588" spans="1:26" ht="15.75" customHeight="1">
      <c r="A588" s="44"/>
      <c r="B588" s="14"/>
      <c r="C588" s="53"/>
      <c r="D588" s="15"/>
      <c r="E588" s="89"/>
      <c r="F588" s="16"/>
      <c r="G588" s="16"/>
      <c r="H588" s="90" t="str">
        <f>IF(G588="Regular",Listas!$K$16,IF(G588="Premium",Listas!$K$17,IF(G588="Diesel",Listas!$K$18,"-")))</f>
        <v>-</v>
      </c>
      <c r="I588" s="17"/>
      <c r="J588" s="18"/>
      <c r="K588" s="19" t="str">
        <f>+IFERROR(IF(G588="Regular",VLOOKUP(C588,'PRECIO TERMINAL PEMEX'!$B$4:$E$35,2,0),IF(G588="Premium",VLOOKUP(C588,'PRECIO TERMINAL PEMEX'!$B$4:$E$35,3,0),IF(G588="Diesel",VLOOKUP(C588,'PRECIO TERMINAL PEMEX'!$B$4:$E$35,4,0),"Seleccione Producto"))),"-")</f>
        <v>Seleccione Producto</v>
      </c>
      <c r="L588" s="93" t="str">
        <f>+IFERROR(IF(F588="VHSA",VLOOKUP(B588,Listas!$C$4:$F$17,2,0),IF(F588="DOS BOCAS",VLOOKUP(B588,Listas!$C$4:$F$17,3,0),IF(F588="GLENCORE",VLOOKUP(B588,Listas!$C$4:$F$17,4,0),"Seleccione TAR"))),"-")</f>
        <v>Seleccione TAR</v>
      </c>
      <c r="M588" s="19" t="str">
        <f>+IFERROR(IF(G588="Regular",VLOOKUP(C588,'DESCUENTO PROVEEDORES'!$B$4:$E$35,2,0),IF(G588="Premium",VLOOKUP(C588,'DESCUENTO PROVEEDORES'!$B$4:$E$35,3,0),IF(G588="Diesel",VLOOKUP(C588,'DESCUENTO PROVEEDORES'!$B$4:$E$35,4,0),"Seleccione Proveedor"))),"-")</f>
        <v>Seleccione Proveedor</v>
      </c>
      <c r="N588" s="20" t="e">
        <f>((((K588-H588)/1.16)-M588))</f>
        <v>#VALUE!</v>
      </c>
      <c r="O588" s="21" t="e">
        <f>((N588*16%)+N588)+H588+L588</f>
        <v>#VALUE!</v>
      </c>
      <c r="P588" s="21" t="e">
        <f>(((J588-O588)-H588)/1.16)+H588</f>
        <v>#VALUE!</v>
      </c>
      <c r="Q588" s="44"/>
      <c r="R588" s="24"/>
      <c r="S588" s="23" t="e">
        <f t="shared" si="27"/>
        <v>#DIV/0!</v>
      </c>
      <c r="T588" s="23" t="e">
        <f t="shared" si="28"/>
        <v>#DIV/0!</v>
      </c>
      <c r="U588" s="22" t="e">
        <f t="shared" si="29"/>
        <v>#DIV/0!</v>
      </c>
      <c r="V588" s="44"/>
      <c r="W588" s="44"/>
      <c r="X588" s="44"/>
      <c r="Y588" s="44"/>
      <c r="Z588" s="44"/>
    </row>
    <row r="589" spans="1:26" ht="15.75" customHeight="1">
      <c r="A589" s="44"/>
      <c r="B589" s="14"/>
      <c r="C589" s="53"/>
      <c r="D589" s="15"/>
      <c r="E589" s="89"/>
      <c r="F589" s="16"/>
      <c r="G589" s="16"/>
      <c r="H589" s="90" t="str">
        <f>IF(G589="Regular",Listas!$K$16,IF(G589="Premium",Listas!$K$17,IF(G589="Diesel",Listas!$K$18,"-")))</f>
        <v>-</v>
      </c>
      <c r="I589" s="17"/>
      <c r="J589" s="18"/>
      <c r="K589" s="19" t="str">
        <f>+IFERROR(IF(G589="Regular",VLOOKUP(C589,'PRECIO TERMINAL PEMEX'!$B$4:$E$35,2,0),IF(G589="Premium",VLOOKUP(C589,'PRECIO TERMINAL PEMEX'!$B$4:$E$35,3,0),IF(G589="Diesel",VLOOKUP(C589,'PRECIO TERMINAL PEMEX'!$B$4:$E$35,4,0),"Seleccione Producto"))),"-")</f>
        <v>Seleccione Producto</v>
      </c>
      <c r="L589" s="93" t="str">
        <f>+IFERROR(IF(F589="VHSA",VLOOKUP(B589,Listas!$C$4:$F$17,2,0),IF(F589="DOS BOCAS",VLOOKUP(B589,Listas!$C$4:$F$17,3,0),IF(F589="GLENCORE",VLOOKUP(B589,Listas!$C$4:$F$17,4,0),"Seleccione TAR"))),"-")</f>
        <v>Seleccione TAR</v>
      </c>
      <c r="M589" s="19" t="str">
        <f>+IFERROR(IF(G589="Regular",VLOOKUP(C589,'DESCUENTO PROVEEDORES'!$B$4:$E$35,2,0),IF(G589="Premium",VLOOKUP(C589,'DESCUENTO PROVEEDORES'!$B$4:$E$35,3,0),IF(G589="Diesel",VLOOKUP(C589,'DESCUENTO PROVEEDORES'!$B$4:$E$35,4,0),"Seleccione Proveedor"))),"-")</f>
        <v>Seleccione Proveedor</v>
      </c>
      <c r="N589" s="20" t="e">
        <f>((((K589-H589)/1.16)-M589))</f>
        <v>#VALUE!</v>
      </c>
      <c r="O589" s="21" t="e">
        <f>((N589*16%)+N589)+H589+L589</f>
        <v>#VALUE!</v>
      </c>
      <c r="P589" s="21" t="e">
        <f>(((J589-O589)-H589)/1.16)+H589</f>
        <v>#VALUE!</v>
      </c>
      <c r="Q589" s="44"/>
      <c r="R589" s="24"/>
      <c r="S589" s="23" t="e">
        <f t="shared" si="27"/>
        <v>#DIV/0!</v>
      </c>
      <c r="T589" s="23" t="e">
        <f t="shared" si="28"/>
        <v>#DIV/0!</v>
      </c>
      <c r="U589" s="22" t="e">
        <f t="shared" si="29"/>
        <v>#DIV/0!</v>
      </c>
      <c r="V589" s="44"/>
      <c r="W589" s="44"/>
      <c r="X589" s="44"/>
      <c r="Y589" s="44"/>
      <c r="Z589" s="44"/>
    </row>
    <row r="590" spans="1:26" ht="15.75" customHeight="1">
      <c r="A590" s="44"/>
      <c r="B590" s="14"/>
      <c r="C590" s="53"/>
      <c r="D590" s="15"/>
      <c r="E590" s="89"/>
      <c r="F590" s="16"/>
      <c r="G590" s="16"/>
      <c r="H590" s="90" t="str">
        <f>IF(G590="Regular",Listas!$K$16,IF(G590="Premium",Listas!$K$17,IF(G590="Diesel",Listas!$K$18,"-")))</f>
        <v>-</v>
      </c>
      <c r="I590" s="17"/>
      <c r="J590" s="18"/>
      <c r="K590" s="19" t="str">
        <f>+IFERROR(IF(G590="Regular",VLOOKUP(C590,'PRECIO TERMINAL PEMEX'!$B$4:$E$35,2,0),IF(G590="Premium",VLOOKUP(C590,'PRECIO TERMINAL PEMEX'!$B$4:$E$35,3,0),IF(G590="Diesel",VLOOKUP(C590,'PRECIO TERMINAL PEMEX'!$B$4:$E$35,4,0),"Seleccione Producto"))),"-")</f>
        <v>Seleccione Producto</v>
      </c>
      <c r="L590" s="93" t="str">
        <f>+IFERROR(IF(F590="VHSA",VLOOKUP(B590,Listas!$C$4:$F$17,2,0),IF(F590="DOS BOCAS",VLOOKUP(B590,Listas!$C$4:$F$17,3,0),IF(F590="GLENCORE",VLOOKUP(B590,Listas!$C$4:$F$17,4,0),"Seleccione TAR"))),"-")</f>
        <v>Seleccione TAR</v>
      </c>
      <c r="M590" s="19" t="str">
        <f>+IFERROR(IF(G590="Regular",VLOOKUP(C590,'DESCUENTO PROVEEDORES'!$B$4:$E$35,2,0),IF(G590="Premium",VLOOKUP(C590,'DESCUENTO PROVEEDORES'!$B$4:$E$35,3,0),IF(G590="Diesel",VLOOKUP(C590,'DESCUENTO PROVEEDORES'!$B$4:$E$35,4,0),"Seleccione Proveedor"))),"-")</f>
        <v>Seleccione Proveedor</v>
      </c>
      <c r="N590" s="20" t="e">
        <f>((((K590-H590)/1.16)-M590))</f>
        <v>#VALUE!</v>
      </c>
      <c r="O590" s="21" t="e">
        <f>((N590*16%)+N590)+H590+L590</f>
        <v>#VALUE!</v>
      </c>
      <c r="P590" s="21" t="e">
        <f>(((J590-O590)-H590)/1.16)+H590</f>
        <v>#VALUE!</v>
      </c>
      <c r="Q590" s="44"/>
      <c r="R590" s="24"/>
      <c r="S590" s="23" t="e">
        <f t="shared" si="27"/>
        <v>#DIV/0!</v>
      </c>
      <c r="T590" s="23" t="e">
        <f t="shared" si="28"/>
        <v>#DIV/0!</v>
      </c>
      <c r="U590" s="22" t="e">
        <f t="shared" si="29"/>
        <v>#DIV/0!</v>
      </c>
      <c r="V590" s="44"/>
      <c r="W590" s="44"/>
      <c r="X590" s="44"/>
      <c r="Y590" s="44"/>
      <c r="Z590" s="44"/>
    </row>
    <row r="591" spans="1:26" ht="15.75" customHeight="1">
      <c r="A591" s="44"/>
      <c r="B591" s="14"/>
      <c r="C591" s="53"/>
      <c r="D591" s="15"/>
      <c r="E591" s="89"/>
      <c r="F591" s="16"/>
      <c r="G591" s="16"/>
      <c r="H591" s="90" t="str">
        <f>IF(G591="Regular",Listas!$K$16,IF(G591="Premium",Listas!$K$17,IF(G591="Diesel",Listas!$K$18,"-")))</f>
        <v>-</v>
      </c>
      <c r="I591" s="17"/>
      <c r="J591" s="18"/>
      <c r="K591" s="19" t="str">
        <f>+IFERROR(IF(G591="Regular",VLOOKUP(C591,'PRECIO TERMINAL PEMEX'!$B$4:$E$35,2,0),IF(G591="Premium",VLOOKUP(C591,'PRECIO TERMINAL PEMEX'!$B$4:$E$35,3,0),IF(G591="Diesel",VLOOKUP(C591,'PRECIO TERMINAL PEMEX'!$B$4:$E$35,4,0),"Seleccione Producto"))),"-")</f>
        <v>Seleccione Producto</v>
      </c>
      <c r="L591" s="93" t="str">
        <f>+IFERROR(IF(F591="VHSA",VLOOKUP(B591,Listas!$C$4:$F$17,2,0),IF(F591="DOS BOCAS",VLOOKUP(B591,Listas!$C$4:$F$17,3,0),IF(F591="GLENCORE",VLOOKUP(B591,Listas!$C$4:$F$17,4,0),"Seleccione TAR"))),"-")</f>
        <v>Seleccione TAR</v>
      </c>
      <c r="M591" s="19" t="str">
        <f>+IFERROR(IF(G591="Regular",VLOOKUP(C591,'DESCUENTO PROVEEDORES'!$B$4:$E$35,2,0),IF(G591="Premium",VLOOKUP(C591,'DESCUENTO PROVEEDORES'!$B$4:$E$35,3,0),IF(G591="Diesel",VLOOKUP(C591,'DESCUENTO PROVEEDORES'!$B$4:$E$35,4,0),"Seleccione Proveedor"))),"-")</f>
        <v>Seleccione Proveedor</v>
      </c>
      <c r="N591" s="20" t="e">
        <f>((((K591-H591)/1.16)-M591))</f>
        <v>#VALUE!</v>
      </c>
      <c r="O591" s="21" t="e">
        <f>((N591*16%)+N591)+H591+L591</f>
        <v>#VALUE!</v>
      </c>
      <c r="P591" s="21" t="e">
        <f>(((J591-O591)-H591)/1.16)+H591</f>
        <v>#VALUE!</v>
      </c>
      <c r="Q591" s="44"/>
      <c r="R591" s="24"/>
      <c r="S591" s="23" t="e">
        <f t="shared" si="27"/>
        <v>#DIV/0!</v>
      </c>
      <c r="T591" s="23" t="e">
        <f t="shared" si="28"/>
        <v>#DIV/0!</v>
      </c>
      <c r="U591" s="22" t="e">
        <f t="shared" si="29"/>
        <v>#DIV/0!</v>
      </c>
      <c r="V591" s="44"/>
      <c r="W591" s="44"/>
      <c r="X591" s="44"/>
      <c r="Y591" s="44"/>
      <c r="Z591" s="44"/>
    </row>
    <row r="592" spans="1:26" ht="15.75" customHeight="1">
      <c r="A592" s="44"/>
      <c r="B592" s="14"/>
      <c r="C592" s="53"/>
      <c r="D592" s="15"/>
      <c r="E592" s="89"/>
      <c r="F592" s="16"/>
      <c r="G592" s="16"/>
      <c r="H592" s="90" t="str">
        <f>IF(G592="Regular",Listas!$K$16,IF(G592="Premium",Listas!$K$17,IF(G592="Diesel",Listas!$K$18,"-")))</f>
        <v>-</v>
      </c>
      <c r="I592" s="17"/>
      <c r="J592" s="18"/>
      <c r="K592" s="19" t="str">
        <f>+IFERROR(IF(G592="Regular",VLOOKUP(C592,'PRECIO TERMINAL PEMEX'!$B$4:$E$35,2,0),IF(G592="Premium",VLOOKUP(C592,'PRECIO TERMINAL PEMEX'!$B$4:$E$35,3,0),IF(G592="Diesel",VLOOKUP(C592,'PRECIO TERMINAL PEMEX'!$B$4:$E$35,4,0),"Seleccione Producto"))),"-")</f>
        <v>Seleccione Producto</v>
      </c>
      <c r="L592" s="93" t="str">
        <f>+IFERROR(IF(F592="VHSA",VLOOKUP(B592,Listas!$C$4:$F$17,2,0),IF(F592="DOS BOCAS",VLOOKUP(B592,Listas!$C$4:$F$17,3,0),IF(F592="GLENCORE",VLOOKUP(B592,Listas!$C$4:$F$17,4,0),"Seleccione TAR"))),"-")</f>
        <v>Seleccione TAR</v>
      </c>
      <c r="M592" s="19" t="str">
        <f>+IFERROR(IF(G592="Regular",VLOOKUP(C592,'DESCUENTO PROVEEDORES'!$B$4:$E$35,2,0),IF(G592="Premium",VLOOKUP(C592,'DESCUENTO PROVEEDORES'!$B$4:$E$35,3,0),IF(G592="Diesel",VLOOKUP(C592,'DESCUENTO PROVEEDORES'!$B$4:$E$35,4,0),"Seleccione Proveedor"))),"-")</f>
        <v>Seleccione Proveedor</v>
      </c>
      <c r="N592" s="20" t="e">
        <f>((((K592-H592)/1.16)-M592))</f>
        <v>#VALUE!</v>
      </c>
      <c r="O592" s="21" t="e">
        <f>((N592*16%)+N592)+H592+L592</f>
        <v>#VALUE!</v>
      </c>
      <c r="P592" s="21" t="e">
        <f>(((J592-O592)-H592)/1.16)+H592</f>
        <v>#VALUE!</v>
      </c>
      <c r="Q592" s="44"/>
      <c r="R592" s="24"/>
      <c r="S592" s="23" t="e">
        <f t="shared" si="27"/>
        <v>#DIV/0!</v>
      </c>
      <c r="T592" s="23" t="e">
        <f t="shared" si="28"/>
        <v>#DIV/0!</v>
      </c>
      <c r="U592" s="22" t="e">
        <f t="shared" si="29"/>
        <v>#DIV/0!</v>
      </c>
      <c r="V592" s="44"/>
      <c r="W592" s="44"/>
      <c r="X592" s="44"/>
      <c r="Y592" s="44"/>
      <c r="Z592" s="44"/>
    </row>
    <row r="593" spans="1:26" ht="15.75" customHeight="1">
      <c r="A593" s="44"/>
      <c r="B593" s="14"/>
      <c r="C593" s="53"/>
      <c r="D593" s="15"/>
      <c r="E593" s="89"/>
      <c r="F593" s="16"/>
      <c r="G593" s="16"/>
      <c r="H593" s="90" t="str">
        <f>IF(G593="Regular",Listas!$K$16,IF(G593="Premium",Listas!$K$17,IF(G593="Diesel",Listas!$K$18,"-")))</f>
        <v>-</v>
      </c>
      <c r="I593" s="17"/>
      <c r="J593" s="18"/>
      <c r="K593" s="19" t="str">
        <f>+IFERROR(IF(G593="Regular",VLOOKUP(C593,'PRECIO TERMINAL PEMEX'!$B$4:$E$35,2,0),IF(G593="Premium",VLOOKUP(C593,'PRECIO TERMINAL PEMEX'!$B$4:$E$35,3,0),IF(G593="Diesel",VLOOKUP(C593,'PRECIO TERMINAL PEMEX'!$B$4:$E$35,4,0),"Seleccione Producto"))),"-")</f>
        <v>Seleccione Producto</v>
      </c>
      <c r="L593" s="93" t="str">
        <f>+IFERROR(IF(F593="VHSA",VLOOKUP(B593,Listas!$C$4:$F$17,2,0),IF(F593="DOS BOCAS",VLOOKUP(B593,Listas!$C$4:$F$17,3,0),IF(F593="GLENCORE",VLOOKUP(B593,Listas!$C$4:$F$17,4,0),"Seleccione TAR"))),"-")</f>
        <v>Seleccione TAR</v>
      </c>
      <c r="M593" s="19" t="str">
        <f>+IFERROR(IF(G593="Regular",VLOOKUP(C593,'DESCUENTO PROVEEDORES'!$B$4:$E$35,2,0),IF(G593="Premium",VLOOKUP(C593,'DESCUENTO PROVEEDORES'!$B$4:$E$35,3,0),IF(G593="Diesel",VLOOKUP(C593,'DESCUENTO PROVEEDORES'!$B$4:$E$35,4,0),"Seleccione Proveedor"))),"-")</f>
        <v>Seleccione Proveedor</v>
      </c>
      <c r="N593" s="20" t="e">
        <f>((((K593-H593)/1.16)-M593))</f>
        <v>#VALUE!</v>
      </c>
      <c r="O593" s="21" t="e">
        <f>((N593*16%)+N593)+H593+L593</f>
        <v>#VALUE!</v>
      </c>
      <c r="P593" s="21" t="e">
        <f>(((J593-O593)-H593)/1.16)+H593</f>
        <v>#VALUE!</v>
      </c>
      <c r="Q593" s="44"/>
      <c r="R593" s="24"/>
      <c r="S593" s="23" t="e">
        <f t="shared" si="27"/>
        <v>#DIV/0!</v>
      </c>
      <c r="T593" s="23" t="e">
        <f t="shared" si="28"/>
        <v>#DIV/0!</v>
      </c>
      <c r="U593" s="22" t="e">
        <f t="shared" si="29"/>
        <v>#DIV/0!</v>
      </c>
      <c r="V593" s="44"/>
      <c r="W593" s="44"/>
      <c r="X593" s="44"/>
      <c r="Y593" s="44"/>
      <c r="Z593" s="44"/>
    </row>
    <row r="594" spans="1:26" ht="15.75" customHeight="1">
      <c r="A594" s="44"/>
      <c r="B594" s="14"/>
      <c r="C594" s="53"/>
      <c r="D594" s="15"/>
      <c r="E594" s="89"/>
      <c r="F594" s="16"/>
      <c r="G594" s="16"/>
      <c r="H594" s="90" t="str">
        <f>IF(G594="Regular",Listas!$K$16,IF(G594="Premium",Listas!$K$17,IF(G594="Diesel",Listas!$K$18,"-")))</f>
        <v>-</v>
      </c>
      <c r="I594" s="17"/>
      <c r="J594" s="18"/>
      <c r="K594" s="19" t="str">
        <f>+IFERROR(IF(G594="Regular",VLOOKUP(C594,'PRECIO TERMINAL PEMEX'!$B$4:$E$35,2,0),IF(G594="Premium",VLOOKUP(C594,'PRECIO TERMINAL PEMEX'!$B$4:$E$35,3,0),IF(G594="Diesel",VLOOKUP(C594,'PRECIO TERMINAL PEMEX'!$B$4:$E$35,4,0),"Seleccione Producto"))),"-")</f>
        <v>Seleccione Producto</v>
      </c>
      <c r="L594" s="93" t="str">
        <f>+IFERROR(IF(F594="VHSA",VLOOKUP(B594,Listas!$C$4:$F$17,2,0),IF(F594="DOS BOCAS",VLOOKUP(B594,Listas!$C$4:$F$17,3,0),IF(F594="GLENCORE",VLOOKUP(B594,Listas!$C$4:$F$17,4,0),"Seleccione TAR"))),"-")</f>
        <v>Seleccione TAR</v>
      </c>
      <c r="M594" s="19" t="str">
        <f>+IFERROR(IF(G594="Regular",VLOOKUP(C594,'DESCUENTO PROVEEDORES'!$B$4:$E$35,2,0),IF(G594="Premium",VLOOKUP(C594,'DESCUENTO PROVEEDORES'!$B$4:$E$35,3,0),IF(G594="Diesel",VLOOKUP(C594,'DESCUENTO PROVEEDORES'!$B$4:$E$35,4,0),"Seleccione Proveedor"))),"-")</f>
        <v>Seleccione Proveedor</v>
      </c>
      <c r="N594" s="20" t="e">
        <f>((((K594-H594)/1.16)-M594))</f>
        <v>#VALUE!</v>
      </c>
      <c r="O594" s="21" t="e">
        <f>((N594*16%)+N594)+H594+L594</f>
        <v>#VALUE!</v>
      </c>
      <c r="P594" s="21" t="e">
        <f>(((J594-O594)-H594)/1.16)+H594</f>
        <v>#VALUE!</v>
      </c>
      <c r="Q594" s="44"/>
      <c r="R594" s="24"/>
      <c r="S594" s="23" t="e">
        <f t="shared" si="27"/>
        <v>#DIV/0!</v>
      </c>
      <c r="T594" s="23" t="e">
        <f t="shared" si="28"/>
        <v>#DIV/0!</v>
      </c>
      <c r="U594" s="22" t="e">
        <f t="shared" si="29"/>
        <v>#DIV/0!</v>
      </c>
      <c r="V594" s="44"/>
      <c r="W594" s="44"/>
      <c r="X594" s="44"/>
      <c r="Y594" s="44"/>
      <c r="Z594" s="44"/>
    </row>
    <row r="595" spans="1:26" ht="15.75" customHeight="1">
      <c r="A595" s="44"/>
      <c r="B595" s="14"/>
      <c r="C595" s="53"/>
      <c r="D595" s="15"/>
      <c r="E595" s="89"/>
      <c r="F595" s="16"/>
      <c r="G595" s="16"/>
      <c r="H595" s="90" t="str">
        <f>IF(G595="Regular",Listas!$K$16,IF(G595="Premium",Listas!$K$17,IF(G595="Diesel",Listas!$K$18,"-")))</f>
        <v>-</v>
      </c>
      <c r="I595" s="17"/>
      <c r="J595" s="18"/>
      <c r="K595" s="19" t="str">
        <f>+IFERROR(IF(G595="Regular",VLOOKUP(C595,'PRECIO TERMINAL PEMEX'!$B$4:$E$35,2,0),IF(G595="Premium",VLOOKUP(C595,'PRECIO TERMINAL PEMEX'!$B$4:$E$35,3,0),IF(G595="Diesel",VLOOKUP(C595,'PRECIO TERMINAL PEMEX'!$B$4:$E$35,4,0),"Seleccione Producto"))),"-")</f>
        <v>Seleccione Producto</v>
      </c>
      <c r="L595" s="93" t="str">
        <f>+IFERROR(IF(F595="VHSA",VLOOKUP(B595,Listas!$C$4:$F$17,2,0),IF(F595="DOS BOCAS",VLOOKUP(B595,Listas!$C$4:$F$17,3,0),IF(F595="GLENCORE",VLOOKUP(B595,Listas!$C$4:$F$17,4,0),"Seleccione TAR"))),"-")</f>
        <v>Seleccione TAR</v>
      </c>
      <c r="M595" s="19" t="str">
        <f>+IFERROR(IF(G595="Regular",VLOOKUP(C595,'DESCUENTO PROVEEDORES'!$B$4:$E$35,2,0),IF(G595="Premium",VLOOKUP(C595,'DESCUENTO PROVEEDORES'!$B$4:$E$35,3,0),IF(G595="Diesel",VLOOKUP(C595,'DESCUENTO PROVEEDORES'!$B$4:$E$35,4,0),"Seleccione Proveedor"))),"-")</f>
        <v>Seleccione Proveedor</v>
      </c>
      <c r="N595" s="20" t="e">
        <f>((((K595-H595)/1.16)-M595))</f>
        <v>#VALUE!</v>
      </c>
      <c r="O595" s="21" t="e">
        <f>((N595*16%)+N595)+H595+L595</f>
        <v>#VALUE!</v>
      </c>
      <c r="P595" s="21" t="e">
        <f>(((J595-O595)-H595)/1.16)+H595</f>
        <v>#VALUE!</v>
      </c>
      <c r="Q595" s="44"/>
      <c r="R595" s="24"/>
      <c r="S595" s="23" t="e">
        <f t="shared" si="27"/>
        <v>#DIV/0!</v>
      </c>
      <c r="T595" s="23" t="e">
        <f t="shared" si="28"/>
        <v>#DIV/0!</v>
      </c>
      <c r="U595" s="22" t="e">
        <f t="shared" si="29"/>
        <v>#DIV/0!</v>
      </c>
      <c r="V595" s="44"/>
      <c r="W595" s="44"/>
      <c r="X595" s="44"/>
      <c r="Y595" s="44"/>
      <c r="Z595" s="44"/>
    </row>
    <row r="596" spans="1:26" ht="15.75" customHeight="1">
      <c r="A596" s="44"/>
      <c r="B596" s="14"/>
      <c r="C596" s="53"/>
      <c r="D596" s="15"/>
      <c r="E596" s="89"/>
      <c r="F596" s="16"/>
      <c r="G596" s="16"/>
      <c r="H596" s="90" t="str">
        <f>IF(G596="Regular",Listas!$K$16,IF(G596="Premium",Listas!$K$17,IF(G596="Diesel",Listas!$K$18,"-")))</f>
        <v>-</v>
      </c>
      <c r="I596" s="17"/>
      <c r="J596" s="18"/>
      <c r="K596" s="19" t="str">
        <f>+IFERROR(IF(G596="Regular",VLOOKUP(C596,'PRECIO TERMINAL PEMEX'!$B$4:$E$35,2,0),IF(G596="Premium",VLOOKUP(C596,'PRECIO TERMINAL PEMEX'!$B$4:$E$35,3,0),IF(G596="Diesel",VLOOKUP(C596,'PRECIO TERMINAL PEMEX'!$B$4:$E$35,4,0),"Seleccione Producto"))),"-")</f>
        <v>Seleccione Producto</v>
      </c>
      <c r="L596" s="93" t="str">
        <f>+IFERROR(IF(F596="VHSA",VLOOKUP(B596,Listas!$C$4:$F$17,2,0),IF(F596="DOS BOCAS",VLOOKUP(B596,Listas!$C$4:$F$17,3,0),IF(F596="GLENCORE",VLOOKUP(B596,Listas!$C$4:$F$17,4,0),"Seleccione TAR"))),"-")</f>
        <v>Seleccione TAR</v>
      </c>
      <c r="M596" s="19" t="str">
        <f>+IFERROR(IF(G596="Regular",VLOOKUP(C596,'DESCUENTO PROVEEDORES'!$B$4:$E$35,2,0),IF(G596="Premium",VLOOKUP(C596,'DESCUENTO PROVEEDORES'!$B$4:$E$35,3,0),IF(G596="Diesel",VLOOKUP(C596,'DESCUENTO PROVEEDORES'!$B$4:$E$35,4,0),"Seleccione Proveedor"))),"-")</f>
        <v>Seleccione Proveedor</v>
      </c>
      <c r="N596" s="20" t="e">
        <f>((((K596-H596)/1.16)-M596))</f>
        <v>#VALUE!</v>
      </c>
      <c r="O596" s="21" t="e">
        <f>((N596*16%)+N596)+H596+L596</f>
        <v>#VALUE!</v>
      </c>
      <c r="P596" s="21" t="e">
        <f>(((J596-O596)-H596)/1.16)+H596</f>
        <v>#VALUE!</v>
      </c>
      <c r="Q596" s="44"/>
      <c r="R596" s="24"/>
      <c r="S596" s="23" t="e">
        <f t="shared" si="27"/>
        <v>#DIV/0!</v>
      </c>
      <c r="T596" s="23" t="e">
        <f t="shared" si="28"/>
        <v>#DIV/0!</v>
      </c>
      <c r="U596" s="22" t="e">
        <f t="shared" si="29"/>
        <v>#DIV/0!</v>
      </c>
      <c r="V596" s="44"/>
      <c r="W596" s="44"/>
      <c r="X596" s="44"/>
      <c r="Y596" s="44"/>
      <c r="Z596" s="44"/>
    </row>
    <row r="597" spans="1:26" ht="15.75" customHeight="1">
      <c r="A597" s="44"/>
      <c r="B597" s="14"/>
      <c r="C597" s="53"/>
      <c r="D597" s="15"/>
      <c r="E597" s="89"/>
      <c r="F597" s="16"/>
      <c r="G597" s="16"/>
      <c r="H597" s="90" t="str">
        <f>IF(G597="Regular",Listas!$K$16,IF(G597="Premium",Listas!$K$17,IF(G597="Diesel",Listas!$K$18,"-")))</f>
        <v>-</v>
      </c>
      <c r="I597" s="17"/>
      <c r="J597" s="18"/>
      <c r="K597" s="19" t="str">
        <f>+IFERROR(IF(G597="Regular",VLOOKUP(C597,'PRECIO TERMINAL PEMEX'!$B$4:$E$35,2,0),IF(G597="Premium",VLOOKUP(C597,'PRECIO TERMINAL PEMEX'!$B$4:$E$35,3,0),IF(G597="Diesel",VLOOKUP(C597,'PRECIO TERMINAL PEMEX'!$B$4:$E$35,4,0),"Seleccione Producto"))),"-")</f>
        <v>Seleccione Producto</v>
      </c>
      <c r="L597" s="93" t="str">
        <f>+IFERROR(IF(F597="VHSA",VLOOKUP(B597,Listas!$C$4:$F$17,2,0),IF(F597="DOS BOCAS",VLOOKUP(B597,Listas!$C$4:$F$17,3,0),IF(F597="GLENCORE",VLOOKUP(B597,Listas!$C$4:$F$17,4,0),"Seleccione TAR"))),"-")</f>
        <v>Seleccione TAR</v>
      </c>
      <c r="M597" s="19" t="str">
        <f>+IFERROR(IF(G597="Regular",VLOOKUP(C597,'DESCUENTO PROVEEDORES'!$B$4:$E$35,2,0),IF(G597="Premium",VLOOKUP(C597,'DESCUENTO PROVEEDORES'!$B$4:$E$35,3,0),IF(G597="Diesel",VLOOKUP(C597,'DESCUENTO PROVEEDORES'!$B$4:$E$35,4,0),"Seleccione Proveedor"))),"-")</f>
        <v>Seleccione Proveedor</v>
      </c>
      <c r="N597" s="20" t="e">
        <f>((((K597-H597)/1.16)-M597))</f>
        <v>#VALUE!</v>
      </c>
      <c r="O597" s="21" t="e">
        <f>((N597*16%)+N597)+H597+L597</f>
        <v>#VALUE!</v>
      </c>
      <c r="P597" s="21" t="e">
        <f>(((J597-O597)-H597)/1.16)+H597</f>
        <v>#VALUE!</v>
      </c>
      <c r="Q597" s="44"/>
      <c r="R597" s="24"/>
      <c r="S597" s="23" t="e">
        <f t="shared" si="27"/>
        <v>#DIV/0!</v>
      </c>
      <c r="T597" s="23" t="e">
        <f t="shared" si="28"/>
        <v>#DIV/0!</v>
      </c>
      <c r="U597" s="22" t="e">
        <f t="shared" si="29"/>
        <v>#DIV/0!</v>
      </c>
      <c r="V597" s="44"/>
      <c r="W597" s="44"/>
      <c r="X597" s="44"/>
      <c r="Y597" s="44"/>
      <c r="Z597" s="44"/>
    </row>
    <row r="598" spans="1:26" ht="15.75" customHeight="1">
      <c r="A598" s="44"/>
      <c r="B598" s="14"/>
      <c r="C598" s="53"/>
      <c r="D598" s="15"/>
      <c r="E598" s="89"/>
      <c r="F598" s="16"/>
      <c r="G598" s="16"/>
      <c r="H598" s="90" t="str">
        <f>IF(G598="Regular",Listas!$K$16,IF(G598="Premium",Listas!$K$17,IF(G598="Diesel",Listas!$K$18,"-")))</f>
        <v>-</v>
      </c>
      <c r="I598" s="17"/>
      <c r="J598" s="18"/>
      <c r="K598" s="19" t="str">
        <f>+IFERROR(IF(G598="Regular",VLOOKUP(C598,'PRECIO TERMINAL PEMEX'!$B$4:$E$35,2,0),IF(G598="Premium",VLOOKUP(C598,'PRECIO TERMINAL PEMEX'!$B$4:$E$35,3,0),IF(G598="Diesel",VLOOKUP(C598,'PRECIO TERMINAL PEMEX'!$B$4:$E$35,4,0),"Seleccione Producto"))),"-")</f>
        <v>Seleccione Producto</v>
      </c>
      <c r="L598" s="93" t="str">
        <f>+IFERROR(IF(F598="VHSA",VLOOKUP(B598,Listas!$C$4:$F$17,2,0),IF(F598="DOS BOCAS",VLOOKUP(B598,Listas!$C$4:$F$17,3,0),IF(F598="GLENCORE",VLOOKUP(B598,Listas!$C$4:$F$17,4,0),"Seleccione TAR"))),"-")</f>
        <v>Seleccione TAR</v>
      </c>
      <c r="M598" s="19" t="str">
        <f>+IFERROR(IF(G598="Regular",VLOOKUP(C598,'DESCUENTO PROVEEDORES'!$B$4:$E$35,2,0),IF(G598="Premium",VLOOKUP(C598,'DESCUENTO PROVEEDORES'!$B$4:$E$35,3,0),IF(G598="Diesel",VLOOKUP(C598,'DESCUENTO PROVEEDORES'!$B$4:$E$35,4,0),"Seleccione Proveedor"))),"-")</f>
        <v>Seleccione Proveedor</v>
      </c>
      <c r="N598" s="20" t="e">
        <f>((((K598-H598)/1.16)-M598))</f>
        <v>#VALUE!</v>
      </c>
      <c r="O598" s="21" t="e">
        <f>((N598*16%)+N598)+H598+L598</f>
        <v>#VALUE!</v>
      </c>
      <c r="P598" s="21" t="e">
        <f>(((J598-O598)-H598)/1.16)+H598</f>
        <v>#VALUE!</v>
      </c>
      <c r="Q598" s="44"/>
      <c r="R598" s="24"/>
      <c r="S598" s="23" t="e">
        <f t="shared" si="27"/>
        <v>#DIV/0!</v>
      </c>
      <c r="T598" s="23" t="e">
        <f t="shared" si="28"/>
        <v>#DIV/0!</v>
      </c>
      <c r="U598" s="22" t="e">
        <f t="shared" si="29"/>
        <v>#DIV/0!</v>
      </c>
      <c r="V598" s="44"/>
      <c r="W598" s="44"/>
      <c r="X598" s="44"/>
      <c r="Y598" s="44"/>
      <c r="Z598" s="44"/>
    </row>
    <row r="599" spans="1:26" ht="15.75" customHeight="1">
      <c r="A599" s="44"/>
      <c r="B599" s="14"/>
      <c r="C599" s="53"/>
      <c r="D599" s="15"/>
      <c r="E599" s="89"/>
      <c r="F599" s="16"/>
      <c r="G599" s="16"/>
      <c r="H599" s="90" t="str">
        <f>IF(G599="Regular",Listas!$K$16,IF(G599="Premium",Listas!$K$17,IF(G599="Diesel",Listas!$K$18,"-")))</f>
        <v>-</v>
      </c>
      <c r="I599" s="17"/>
      <c r="J599" s="18"/>
      <c r="K599" s="19" t="str">
        <f>+IFERROR(IF(G599="Regular",VLOOKUP(C599,'PRECIO TERMINAL PEMEX'!$B$4:$E$35,2,0),IF(G599="Premium",VLOOKUP(C599,'PRECIO TERMINAL PEMEX'!$B$4:$E$35,3,0),IF(G599="Diesel",VLOOKUP(C599,'PRECIO TERMINAL PEMEX'!$B$4:$E$35,4,0),"Seleccione Producto"))),"-")</f>
        <v>Seleccione Producto</v>
      </c>
      <c r="L599" s="93" t="str">
        <f>+IFERROR(IF(F599="VHSA",VLOOKUP(B599,Listas!$C$4:$F$17,2,0),IF(F599="DOS BOCAS",VLOOKUP(B599,Listas!$C$4:$F$17,3,0),IF(F599="GLENCORE",VLOOKUP(B599,Listas!$C$4:$F$17,4,0),"Seleccione TAR"))),"-")</f>
        <v>Seleccione TAR</v>
      </c>
      <c r="M599" s="19" t="str">
        <f>+IFERROR(IF(G599="Regular",VLOOKUP(C599,'DESCUENTO PROVEEDORES'!$B$4:$E$35,2,0),IF(G599="Premium",VLOOKUP(C599,'DESCUENTO PROVEEDORES'!$B$4:$E$35,3,0),IF(G599="Diesel",VLOOKUP(C599,'DESCUENTO PROVEEDORES'!$B$4:$E$35,4,0),"Seleccione Proveedor"))),"-")</f>
        <v>Seleccione Proveedor</v>
      </c>
      <c r="N599" s="20" t="e">
        <f>((((K599-H599)/1.16)-M599))</f>
        <v>#VALUE!</v>
      </c>
      <c r="O599" s="21" t="e">
        <f>((N599*16%)+N599)+H599+L599</f>
        <v>#VALUE!</v>
      </c>
      <c r="P599" s="21" t="e">
        <f>(((J599-O599)-H599)/1.16)+H599</f>
        <v>#VALUE!</v>
      </c>
      <c r="Q599" s="44"/>
      <c r="R599" s="24"/>
      <c r="S599" s="23" t="e">
        <f t="shared" si="27"/>
        <v>#DIV/0!</v>
      </c>
      <c r="T599" s="23" t="e">
        <f t="shared" si="28"/>
        <v>#DIV/0!</v>
      </c>
      <c r="U599" s="22" t="e">
        <f t="shared" si="29"/>
        <v>#DIV/0!</v>
      </c>
      <c r="V599" s="44"/>
      <c r="W599" s="44"/>
      <c r="X599" s="44"/>
      <c r="Y599" s="44"/>
      <c r="Z599" s="44"/>
    </row>
    <row r="600" spans="1:26" ht="15.75" customHeight="1">
      <c r="A600" s="44"/>
      <c r="B600" s="14"/>
      <c r="C600" s="53"/>
      <c r="D600" s="15"/>
      <c r="E600" s="89"/>
      <c r="F600" s="16"/>
      <c r="G600" s="16"/>
      <c r="H600" s="90" t="str">
        <f>IF(G600="Regular",Listas!$K$16,IF(G600="Premium",Listas!$K$17,IF(G600="Diesel",Listas!$K$18,"-")))</f>
        <v>-</v>
      </c>
      <c r="I600" s="17"/>
      <c r="J600" s="18"/>
      <c r="K600" s="19" t="str">
        <f>+IFERROR(IF(G600="Regular",VLOOKUP(C600,'PRECIO TERMINAL PEMEX'!$B$4:$E$35,2,0),IF(G600="Premium",VLOOKUP(C600,'PRECIO TERMINAL PEMEX'!$B$4:$E$35,3,0),IF(G600="Diesel",VLOOKUP(C600,'PRECIO TERMINAL PEMEX'!$B$4:$E$35,4,0),"Seleccione Producto"))),"-")</f>
        <v>Seleccione Producto</v>
      </c>
      <c r="L600" s="93" t="str">
        <f>+IFERROR(IF(F600="VHSA",VLOOKUP(B600,Listas!$C$4:$F$17,2,0),IF(F600="DOS BOCAS",VLOOKUP(B600,Listas!$C$4:$F$17,3,0),IF(F600="GLENCORE",VLOOKUP(B600,Listas!$C$4:$F$17,4,0),"Seleccione TAR"))),"-")</f>
        <v>Seleccione TAR</v>
      </c>
      <c r="M600" s="19" t="str">
        <f>+IFERROR(IF(G600="Regular",VLOOKUP(C600,'DESCUENTO PROVEEDORES'!$B$4:$E$35,2,0),IF(G600="Premium",VLOOKUP(C600,'DESCUENTO PROVEEDORES'!$B$4:$E$35,3,0),IF(G600="Diesel",VLOOKUP(C600,'DESCUENTO PROVEEDORES'!$B$4:$E$35,4,0),"Seleccione Proveedor"))),"-")</f>
        <v>Seleccione Proveedor</v>
      </c>
      <c r="N600" s="20" t="e">
        <f>((((K600-H600)/1.16)-M600))</f>
        <v>#VALUE!</v>
      </c>
      <c r="O600" s="21" t="e">
        <f>((N600*16%)+N600)+H600+L600</f>
        <v>#VALUE!</v>
      </c>
      <c r="P600" s="21" t="e">
        <f>(((J600-O600)-H600)/1.16)+H600</f>
        <v>#VALUE!</v>
      </c>
      <c r="Q600" s="44"/>
      <c r="R600" s="24"/>
      <c r="S600" s="23" t="e">
        <f t="shared" si="27"/>
        <v>#DIV/0!</v>
      </c>
      <c r="T600" s="23" t="e">
        <f t="shared" si="28"/>
        <v>#DIV/0!</v>
      </c>
      <c r="U600" s="22" t="e">
        <f t="shared" si="29"/>
        <v>#DIV/0!</v>
      </c>
      <c r="V600" s="44"/>
      <c r="W600" s="44"/>
      <c r="X600" s="44"/>
      <c r="Y600" s="44"/>
      <c r="Z600" s="44"/>
    </row>
    <row r="601" spans="1:26" ht="15.75" customHeight="1">
      <c r="A601" s="44"/>
      <c r="B601" s="14"/>
      <c r="C601" s="53"/>
      <c r="D601" s="15"/>
      <c r="E601" s="89"/>
      <c r="F601" s="16"/>
      <c r="G601" s="16"/>
      <c r="H601" s="90" t="str">
        <f>IF(G601="Regular",Listas!$K$16,IF(G601="Premium",Listas!$K$17,IF(G601="Diesel",Listas!$K$18,"-")))</f>
        <v>-</v>
      </c>
      <c r="I601" s="17"/>
      <c r="J601" s="18"/>
      <c r="K601" s="19" t="str">
        <f>+IFERROR(IF(G601="Regular",VLOOKUP(C601,'PRECIO TERMINAL PEMEX'!$B$4:$E$35,2,0),IF(G601="Premium",VLOOKUP(C601,'PRECIO TERMINAL PEMEX'!$B$4:$E$35,3,0),IF(G601="Diesel",VLOOKUP(C601,'PRECIO TERMINAL PEMEX'!$B$4:$E$35,4,0),"Seleccione Producto"))),"-")</f>
        <v>Seleccione Producto</v>
      </c>
      <c r="L601" s="93" t="str">
        <f>+IFERROR(IF(F601="VHSA",VLOOKUP(B601,Listas!$C$4:$F$17,2,0),IF(F601="DOS BOCAS",VLOOKUP(B601,Listas!$C$4:$F$17,3,0),IF(F601="GLENCORE",VLOOKUP(B601,Listas!$C$4:$F$17,4,0),"Seleccione TAR"))),"-")</f>
        <v>Seleccione TAR</v>
      </c>
      <c r="M601" s="19" t="str">
        <f>+IFERROR(IF(G601="Regular",VLOOKUP(C601,'DESCUENTO PROVEEDORES'!$B$4:$E$35,2,0),IF(G601="Premium",VLOOKUP(C601,'DESCUENTO PROVEEDORES'!$B$4:$E$35,3,0),IF(G601="Diesel",VLOOKUP(C601,'DESCUENTO PROVEEDORES'!$B$4:$E$35,4,0),"Seleccione Proveedor"))),"-")</f>
        <v>Seleccione Proveedor</v>
      </c>
      <c r="N601" s="20" t="e">
        <f>((((K601-H601)/1.16)-M601))</f>
        <v>#VALUE!</v>
      </c>
      <c r="O601" s="21" t="e">
        <f>((N601*16%)+N601)+H601+L601</f>
        <v>#VALUE!</v>
      </c>
      <c r="P601" s="21" t="e">
        <f>(((J601-O601)-H601)/1.16)+H601</f>
        <v>#VALUE!</v>
      </c>
      <c r="Q601" s="44"/>
      <c r="R601" s="24"/>
      <c r="S601" s="23" t="e">
        <f t="shared" si="27"/>
        <v>#DIV/0!</v>
      </c>
      <c r="T601" s="23" t="e">
        <f t="shared" si="28"/>
        <v>#DIV/0!</v>
      </c>
      <c r="U601" s="22" t="e">
        <f t="shared" si="29"/>
        <v>#DIV/0!</v>
      </c>
      <c r="V601" s="44"/>
      <c r="W601" s="44"/>
      <c r="X601" s="44"/>
      <c r="Y601" s="44"/>
      <c r="Z601" s="44"/>
    </row>
    <row r="602" spans="1:26" ht="15.75" customHeight="1">
      <c r="A602" s="44"/>
      <c r="B602" s="14"/>
      <c r="C602" s="53"/>
      <c r="D602" s="15"/>
      <c r="E602" s="89"/>
      <c r="F602" s="16"/>
      <c r="G602" s="16"/>
      <c r="H602" s="90" t="str">
        <f>IF(G602="Regular",Listas!$K$16,IF(G602="Premium",Listas!$K$17,IF(G602="Diesel",Listas!$K$18,"-")))</f>
        <v>-</v>
      </c>
      <c r="I602" s="17"/>
      <c r="J602" s="18"/>
      <c r="K602" s="19" t="str">
        <f>+IFERROR(IF(G602="Regular",VLOOKUP(C602,'PRECIO TERMINAL PEMEX'!$B$4:$E$35,2,0),IF(G602="Premium",VLOOKUP(C602,'PRECIO TERMINAL PEMEX'!$B$4:$E$35,3,0),IF(G602="Diesel",VLOOKUP(C602,'PRECIO TERMINAL PEMEX'!$B$4:$E$35,4,0),"Seleccione Producto"))),"-")</f>
        <v>Seleccione Producto</v>
      </c>
      <c r="L602" s="93" t="str">
        <f>+IFERROR(IF(F602="VHSA",VLOOKUP(B602,Listas!$C$4:$F$17,2,0),IF(F602="DOS BOCAS",VLOOKUP(B602,Listas!$C$4:$F$17,3,0),IF(F602="GLENCORE",VLOOKUP(B602,Listas!$C$4:$F$17,4,0),"Seleccione TAR"))),"-")</f>
        <v>Seleccione TAR</v>
      </c>
      <c r="M602" s="19" t="str">
        <f>+IFERROR(IF(G602="Regular",VLOOKUP(C602,'DESCUENTO PROVEEDORES'!$B$4:$E$35,2,0),IF(G602="Premium",VLOOKUP(C602,'DESCUENTO PROVEEDORES'!$B$4:$E$35,3,0),IF(G602="Diesel",VLOOKUP(C602,'DESCUENTO PROVEEDORES'!$B$4:$E$35,4,0),"Seleccione Proveedor"))),"-")</f>
        <v>Seleccione Proveedor</v>
      </c>
      <c r="N602" s="20" t="e">
        <f>((((K602-H602)/1.16)-M602))</f>
        <v>#VALUE!</v>
      </c>
      <c r="O602" s="21" t="e">
        <f>((N602*16%)+N602)+H602+L602</f>
        <v>#VALUE!</v>
      </c>
      <c r="P602" s="21" t="e">
        <f>(((J602-O602)-H602)/1.16)+H602</f>
        <v>#VALUE!</v>
      </c>
      <c r="Q602" s="44"/>
      <c r="R602" s="24"/>
      <c r="S602" s="23" t="e">
        <f t="shared" si="27"/>
        <v>#DIV/0!</v>
      </c>
      <c r="T602" s="23" t="e">
        <f t="shared" si="28"/>
        <v>#DIV/0!</v>
      </c>
      <c r="U602" s="22" t="e">
        <f t="shared" si="29"/>
        <v>#DIV/0!</v>
      </c>
      <c r="V602" s="44"/>
      <c r="W602" s="44"/>
      <c r="X602" s="44"/>
      <c r="Y602" s="44"/>
      <c r="Z602" s="44"/>
    </row>
    <row r="603" spans="1:26" ht="15.75" customHeight="1">
      <c r="A603" s="44"/>
      <c r="B603" s="14"/>
      <c r="C603" s="53"/>
      <c r="D603" s="15"/>
      <c r="E603" s="89"/>
      <c r="F603" s="16"/>
      <c r="G603" s="16"/>
      <c r="H603" s="90" t="str">
        <f>IF(G603="Regular",Listas!$K$16,IF(G603="Premium",Listas!$K$17,IF(G603="Diesel",Listas!$K$18,"-")))</f>
        <v>-</v>
      </c>
      <c r="I603" s="17"/>
      <c r="J603" s="18"/>
      <c r="K603" s="19" t="str">
        <f>+IFERROR(IF(G603="Regular",VLOOKUP(C603,'PRECIO TERMINAL PEMEX'!$B$4:$E$35,2,0),IF(G603="Premium",VLOOKUP(C603,'PRECIO TERMINAL PEMEX'!$B$4:$E$35,3,0),IF(G603="Diesel",VLOOKUP(C603,'PRECIO TERMINAL PEMEX'!$B$4:$E$35,4,0),"Seleccione Producto"))),"-")</f>
        <v>Seleccione Producto</v>
      </c>
      <c r="L603" s="93" t="str">
        <f>+IFERROR(IF(F603="VHSA",VLOOKUP(B603,Listas!$C$4:$F$17,2,0),IF(F603="DOS BOCAS",VLOOKUP(B603,Listas!$C$4:$F$17,3,0),IF(F603="GLENCORE",VLOOKUP(B603,Listas!$C$4:$F$17,4,0),"Seleccione TAR"))),"-")</f>
        <v>Seleccione TAR</v>
      </c>
      <c r="M603" s="19" t="str">
        <f>+IFERROR(IF(G603="Regular",VLOOKUP(C603,'DESCUENTO PROVEEDORES'!$B$4:$E$35,2,0),IF(G603="Premium",VLOOKUP(C603,'DESCUENTO PROVEEDORES'!$B$4:$E$35,3,0),IF(G603="Diesel",VLOOKUP(C603,'DESCUENTO PROVEEDORES'!$B$4:$E$35,4,0),"Seleccione Proveedor"))),"-")</f>
        <v>Seleccione Proveedor</v>
      </c>
      <c r="N603" s="20" t="e">
        <f>((((K603-H603)/1.16)-M603))</f>
        <v>#VALUE!</v>
      </c>
      <c r="O603" s="21" t="e">
        <f>((N603*16%)+N603)+H603+L603</f>
        <v>#VALUE!</v>
      </c>
      <c r="P603" s="21" t="e">
        <f>(((J603-O603)-H603)/1.16)+H603</f>
        <v>#VALUE!</v>
      </c>
      <c r="Q603" s="44"/>
      <c r="R603" s="24"/>
      <c r="S603" s="23" t="e">
        <f t="shared" si="27"/>
        <v>#DIV/0!</v>
      </c>
      <c r="T603" s="23" t="e">
        <f t="shared" si="28"/>
        <v>#DIV/0!</v>
      </c>
      <c r="U603" s="22" t="e">
        <f t="shared" si="29"/>
        <v>#DIV/0!</v>
      </c>
      <c r="V603" s="44"/>
      <c r="W603" s="44"/>
      <c r="X603" s="44"/>
      <c r="Y603" s="44"/>
      <c r="Z603" s="44"/>
    </row>
    <row r="604" spans="1:26" ht="15.75" customHeight="1">
      <c r="A604" s="44"/>
      <c r="B604" s="14"/>
      <c r="C604" s="53"/>
      <c r="D604" s="15"/>
      <c r="E604" s="89"/>
      <c r="F604" s="16"/>
      <c r="G604" s="16"/>
      <c r="H604" s="90" t="str">
        <f>IF(G604="Regular",Listas!$K$16,IF(G604="Premium",Listas!$K$17,IF(G604="Diesel",Listas!$K$18,"-")))</f>
        <v>-</v>
      </c>
      <c r="I604" s="17"/>
      <c r="J604" s="18"/>
      <c r="K604" s="19" t="str">
        <f>+IFERROR(IF(G604="Regular",VLOOKUP(C604,'PRECIO TERMINAL PEMEX'!$B$4:$E$35,2,0),IF(G604="Premium",VLOOKUP(C604,'PRECIO TERMINAL PEMEX'!$B$4:$E$35,3,0),IF(G604="Diesel",VLOOKUP(C604,'PRECIO TERMINAL PEMEX'!$B$4:$E$35,4,0),"Seleccione Producto"))),"-")</f>
        <v>Seleccione Producto</v>
      </c>
      <c r="L604" s="93" t="str">
        <f>+IFERROR(IF(F604="VHSA",VLOOKUP(B604,Listas!$C$4:$F$17,2,0),IF(F604="DOS BOCAS",VLOOKUP(B604,Listas!$C$4:$F$17,3,0),IF(F604="GLENCORE",VLOOKUP(B604,Listas!$C$4:$F$17,4,0),"Seleccione TAR"))),"-")</f>
        <v>Seleccione TAR</v>
      </c>
      <c r="M604" s="19" t="str">
        <f>+IFERROR(IF(G604="Regular",VLOOKUP(C604,'DESCUENTO PROVEEDORES'!$B$4:$E$35,2,0),IF(G604="Premium",VLOOKUP(C604,'DESCUENTO PROVEEDORES'!$B$4:$E$35,3,0),IF(G604="Diesel",VLOOKUP(C604,'DESCUENTO PROVEEDORES'!$B$4:$E$35,4,0),"Seleccione Proveedor"))),"-")</f>
        <v>Seleccione Proveedor</v>
      </c>
      <c r="N604" s="20" t="e">
        <f>((((K604-H604)/1.16)-M604))</f>
        <v>#VALUE!</v>
      </c>
      <c r="O604" s="21" t="e">
        <f>((N604*16%)+N604)+H604+L604</f>
        <v>#VALUE!</v>
      </c>
      <c r="P604" s="21" t="e">
        <f>(((J604-O604)-H604)/1.16)+H604</f>
        <v>#VALUE!</v>
      </c>
      <c r="Q604" s="44"/>
      <c r="R604" s="24"/>
      <c r="S604" s="23" t="e">
        <f t="shared" si="27"/>
        <v>#DIV/0!</v>
      </c>
      <c r="T604" s="23" t="e">
        <f t="shared" si="28"/>
        <v>#DIV/0!</v>
      </c>
      <c r="U604" s="22" t="e">
        <f t="shared" si="29"/>
        <v>#DIV/0!</v>
      </c>
      <c r="V604" s="44"/>
      <c r="W604" s="44"/>
      <c r="X604" s="44"/>
      <c r="Y604" s="44"/>
      <c r="Z604" s="44"/>
    </row>
    <row r="605" spans="1:26" ht="15.75" customHeight="1">
      <c r="A605" s="44"/>
      <c r="B605" s="14"/>
      <c r="C605" s="53"/>
      <c r="D605" s="15"/>
      <c r="E605" s="89"/>
      <c r="F605" s="16"/>
      <c r="G605" s="16"/>
      <c r="H605" s="90" t="str">
        <f>IF(G605="Regular",Listas!$K$16,IF(G605="Premium",Listas!$K$17,IF(G605="Diesel",Listas!$K$18,"-")))</f>
        <v>-</v>
      </c>
      <c r="I605" s="17"/>
      <c r="J605" s="18"/>
      <c r="K605" s="19" t="str">
        <f>+IFERROR(IF(G605="Regular",VLOOKUP(C605,'PRECIO TERMINAL PEMEX'!$B$4:$E$35,2,0),IF(G605="Premium",VLOOKUP(C605,'PRECIO TERMINAL PEMEX'!$B$4:$E$35,3,0),IF(G605="Diesel",VLOOKUP(C605,'PRECIO TERMINAL PEMEX'!$B$4:$E$35,4,0),"Seleccione Producto"))),"-")</f>
        <v>Seleccione Producto</v>
      </c>
      <c r="L605" s="93" t="str">
        <f>+IFERROR(IF(F605="VHSA",VLOOKUP(B605,Listas!$C$4:$F$17,2,0),IF(F605="DOS BOCAS",VLOOKUP(B605,Listas!$C$4:$F$17,3,0),IF(F605="GLENCORE",VLOOKUP(B605,Listas!$C$4:$F$17,4,0),"Seleccione TAR"))),"-")</f>
        <v>Seleccione TAR</v>
      </c>
      <c r="M605" s="19" t="str">
        <f>+IFERROR(IF(G605="Regular",VLOOKUP(C605,'DESCUENTO PROVEEDORES'!$B$4:$E$35,2,0),IF(G605="Premium",VLOOKUP(C605,'DESCUENTO PROVEEDORES'!$B$4:$E$35,3,0),IF(G605="Diesel",VLOOKUP(C605,'DESCUENTO PROVEEDORES'!$B$4:$E$35,4,0),"Seleccione Proveedor"))),"-")</f>
        <v>Seleccione Proveedor</v>
      </c>
      <c r="N605" s="20" t="e">
        <f>((((K605-H605)/1.16)-M605))</f>
        <v>#VALUE!</v>
      </c>
      <c r="O605" s="21" t="e">
        <f>((N605*16%)+N605)+H605+L605</f>
        <v>#VALUE!</v>
      </c>
      <c r="P605" s="21" t="e">
        <f>(((J605-O605)-H605)/1.16)+H605</f>
        <v>#VALUE!</v>
      </c>
      <c r="Q605" s="44"/>
      <c r="R605" s="24"/>
      <c r="S605" s="23" t="e">
        <f t="shared" si="27"/>
        <v>#DIV/0!</v>
      </c>
      <c r="T605" s="23" t="e">
        <f t="shared" si="28"/>
        <v>#DIV/0!</v>
      </c>
      <c r="U605" s="22" t="e">
        <f t="shared" si="29"/>
        <v>#DIV/0!</v>
      </c>
      <c r="V605" s="44"/>
      <c r="W605" s="44"/>
      <c r="X605" s="44"/>
      <c r="Y605" s="44"/>
      <c r="Z605" s="44"/>
    </row>
    <row r="606" spans="1:26" ht="15.75" customHeight="1">
      <c r="A606" s="44"/>
      <c r="B606" s="14"/>
      <c r="C606" s="53"/>
      <c r="D606" s="15"/>
      <c r="E606" s="89"/>
      <c r="F606" s="16"/>
      <c r="G606" s="16"/>
      <c r="H606" s="90" t="str">
        <f>IF(G606="Regular",Listas!$K$16,IF(G606="Premium",Listas!$K$17,IF(G606="Diesel",Listas!$K$18,"-")))</f>
        <v>-</v>
      </c>
      <c r="I606" s="17"/>
      <c r="J606" s="18"/>
      <c r="K606" s="19" t="str">
        <f>+IFERROR(IF(G606="Regular",VLOOKUP(C606,'PRECIO TERMINAL PEMEX'!$B$4:$E$35,2,0),IF(G606="Premium",VLOOKUP(C606,'PRECIO TERMINAL PEMEX'!$B$4:$E$35,3,0),IF(G606="Diesel",VLOOKUP(C606,'PRECIO TERMINAL PEMEX'!$B$4:$E$35,4,0),"Seleccione Producto"))),"-")</f>
        <v>Seleccione Producto</v>
      </c>
      <c r="L606" s="93" t="str">
        <f>+IFERROR(IF(F606="VHSA",VLOOKUP(B606,Listas!$C$4:$F$17,2,0),IF(F606="DOS BOCAS",VLOOKUP(B606,Listas!$C$4:$F$17,3,0),IF(F606="GLENCORE",VLOOKUP(B606,Listas!$C$4:$F$17,4,0),"Seleccione TAR"))),"-")</f>
        <v>Seleccione TAR</v>
      </c>
      <c r="M606" s="19" t="str">
        <f>+IFERROR(IF(G606="Regular",VLOOKUP(C606,'DESCUENTO PROVEEDORES'!$B$4:$E$35,2,0),IF(G606="Premium",VLOOKUP(C606,'DESCUENTO PROVEEDORES'!$B$4:$E$35,3,0),IF(G606="Diesel",VLOOKUP(C606,'DESCUENTO PROVEEDORES'!$B$4:$E$35,4,0),"Seleccione Proveedor"))),"-")</f>
        <v>Seleccione Proveedor</v>
      </c>
      <c r="N606" s="20" t="e">
        <f>((((K606-H606)/1.16)-M606))</f>
        <v>#VALUE!</v>
      </c>
      <c r="O606" s="21" t="e">
        <f>((N606*16%)+N606)+H606+L606</f>
        <v>#VALUE!</v>
      </c>
      <c r="P606" s="21" t="e">
        <f>(((J606-O606)-H606)/1.16)+H606</f>
        <v>#VALUE!</v>
      </c>
      <c r="Q606" s="44"/>
      <c r="R606" s="24"/>
      <c r="S606" s="23" t="e">
        <f t="shared" si="27"/>
        <v>#DIV/0!</v>
      </c>
      <c r="T606" s="23" t="e">
        <f t="shared" si="28"/>
        <v>#DIV/0!</v>
      </c>
      <c r="U606" s="22" t="e">
        <f t="shared" si="29"/>
        <v>#DIV/0!</v>
      </c>
      <c r="V606" s="44"/>
      <c r="W606" s="44"/>
      <c r="X606" s="44"/>
      <c r="Y606" s="44"/>
      <c r="Z606" s="44"/>
    </row>
    <row r="607" spans="1:26" ht="15.75" customHeight="1">
      <c r="A607" s="44"/>
      <c r="B607" s="14"/>
      <c r="C607" s="53"/>
      <c r="D607" s="15"/>
      <c r="E607" s="89"/>
      <c r="F607" s="16"/>
      <c r="G607" s="16"/>
      <c r="H607" s="90" t="str">
        <f>IF(G607="Regular",Listas!$K$16,IF(G607="Premium",Listas!$K$17,IF(G607="Diesel",Listas!$K$18,"-")))</f>
        <v>-</v>
      </c>
      <c r="I607" s="17"/>
      <c r="J607" s="18"/>
      <c r="K607" s="19" t="str">
        <f>+IFERROR(IF(G607="Regular",VLOOKUP(C607,'PRECIO TERMINAL PEMEX'!$B$4:$E$35,2,0),IF(G607="Premium",VLOOKUP(C607,'PRECIO TERMINAL PEMEX'!$B$4:$E$35,3,0),IF(G607="Diesel",VLOOKUP(C607,'PRECIO TERMINAL PEMEX'!$B$4:$E$35,4,0),"Seleccione Producto"))),"-")</f>
        <v>Seleccione Producto</v>
      </c>
      <c r="L607" s="93" t="str">
        <f>+IFERROR(IF(F607="VHSA",VLOOKUP(B607,Listas!$C$4:$F$17,2,0),IF(F607="DOS BOCAS",VLOOKUP(B607,Listas!$C$4:$F$17,3,0),IF(F607="GLENCORE",VLOOKUP(B607,Listas!$C$4:$F$17,4,0),"Seleccione TAR"))),"-")</f>
        <v>Seleccione TAR</v>
      </c>
      <c r="M607" s="19" t="str">
        <f>+IFERROR(IF(G607="Regular",VLOOKUP(C607,'DESCUENTO PROVEEDORES'!$B$4:$E$35,2,0),IF(G607="Premium",VLOOKUP(C607,'DESCUENTO PROVEEDORES'!$B$4:$E$35,3,0),IF(G607="Diesel",VLOOKUP(C607,'DESCUENTO PROVEEDORES'!$B$4:$E$35,4,0),"Seleccione Proveedor"))),"-")</f>
        <v>Seleccione Proveedor</v>
      </c>
      <c r="N607" s="20" t="e">
        <f>((((K607-H607)/1.16)-M607))</f>
        <v>#VALUE!</v>
      </c>
      <c r="O607" s="21" t="e">
        <f>((N607*16%)+N607)+H607+L607</f>
        <v>#VALUE!</v>
      </c>
      <c r="P607" s="21" t="e">
        <f>(((J607-O607)-H607)/1.16)+H607</f>
        <v>#VALUE!</v>
      </c>
      <c r="Q607" s="44"/>
      <c r="R607" s="24"/>
      <c r="S607" s="23" t="e">
        <f t="shared" si="27"/>
        <v>#DIV/0!</v>
      </c>
      <c r="T607" s="23" t="e">
        <f t="shared" si="28"/>
        <v>#DIV/0!</v>
      </c>
      <c r="U607" s="22" t="e">
        <f t="shared" si="29"/>
        <v>#DIV/0!</v>
      </c>
      <c r="V607" s="44"/>
      <c r="W607" s="44"/>
      <c r="X607" s="44"/>
      <c r="Y607" s="44"/>
      <c r="Z607" s="44"/>
    </row>
    <row r="608" spans="1:26" ht="15.75" customHeight="1">
      <c r="A608" s="44"/>
      <c r="B608" s="14"/>
      <c r="C608" s="53"/>
      <c r="D608" s="15"/>
      <c r="E608" s="89"/>
      <c r="F608" s="16"/>
      <c r="G608" s="16"/>
      <c r="H608" s="90" t="str">
        <f>IF(G608="Regular",Listas!$K$16,IF(G608="Premium",Listas!$K$17,IF(G608="Diesel",Listas!$K$18,"-")))</f>
        <v>-</v>
      </c>
      <c r="I608" s="17"/>
      <c r="J608" s="18"/>
      <c r="K608" s="19" t="str">
        <f>+IFERROR(IF(G608="Regular",VLOOKUP(C608,'PRECIO TERMINAL PEMEX'!$B$4:$E$35,2,0),IF(G608="Premium",VLOOKUP(C608,'PRECIO TERMINAL PEMEX'!$B$4:$E$35,3,0),IF(G608="Diesel",VLOOKUP(C608,'PRECIO TERMINAL PEMEX'!$B$4:$E$35,4,0),"Seleccione Producto"))),"-")</f>
        <v>Seleccione Producto</v>
      </c>
      <c r="L608" s="93" t="str">
        <f>+IFERROR(IF(F608="VHSA",VLOOKUP(B608,Listas!$C$4:$F$17,2,0),IF(F608="DOS BOCAS",VLOOKUP(B608,Listas!$C$4:$F$17,3,0),IF(F608="GLENCORE",VLOOKUP(B608,Listas!$C$4:$F$17,4,0),"Seleccione TAR"))),"-")</f>
        <v>Seleccione TAR</v>
      </c>
      <c r="M608" s="19" t="str">
        <f>+IFERROR(IF(G608="Regular",VLOOKUP(C608,'DESCUENTO PROVEEDORES'!$B$4:$E$35,2,0),IF(G608="Premium",VLOOKUP(C608,'DESCUENTO PROVEEDORES'!$B$4:$E$35,3,0),IF(G608="Diesel",VLOOKUP(C608,'DESCUENTO PROVEEDORES'!$B$4:$E$35,4,0),"Seleccione Proveedor"))),"-")</f>
        <v>Seleccione Proveedor</v>
      </c>
      <c r="N608" s="20" t="e">
        <f>((((K608-H608)/1.16)-M608))</f>
        <v>#VALUE!</v>
      </c>
      <c r="O608" s="21" t="e">
        <f>((N608*16%)+N608)+H608+L608</f>
        <v>#VALUE!</v>
      </c>
      <c r="P608" s="21" t="e">
        <f>(((J608-O608)-H608)/1.16)+H608</f>
        <v>#VALUE!</v>
      </c>
      <c r="Q608" s="44"/>
      <c r="R608" s="24"/>
      <c r="S608" s="23" t="e">
        <f t="shared" ref="S608:S650" si="30">R608/I608</f>
        <v>#DIV/0!</v>
      </c>
      <c r="T608" s="23" t="e">
        <f t="shared" ref="T608:T650" si="31">(J608-S608)/1.16</f>
        <v>#DIV/0!</v>
      </c>
      <c r="U608" s="22" t="e">
        <f t="shared" ref="U608:U650" si="32">+T608-P608</f>
        <v>#DIV/0!</v>
      </c>
      <c r="V608" s="44"/>
      <c r="W608" s="44"/>
      <c r="X608" s="44"/>
      <c r="Y608" s="44"/>
      <c r="Z608" s="44"/>
    </row>
    <row r="609" spans="1:26" ht="15.75" customHeight="1">
      <c r="A609" s="44"/>
      <c r="B609" s="14"/>
      <c r="C609" s="53"/>
      <c r="D609" s="15"/>
      <c r="E609" s="89"/>
      <c r="F609" s="16"/>
      <c r="G609" s="16"/>
      <c r="H609" s="90" t="str">
        <f>IF(G609="Regular",Listas!$K$16,IF(G609="Premium",Listas!$K$17,IF(G609="Diesel",Listas!$K$18,"-")))</f>
        <v>-</v>
      </c>
      <c r="I609" s="17"/>
      <c r="J609" s="18"/>
      <c r="K609" s="19" t="str">
        <f>+IFERROR(IF(G609="Regular",VLOOKUP(C609,'PRECIO TERMINAL PEMEX'!$B$4:$E$35,2,0),IF(G609="Premium",VLOOKUP(C609,'PRECIO TERMINAL PEMEX'!$B$4:$E$35,3,0),IF(G609="Diesel",VLOOKUP(C609,'PRECIO TERMINAL PEMEX'!$B$4:$E$35,4,0),"Seleccione Producto"))),"-")</f>
        <v>Seleccione Producto</v>
      </c>
      <c r="L609" s="93" t="str">
        <f>+IFERROR(IF(F609="VHSA",VLOOKUP(B609,Listas!$C$4:$F$17,2,0),IF(F609="DOS BOCAS",VLOOKUP(B609,Listas!$C$4:$F$17,3,0),IF(F609="GLENCORE",VLOOKUP(B609,Listas!$C$4:$F$17,4,0),"Seleccione TAR"))),"-")</f>
        <v>Seleccione TAR</v>
      </c>
      <c r="M609" s="19" t="str">
        <f>+IFERROR(IF(G609="Regular",VLOOKUP(C609,'DESCUENTO PROVEEDORES'!$B$4:$E$35,2,0),IF(G609="Premium",VLOOKUP(C609,'DESCUENTO PROVEEDORES'!$B$4:$E$35,3,0),IF(G609="Diesel",VLOOKUP(C609,'DESCUENTO PROVEEDORES'!$B$4:$E$35,4,0),"Seleccione Proveedor"))),"-")</f>
        <v>Seleccione Proveedor</v>
      </c>
      <c r="N609" s="20" t="e">
        <f>((((K609-H609)/1.16)-M609))</f>
        <v>#VALUE!</v>
      </c>
      <c r="O609" s="21" t="e">
        <f>((N609*16%)+N609)+H609+L609</f>
        <v>#VALUE!</v>
      </c>
      <c r="P609" s="21" t="e">
        <f>(((J609-O609)-H609)/1.16)+H609</f>
        <v>#VALUE!</v>
      </c>
      <c r="Q609" s="44"/>
      <c r="R609" s="24"/>
      <c r="S609" s="23" t="e">
        <f t="shared" si="30"/>
        <v>#DIV/0!</v>
      </c>
      <c r="T609" s="23" t="e">
        <f t="shared" si="31"/>
        <v>#DIV/0!</v>
      </c>
      <c r="U609" s="22" t="e">
        <f t="shared" si="32"/>
        <v>#DIV/0!</v>
      </c>
      <c r="V609" s="44"/>
      <c r="W609" s="44"/>
      <c r="X609" s="44"/>
      <c r="Y609" s="44"/>
      <c r="Z609" s="44"/>
    </row>
    <row r="610" spans="1:26" ht="15.75" customHeight="1">
      <c r="A610" s="44"/>
      <c r="B610" s="14"/>
      <c r="C610" s="53"/>
      <c r="D610" s="15"/>
      <c r="E610" s="89"/>
      <c r="F610" s="16"/>
      <c r="G610" s="16"/>
      <c r="H610" s="90" t="str">
        <f>IF(G610="Regular",Listas!$K$16,IF(G610="Premium",Listas!$K$17,IF(G610="Diesel",Listas!$K$18,"-")))</f>
        <v>-</v>
      </c>
      <c r="I610" s="17"/>
      <c r="J610" s="18"/>
      <c r="K610" s="19" t="str">
        <f>+IFERROR(IF(G610="Regular",VLOOKUP(C610,'PRECIO TERMINAL PEMEX'!$B$4:$E$35,2,0),IF(G610="Premium",VLOOKUP(C610,'PRECIO TERMINAL PEMEX'!$B$4:$E$35,3,0),IF(G610="Diesel",VLOOKUP(C610,'PRECIO TERMINAL PEMEX'!$B$4:$E$35,4,0),"Seleccione Producto"))),"-")</f>
        <v>Seleccione Producto</v>
      </c>
      <c r="L610" s="93" t="str">
        <f>+IFERROR(IF(F610="VHSA",VLOOKUP(B610,Listas!$C$4:$F$17,2,0),IF(F610="DOS BOCAS",VLOOKUP(B610,Listas!$C$4:$F$17,3,0),IF(F610="GLENCORE",VLOOKUP(B610,Listas!$C$4:$F$17,4,0),"Seleccione TAR"))),"-")</f>
        <v>Seleccione TAR</v>
      </c>
      <c r="M610" s="19" t="str">
        <f>+IFERROR(IF(G610="Regular",VLOOKUP(C610,'DESCUENTO PROVEEDORES'!$B$4:$E$35,2,0),IF(G610="Premium",VLOOKUP(C610,'DESCUENTO PROVEEDORES'!$B$4:$E$35,3,0),IF(G610="Diesel",VLOOKUP(C610,'DESCUENTO PROVEEDORES'!$B$4:$E$35,4,0),"Seleccione Proveedor"))),"-")</f>
        <v>Seleccione Proveedor</v>
      </c>
      <c r="N610" s="20" t="e">
        <f>((((K610-H610)/1.16)-M610))</f>
        <v>#VALUE!</v>
      </c>
      <c r="O610" s="21" t="e">
        <f>((N610*16%)+N610)+H610+L610</f>
        <v>#VALUE!</v>
      </c>
      <c r="P610" s="21" t="e">
        <f>(((J610-O610)-H610)/1.16)+H610</f>
        <v>#VALUE!</v>
      </c>
      <c r="Q610" s="44"/>
      <c r="R610" s="24"/>
      <c r="S610" s="23" t="e">
        <f t="shared" si="30"/>
        <v>#DIV/0!</v>
      </c>
      <c r="T610" s="23" t="e">
        <f t="shared" si="31"/>
        <v>#DIV/0!</v>
      </c>
      <c r="U610" s="22" t="e">
        <f t="shared" si="32"/>
        <v>#DIV/0!</v>
      </c>
      <c r="V610" s="44"/>
      <c r="W610" s="44"/>
      <c r="X610" s="44"/>
      <c r="Y610" s="44"/>
      <c r="Z610" s="44"/>
    </row>
    <row r="611" spans="1:26" ht="15.75" customHeight="1">
      <c r="A611" s="44"/>
      <c r="B611" s="14"/>
      <c r="C611" s="53"/>
      <c r="D611" s="15"/>
      <c r="E611" s="89"/>
      <c r="F611" s="16"/>
      <c r="G611" s="16"/>
      <c r="H611" s="90" t="str">
        <f>IF(G611="Regular",Listas!$K$16,IF(G611="Premium",Listas!$K$17,IF(G611="Diesel",Listas!$K$18,"-")))</f>
        <v>-</v>
      </c>
      <c r="I611" s="17"/>
      <c r="J611" s="18"/>
      <c r="K611" s="19" t="str">
        <f>+IFERROR(IF(G611="Regular",VLOOKUP(C611,'PRECIO TERMINAL PEMEX'!$B$4:$E$35,2,0),IF(G611="Premium",VLOOKUP(C611,'PRECIO TERMINAL PEMEX'!$B$4:$E$35,3,0),IF(G611="Diesel",VLOOKUP(C611,'PRECIO TERMINAL PEMEX'!$B$4:$E$35,4,0),"Seleccione Producto"))),"-")</f>
        <v>Seleccione Producto</v>
      </c>
      <c r="L611" s="93" t="str">
        <f>+IFERROR(IF(F611="VHSA",VLOOKUP(B611,Listas!$C$4:$F$17,2,0),IF(F611="DOS BOCAS",VLOOKUP(B611,Listas!$C$4:$F$17,3,0),IF(F611="GLENCORE",VLOOKUP(B611,Listas!$C$4:$F$17,4,0),"Seleccione TAR"))),"-")</f>
        <v>Seleccione TAR</v>
      </c>
      <c r="M611" s="19" t="str">
        <f>+IFERROR(IF(G611="Regular",VLOOKUP(C611,'DESCUENTO PROVEEDORES'!$B$4:$E$35,2,0),IF(G611="Premium",VLOOKUP(C611,'DESCUENTO PROVEEDORES'!$B$4:$E$35,3,0),IF(G611="Diesel",VLOOKUP(C611,'DESCUENTO PROVEEDORES'!$B$4:$E$35,4,0),"Seleccione Proveedor"))),"-")</f>
        <v>Seleccione Proveedor</v>
      </c>
      <c r="N611" s="20" t="e">
        <f>((((K611-H611)/1.16)-M611))</f>
        <v>#VALUE!</v>
      </c>
      <c r="O611" s="21" t="e">
        <f>((N611*16%)+N611)+H611+L611</f>
        <v>#VALUE!</v>
      </c>
      <c r="P611" s="21" t="e">
        <f>(((J611-O611)-H611)/1.16)+H611</f>
        <v>#VALUE!</v>
      </c>
      <c r="Q611" s="44"/>
      <c r="R611" s="24"/>
      <c r="S611" s="23" t="e">
        <f t="shared" si="30"/>
        <v>#DIV/0!</v>
      </c>
      <c r="T611" s="23" t="e">
        <f t="shared" si="31"/>
        <v>#DIV/0!</v>
      </c>
      <c r="U611" s="22" t="e">
        <f t="shared" si="32"/>
        <v>#DIV/0!</v>
      </c>
      <c r="V611" s="44"/>
      <c r="W611" s="44"/>
      <c r="X611" s="44"/>
      <c r="Y611" s="44"/>
      <c r="Z611" s="44"/>
    </row>
    <row r="612" spans="1:26" ht="15.75" customHeight="1">
      <c r="A612" s="44"/>
      <c r="B612" s="14"/>
      <c r="C612" s="53"/>
      <c r="D612" s="15"/>
      <c r="E612" s="89"/>
      <c r="F612" s="16"/>
      <c r="G612" s="16"/>
      <c r="H612" s="90" t="str">
        <f>IF(G612="Regular",Listas!$K$16,IF(G612="Premium",Listas!$K$17,IF(G612="Diesel",Listas!$K$18,"-")))</f>
        <v>-</v>
      </c>
      <c r="I612" s="17"/>
      <c r="J612" s="18"/>
      <c r="K612" s="19" t="str">
        <f>+IFERROR(IF(G612="Regular",VLOOKUP(C612,'PRECIO TERMINAL PEMEX'!$B$4:$E$35,2,0),IF(G612="Premium",VLOOKUP(C612,'PRECIO TERMINAL PEMEX'!$B$4:$E$35,3,0),IF(G612="Diesel",VLOOKUP(C612,'PRECIO TERMINAL PEMEX'!$B$4:$E$35,4,0),"Seleccione Producto"))),"-")</f>
        <v>Seleccione Producto</v>
      </c>
      <c r="L612" s="93" t="str">
        <f>+IFERROR(IF(F612="VHSA",VLOOKUP(B612,Listas!$C$4:$F$17,2,0),IF(F612="DOS BOCAS",VLOOKUP(B612,Listas!$C$4:$F$17,3,0),IF(F612="GLENCORE",VLOOKUP(B612,Listas!$C$4:$F$17,4,0),"Seleccione TAR"))),"-")</f>
        <v>Seleccione TAR</v>
      </c>
      <c r="M612" s="19" t="str">
        <f>+IFERROR(IF(G612="Regular",VLOOKUP(C612,'DESCUENTO PROVEEDORES'!$B$4:$E$35,2,0),IF(G612="Premium",VLOOKUP(C612,'DESCUENTO PROVEEDORES'!$B$4:$E$35,3,0),IF(G612="Diesel",VLOOKUP(C612,'DESCUENTO PROVEEDORES'!$B$4:$E$35,4,0),"Seleccione Proveedor"))),"-")</f>
        <v>Seleccione Proveedor</v>
      </c>
      <c r="N612" s="20" t="e">
        <f>((((K612-H612)/1.16)-M612))</f>
        <v>#VALUE!</v>
      </c>
      <c r="O612" s="21" t="e">
        <f>((N612*16%)+N612)+H612+L612</f>
        <v>#VALUE!</v>
      </c>
      <c r="P612" s="21" t="e">
        <f>(((J612-O612)-H612)/1.16)+H612</f>
        <v>#VALUE!</v>
      </c>
      <c r="Q612" s="44"/>
      <c r="R612" s="24"/>
      <c r="S612" s="23" t="e">
        <f t="shared" si="30"/>
        <v>#DIV/0!</v>
      </c>
      <c r="T612" s="23" t="e">
        <f t="shared" si="31"/>
        <v>#DIV/0!</v>
      </c>
      <c r="U612" s="22" t="e">
        <f t="shared" si="32"/>
        <v>#DIV/0!</v>
      </c>
      <c r="V612" s="44"/>
      <c r="W612" s="44"/>
      <c r="X612" s="44"/>
      <c r="Y612" s="44"/>
      <c r="Z612" s="44"/>
    </row>
    <row r="613" spans="1:26" ht="15.75" customHeight="1">
      <c r="A613" s="44"/>
      <c r="B613" s="14"/>
      <c r="C613" s="53"/>
      <c r="D613" s="15"/>
      <c r="E613" s="89"/>
      <c r="F613" s="16"/>
      <c r="G613" s="16"/>
      <c r="H613" s="90" t="str">
        <f>IF(G613="Regular",Listas!$K$16,IF(G613="Premium",Listas!$K$17,IF(G613="Diesel",Listas!$K$18,"-")))</f>
        <v>-</v>
      </c>
      <c r="I613" s="17"/>
      <c r="J613" s="18"/>
      <c r="K613" s="19" t="str">
        <f>+IFERROR(IF(G613="Regular",VLOOKUP(C613,'PRECIO TERMINAL PEMEX'!$B$4:$E$35,2,0),IF(G613="Premium",VLOOKUP(C613,'PRECIO TERMINAL PEMEX'!$B$4:$E$35,3,0),IF(G613="Diesel",VLOOKUP(C613,'PRECIO TERMINAL PEMEX'!$B$4:$E$35,4,0),"Seleccione Producto"))),"-")</f>
        <v>Seleccione Producto</v>
      </c>
      <c r="L613" s="93" t="str">
        <f>+IFERROR(IF(F613="VHSA",VLOOKUP(B613,Listas!$C$4:$F$17,2,0),IF(F613="DOS BOCAS",VLOOKUP(B613,Listas!$C$4:$F$17,3,0),IF(F613="GLENCORE",VLOOKUP(B613,Listas!$C$4:$F$17,4,0),"Seleccione TAR"))),"-")</f>
        <v>Seleccione TAR</v>
      </c>
      <c r="M613" s="19" t="str">
        <f>+IFERROR(IF(G613="Regular",VLOOKUP(C613,'DESCUENTO PROVEEDORES'!$B$4:$E$35,2,0),IF(G613="Premium",VLOOKUP(C613,'DESCUENTO PROVEEDORES'!$B$4:$E$35,3,0),IF(G613="Diesel",VLOOKUP(C613,'DESCUENTO PROVEEDORES'!$B$4:$E$35,4,0),"Seleccione Proveedor"))),"-")</f>
        <v>Seleccione Proveedor</v>
      </c>
      <c r="N613" s="20" t="e">
        <f>((((K613-H613)/1.16)-M613))</f>
        <v>#VALUE!</v>
      </c>
      <c r="O613" s="21" t="e">
        <f>((N613*16%)+N613)+H613+L613</f>
        <v>#VALUE!</v>
      </c>
      <c r="P613" s="21" t="e">
        <f>(((J613-O613)-H613)/1.16)+H613</f>
        <v>#VALUE!</v>
      </c>
      <c r="Q613" s="44"/>
      <c r="R613" s="24"/>
      <c r="S613" s="23" t="e">
        <f t="shared" si="30"/>
        <v>#DIV/0!</v>
      </c>
      <c r="T613" s="23" t="e">
        <f t="shared" si="31"/>
        <v>#DIV/0!</v>
      </c>
      <c r="U613" s="22" t="e">
        <f t="shared" si="32"/>
        <v>#DIV/0!</v>
      </c>
      <c r="V613" s="44"/>
      <c r="W613" s="44"/>
      <c r="X613" s="44"/>
      <c r="Y613" s="44"/>
      <c r="Z613" s="44"/>
    </row>
    <row r="614" spans="1:26" ht="15.75" customHeight="1">
      <c r="A614" s="44"/>
      <c r="B614" s="14"/>
      <c r="C614" s="53"/>
      <c r="D614" s="15"/>
      <c r="E614" s="89"/>
      <c r="F614" s="16"/>
      <c r="G614" s="16"/>
      <c r="H614" s="90" t="str">
        <f>IF(G614="Regular",Listas!$K$16,IF(G614="Premium",Listas!$K$17,IF(G614="Diesel",Listas!$K$18,"-")))</f>
        <v>-</v>
      </c>
      <c r="I614" s="17"/>
      <c r="J614" s="18"/>
      <c r="K614" s="19" t="str">
        <f>+IFERROR(IF(G614="Regular",VLOOKUP(C614,'PRECIO TERMINAL PEMEX'!$B$4:$E$35,2,0),IF(G614="Premium",VLOOKUP(C614,'PRECIO TERMINAL PEMEX'!$B$4:$E$35,3,0),IF(G614="Diesel",VLOOKUP(C614,'PRECIO TERMINAL PEMEX'!$B$4:$E$35,4,0),"Seleccione Producto"))),"-")</f>
        <v>Seleccione Producto</v>
      </c>
      <c r="L614" s="93" t="str">
        <f>+IFERROR(IF(F614="VHSA",VLOOKUP(B614,Listas!$C$4:$F$17,2,0),IF(F614="DOS BOCAS",VLOOKUP(B614,Listas!$C$4:$F$17,3,0),IF(F614="GLENCORE",VLOOKUP(B614,Listas!$C$4:$F$17,4,0),"Seleccione TAR"))),"-")</f>
        <v>Seleccione TAR</v>
      </c>
      <c r="M614" s="19" t="str">
        <f>+IFERROR(IF(G614="Regular",VLOOKUP(C614,'DESCUENTO PROVEEDORES'!$B$4:$E$35,2,0),IF(G614="Premium",VLOOKUP(C614,'DESCUENTO PROVEEDORES'!$B$4:$E$35,3,0),IF(G614="Diesel",VLOOKUP(C614,'DESCUENTO PROVEEDORES'!$B$4:$E$35,4,0),"Seleccione Proveedor"))),"-")</f>
        <v>Seleccione Proveedor</v>
      </c>
      <c r="N614" s="20" t="e">
        <f>((((K614-H614)/1.16)-M614))</f>
        <v>#VALUE!</v>
      </c>
      <c r="O614" s="21" t="e">
        <f>((N614*16%)+N614)+H614+L614</f>
        <v>#VALUE!</v>
      </c>
      <c r="P614" s="21" t="e">
        <f>(((J614-O614)-H614)/1.16)+H614</f>
        <v>#VALUE!</v>
      </c>
      <c r="Q614" s="44"/>
      <c r="R614" s="24"/>
      <c r="S614" s="23" t="e">
        <f t="shared" si="30"/>
        <v>#DIV/0!</v>
      </c>
      <c r="T614" s="23" t="e">
        <f t="shared" si="31"/>
        <v>#DIV/0!</v>
      </c>
      <c r="U614" s="22" t="e">
        <f t="shared" si="32"/>
        <v>#DIV/0!</v>
      </c>
      <c r="V614" s="44"/>
      <c r="W614" s="44"/>
      <c r="X614" s="44"/>
      <c r="Y614" s="44"/>
      <c r="Z614" s="44"/>
    </row>
    <row r="615" spans="1:26" ht="15.75" customHeight="1">
      <c r="A615" s="44"/>
      <c r="B615" s="14"/>
      <c r="C615" s="53"/>
      <c r="D615" s="15"/>
      <c r="E615" s="89"/>
      <c r="F615" s="16"/>
      <c r="G615" s="16"/>
      <c r="H615" s="90" t="str">
        <f>IF(G615="Regular",Listas!$K$16,IF(G615="Premium",Listas!$K$17,IF(G615="Diesel",Listas!$K$18,"-")))</f>
        <v>-</v>
      </c>
      <c r="I615" s="17"/>
      <c r="J615" s="18"/>
      <c r="K615" s="19" t="str">
        <f>+IFERROR(IF(G615="Regular",VLOOKUP(C615,'PRECIO TERMINAL PEMEX'!$B$4:$E$35,2,0),IF(G615="Premium",VLOOKUP(C615,'PRECIO TERMINAL PEMEX'!$B$4:$E$35,3,0),IF(G615="Diesel",VLOOKUP(C615,'PRECIO TERMINAL PEMEX'!$B$4:$E$35,4,0),"Seleccione Producto"))),"-")</f>
        <v>Seleccione Producto</v>
      </c>
      <c r="L615" s="93" t="str">
        <f>+IFERROR(IF(F615="VHSA",VLOOKUP(B615,Listas!$C$4:$F$17,2,0),IF(F615="DOS BOCAS",VLOOKUP(B615,Listas!$C$4:$F$17,3,0),IF(F615="GLENCORE",VLOOKUP(B615,Listas!$C$4:$F$17,4,0),"Seleccione TAR"))),"-")</f>
        <v>Seleccione TAR</v>
      </c>
      <c r="M615" s="19" t="str">
        <f>+IFERROR(IF(G615="Regular",VLOOKUP(C615,'DESCUENTO PROVEEDORES'!$B$4:$E$35,2,0),IF(G615="Premium",VLOOKUP(C615,'DESCUENTO PROVEEDORES'!$B$4:$E$35,3,0),IF(G615="Diesel",VLOOKUP(C615,'DESCUENTO PROVEEDORES'!$B$4:$E$35,4,0),"Seleccione Proveedor"))),"-")</f>
        <v>Seleccione Proveedor</v>
      </c>
      <c r="N615" s="20" t="e">
        <f>((((K615-H615)/1.16)-M615))</f>
        <v>#VALUE!</v>
      </c>
      <c r="O615" s="21" t="e">
        <f>((N615*16%)+N615)+H615+L615</f>
        <v>#VALUE!</v>
      </c>
      <c r="P615" s="21" t="e">
        <f>(((J615-O615)-H615)/1.16)+H615</f>
        <v>#VALUE!</v>
      </c>
      <c r="Q615" s="44"/>
      <c r="R615" s="24"/>
      <c r="S615" s="23" t="e">
        <f t="shared" si="30"/>
        <v>#DIV/0!</v>
      </c>
      <c r="T615" s="23" t="e">
        <f t="shared" si="31"/>
        <v>#DIV/0!</v>
      </c>
      <c r="U615" s="22" t="e">
        <f t="shared" si="32"/>
        <v>#DIV/0!</v>
      </c>
      <c r="V615" s="44"/>
      <c r="W615" s="44"/>
      <c r="X615" s="44"/>
      <c r="Y615" s="44"/>
      <c r="Z615" s="44"/>
    </row>
    <row r="616" spans="1:26" ht="15.75" customHeight="1">
      <c r="A616" s="44"/>
      <c r="B616" s="14"/>
      <c r="C616" s="53"/>
      <c r="D616" s="15"/>
      <c r="E616" s="89"/>
      <c r="F616" s="16"/>
      <c r="G616" s="16"/>
      <c r="H616" s="90" t="str">
        <f>IF(G616="Regular",Listas!$K$16,IF(G616="Premium",Listas!$K$17,IF(G616="Diesel",Listas!$K$18,"-")))</f>
        <v>-</v>
      </c>
      <c r="I616" s="17"/>
      <c r="J616" s="18"/>
      <c r="K616" s="19" t="str">
        <f>+IFERROR(IF(G616="Regular",VLOOKUP(C616,'PRECIO TERMINAL PEMEX'!$B$4:$E$35,2,0),IF(G616="Premium",VLOOKUP(C616,'PRECIO TERMINAL PEMEX'!$B$4:$E$35,3,0),IF(G616="Diesel",VLOOKUP(C616,'PRECIO TERMINAL PEMEX'!$B$4:$E$35,4,0),"Seleccione Producto"))),"-")</f>
        <v>Seleccione Producto</v>
      </c>
      <c r="L616" s="93" t="str">
        <f>+IFERROR(IF(F616="VHSA",VLOOKUP(B616,Listas!$C$4:$F$17,2,0),IF(F616="DOS BOCAS",VLOOKUP(B616,Listas!$C$4:$F$17,3,0),IF(F616="GLENCORE",VLOOKUP(B616,Listas!$C$4:$F$17,4,0),"Seleccione TAR"))),"-")</f>
        <v>Seleccione TAR</v>
      </c>
      <c r="M616" s="19" t="str">
        <f>+IFERROR(IF(G616="Regular",VLOOKUP(C616,'DESCUENTO PROVEEDORES'!$B$4:$E$35,2,0),IF(G616="Premium",VLOOKUP(C616,'DESCUENTO PROVEEDORES'!$B$4:$E$35,3,0),IF(G616="Diesel",VLOOKUP(C616,'DESCUENTO PROVEEDORES'!$B$4:$E$35,4,0),"Seleccione Proveedor"))),"-")</f>
        <v>Seleccione Proveedor</v>
      </c>
      <c r="N616" s="20" t="e">
        <f>((((K616-H616)/1.16)-M616))</f>
        <v>#VALUE!</v>
      </c>
      <c r="O616" s="21" t="e">
        <f>((N616*16%)+N616)+H616+L616</f>
        <v>#VALUE!</v>
      </c>
      <c r="P616" s="21" t="e">
        <f>(((J616-O616)-H616)/1.16)+H616</f>
        <v>#VALUE!</v>
      </c>
      <c r="Q616" s="44"/>
      <c r="R616" s="24"/>
      <c r="S616" s="23" t="e">
        <f t="shared" si="30"/>
        <v>#DIV/0!</v>
      </c>
      <c r="T616" s="23" t="e">
        <f t="shared" si="31"/>
        <v>#DIV/0!</v>
      </c>
      <c r="U616" s="22" t="e">
        <f t="shared" si="32"/>
        <v>#DIV/0!</v>
      </c>
      <c r="V616" s="44"/>
      <c r="W616" s="44"/>
      <c r="X616" s="44"/>
      <c r="Y616" s="44"/>
      <c r="Z616" s="44"/>
    </row>
    <row r="617" spans="1:26" ht="15.75" customHeight="1">
      <c r="A617" s="44"/>
      <c r="B617" s="14"/>
      <c r="C617" s="53"/>
      <c r="D617" s="15"/>
      <c r="E617" s="89"/>
      <c r="F617" s="16"/>
      <c r="G617" s="16"/>
      <c r="H617" s="90" t="str">
        <f>IF(G617="Regular",Listas!$K$16,IF(G617="Premium",Listas!$K$17,IF(G617="Diesel",Listas!$K$18,"-")))</f>
        <v>-</v>
      </c>
      <c r="I617" s="17"/>
      <c r="J617" s="18"/>
      <c r="K617" s="19" t="str">
        <f>+IFERROR(IF(G617="Regular",VLOOKUP(C617,'PRECIO TERMINAL PEMEX'!$B$4:$E$35,2,0),IF(G617="Premium",VLOOKUP(C617,'PRECIO TERMINAL PEMEX'!$B$4:$E$35,3,0),IF(G617="Diesel",VLOOKUP(C617,'PRECIO TERMINAL PEMEX'!$B$4:$E$35,4,0),"Seleccione Producto"))),"-")</f>
        <v>Seleccione Producto</v>
      </c>
      <c r="L617" s="93" t="str">
        <f>+IFERROR(IF(F617="VHSA",VLOOKUP(B617,Listas!$C$4:$F$17,2,0),IF(F617="DOS BOCAS",VLOOKUP(B617,Listas!$C$4:$F$17,3,0),IF(F617="GLENCORE",VLOOKUP(B617,Listas!$C$4:$F$17,4,0),"Seleccione TAR"))),"-")</f>
        <v>Seleccione TAR</v>
      </c>
      <c r="M617" s="19" t="str">
        <f>+IFERROR(IF(G617="Regular",VLOOKUP(C617,'DESCUENTO PROVEEDORES'!$B$4:$E$35,2,0),IF(G617="Premium",VLOOKUP(C617,'DESCUENTO PROVEEDORES'!$B$4:$E$35,3,0),IF(G617="Diesel",VLOOKUP(C617,'DESCUENTO PROVEEDORES'!$B$4:$E$35,4,0),"Seleccione Proveedor"))),"-")</f>
        <v>Seleccione Proveedor</v>
      </c>
      <c r="N617" s="20" t="e">
        <f>((((K617-H617)/1.16)-M617))</f>
        <v>#VALUE!</v>
      </c>
      <c r="O617" s="21" t="e">
        <f>((N617*16%)+N617)+H617+L617</f>
        <v>#VALUE!</v>
      </c>
      <c r="P617" s="21" t="e">
        <f>(((J617-O617)-H617)/1.16)+H617</f>
        <v>#VALUE!</v>
      </c>
      <c r="Q617" s="44"/>
      <c r="R617" s="24"/>
      <c r="S617" s="23" t="e">
        <f t="shared" si="30"/>
        <v>#DIV/0!</v>
      </c>
      <c r="T617" s="23" t="e">
        <f t="shared" si="31"/>
        <v>#DIV/0!</v>
      </c>
      <c r="U617" s="22" t="e">
        <f t="shared" si="32"/>
        <v>#DIV/0!</v>
      </c>
      <c r="V617" s="44"/>
      <c r="W617" s="44"/>
      <c r="X617" s="44"/>
      <c r="Y617" s="44"/>
      <c r="Z617" s="44"/>
    </row>
    <row r="618" spans="1:26" ht="15.75" customHeight="1">
      <c r="A618" s="44"/>
      <c r="B618" s="14"/>
      <c r="C618" s="53"/>
      <c r="D618" s="15"/>
      <c r="E618" s="89"/>
      <c r="F618" s="16"/>
      <c r="G618" s="16"/>
      <c r="H618" s="90" t="str">
        <f>IF(G618="Regular",Listas!$K$16,IF(G618="Premium",Listas!$K$17,IF(G618="Diesel",Listas!$K$18,"-")))</f>
        <v>-</v>
      </c>
      <c r="I618" s="17"/>
      <c r="J618" s="18"/>
      <c r="K618" s="19" t="str">
        <f>+IFERROR(IF(G618="Regular",VLOOKUP(C618,'PRECIO TERMINAL PEMEX'!$B$4:$E$35,2,0),IF(G618="Premium",VLOOKUP(C618,'PRECIO TERMINAL PEMEX'!$B$4:$E$35,3,0),IF(G618="Diesel",VLOOKUP(C618,'PRECIO TERMINAL PEMEX'!$B$4:$E$35,4,0),"Seleccione Producto"))),"-")</f>
        <v>Seleccione Producto</v>
      </c>
      <c r="L618" s="93" t="str">
        <f>+IFERROR(IF(F618="VHSA",VLOOKUP(B618,Listas!$C$4:$F$17,2,0),IF(F618="DOS BOCAS",VLOOKUP(B618,Listas!$C$4:$F$17,3,0),IF(F618="GLENCORE",VLOOKUP(B618,Listas!$C$4:$F$17,4,0),"Seleccione TAR"))),"-")</f>
        <v>Seleccione TAR</v>
      </c>
      <c r="M618" s="19" t="str">
        <f>+IFERROR(IF(G618="Regular",VLOOKUP(C618,'DESCUENTO PROVEEDORES'!$B$4:$E$35,2,0),IF(G618="Premium",VLOOKUP(C618,'DESCUENTO PROVEEDORES'!$B$4:$E$35,3,0),IF(G618="Diesel",VLOOKUP(C618,'DESCUENTO PROVEEDORES'!$B$4:$E$35,4,0),"Seleccione Proveedor"))),"-")</f>
        <v>Seleccione Proveedor</v>
      </c>
      <c r="N618" s="20" t="e">
        <f>((((K618-H618)/1.16)-M618))</f>
        <v>#VALUE!</v>
      </c>
      <c r="O618" s="21" t="e">
        <f>((N618*16%)+N618)+H618+L618</f>
        <v>#VALUE!</v>
      </c>
      <c r="P618" s="21" t="e">
        <f>(((J618-O618)-H618)/1.16)+H618</f>
        <v>#VALUE!</v>
      </c>
      <c r="Q618" s="44"/>
      <c r="R618" s="24"/>
      <c r="S618" s="23" t="e">
        <f t="shared" si="30"/>
        <v>#DIV/0!</v>
      </c>
      <c r="T618" s="23" t="e">
        <f t="shared" si="31"/>
        <v>#DIV/0!</v>
      </c>
      <c r="U618" s="22" t="e">
        <f t="shared" si="32"/>
        <v>#DIV/0!</v>
      </c>
      <c r="V618" s="44"/>
      <c r="W618" s="44"/>
      <c r="X618" s="44"/>
      <c r="Y618" s="44"/>
      <c r="Z618" s="44"/>
    </row>
    <row r="619" spans="1:26" ht="15.75" customHeight="1">
      <c r="A619" s="44"/>
      <c r="B619" s="14"/>
      <c r="C619" s="53"/>
      <c r="D619" s="15"/>
      <c r="E619" s="89"/>
      <c r="F619" s="16"/>
      <c r="G619" s="16"/>
      <c r="H619" s="90" t="str">
        <f>IF(G619="Regular",Listas!$K$16,IF(G619="Premium",Listas!$K$17,IF(G619="Diesel",Listas!$K$18,"-")))</f>
        <v>-</v>
      </c>
      <c r="I619" s="17"/>
      <c r="J619" s="18"/>
      <c r="K619" s="19" t="str">
        <f>+IFERROR(IF(G619="Regular",VLOOKUP(C619,'PRECIO TERMINAL PEMEX'!$B$4:$E$35,2,0),IF(G619="Premium",VLOOKUP(C619,'PRECIO TERMINAL PEMEX'!$B$4:$E$35,3,0),IF(G619="Diesel",VLOOKUP(C619,'PRECIO TERMINAL PEMEX'!$B$4:$E$35,4,0),"Seleccione Producto"))),"-")</f>
        <v>Seleccione Producto</v>
      </c>
      <c r="L619" s="93" t="str">
        <f>+IFERROR(IF(F619="VHSA",VLOOKUP(B619,Listas!$C$4:$F$17,2,0),IF(F619="DOS BOCAS",VLOOKUP(B619,Listas!$C$4:$F$17,3,0),IF(F619="GLENCORE",VLOOKUP(B619,Listas!$C$4:$F$17,4,0),"Seleccione TAR"))),"-")</f>
        <v>Seleccione TAR</v>
      </c>
      <c r="M619" s="19" t="str">
        <f>+IFERROR(IF(G619="Regular",VLOOKUP(C619,'DESCUENTO PROVEEDORES'!$B$4:$E$35,2,0),IF(G619="Premium",VLOOKUP(C619,'DESCUENTO PROVEEDORES'!$B$4:$E$35,3,0),IF(G619="Diesel",VLOOKUP(C619,'DESCUENTO PROVEEDORES'!$B$4:$E$35,4,0),"Seleccione Proveedor"))),"-")</f>
        <v>Seleccione Proveedor</v>
      </c>
      <c r="N619" s="20" t="e">
        <f>((((K619-H619)/1.16)-M619))</f>
        <v>#VALUE!</v>
      </c>
      <c r="O619" s="21" t="e">
        <f>((N619*16%)+N619)+H619+L619</f>
        <v>#VALUE!</v>
      </c>
      <c r="P619" s="21" t="e">
        <f>(((J619-O619)-H619)/1.16)+H619</f>
        <v>#VALUE!</v>
      </c>
      <c r="Q619" s="44"/>
      <c r="R619" s="24"/>
      <c r="S619" s="23" t="e">
        <f t="shared" si="30"/>
        <v>#DIV/0!</v>
      </c>
      <c r="T619" s="23" t="e">
        <f t="shared" si="31"/>
        <v>#DIV/0!</v>
      </c>
      <c r="U619" s="22" t="e">
        <f t="shared" si="32"/>
        <v>#DIV/0!</v>
      </c>
      <c r="V619" s="44"/>
      <c r="W619" s="44"/>
      <c r="X619" s="44"/>
      <c r="Y619" s="44"/>
      <c r="Z619" s="44"/>
    </row>
    <row r="620" spans="1:26" ht="15.75" customHeight="1">
      <c r="A620" s="44"/>
      <c r="B620" s="14"/>
      <c r="C620" s="53"/>
      <c r="D620" s="15"/>
      <c r="E620" s="89"/>
      <c r="F620" s="16"/>
      <c r="G620" s="16"/>
      <c r="H620" s="90" t="str">
        <f>IF(G620="Regular",Listas!$K$16,IF(G620="Premium",Listas!$K$17,IF(G620="Diesel",Listas!$K$18,"-")))</f>
        <v>-</v>
      </c>
      <c r="I620" s="17"/>
      <c r="J620" s="18"/>
      <c r="K620" s="19" t="str">
        <f>+IFERROR(IF(G620="Regular",VLOOKUP(C620,'PRECIO TERMINAL PEMEX'!$B$4:$E$35,2,0),IF(G620="Premium",VLOOKUP(C620,'PRECIO TERMINAL PEMEX'!$B$4:$E$35,3,0),IF(G620="Diesel",VLOOKUP(C620,'PRECIO TERMINAL PEMEX'!$B$4:$E$35,4,0),"Seleccione Producto"))),"-")</f>
        <v>Seleccione Producto</v>
      </c>
      <c r="L620" s="93" t="str">
        <f>+IFERROR(IF(F620="VHSA",VLOOKUP(B620,Listas!$C$4:$F$17,2,0),IF(F620="DOS BOCAS",VLOOKUP(B620,Listas!$C$4:$F$17,3,0),IF(F620="GLENCORE",VLOOKUP(B620,Listas!$C$4:$F$17,4,0),"Seleccione TAR"))),"-")</f>
        <v>Seleccione TAR</v>
      </c>
      <c r="M620" s="19" t="str">
        <f>+IFERROR(IF(G620="Regular",VLOOKUP(C620,'DESCUENTO PROVEEDORES'!$B$4:$E$35,2,0),IF(G620="Premium",VLOOKUP(C620,'DESCUENTO PROVEEDORES'!$B$4:$E$35,3,0),IF(G620="Diesel",VLOOKUP(C620,'DESCUENTO PROVEEDORES'!$B$4:$E$35,4,0),"Seleccione Proveedor"))),"-")</f>
        <v>Seleccione Proveedor</v>
      </c>
      <c r="N620" s="20" t="e">
        <f>((((K620-H620)/1.16)-M620))</f>
        <v>#VALUE!</v>
      </c>
      <c r="O620" s="21" t="e">
        <f>((N620*16%)+N620)+H620+L620</f>
        <v>#VALUE!</v>
      </c>
      <c r="P620" s="21" t="e">
        <f>(((J620-O620)-H620)/1.16)+H620</f>
        <v>#VALUE!</v>
      </c>
      <c r="Q620" s="44"/>
      <c r="R620" s="24"/>
      <c r="S620" s="23" t="e">
        <f t="shared" si="30"/>
        <v>#DIV/0!</v>
      </c>
      <c r="T620" s="23" t="e">
        <f t="shared" si="31"/>
        <v>#DIV/0!</v>
      </c>
      <c r="U620" s="22" t="e">
        <f t="shared" si="32"/>
        <v>#DIV/0!</v>
      </c>
      <c r="V620" s="44"/>
      <c r="W620" s="44"/>
      <c r="X620" s="44"/>
      <c r="Y620" s="44"/>
      <c r="Z620" s="44"/>
    </row>
    <row r="621" spans="1:26" ht="15.75" customHeight="1">
      <c r="A621" s="44"/>
      <c r="B621" s="14"/>
      <c r="C621" s="53"/>
      <c r="D621" s="15"/>
      <c r="E621" s="89"/>
      <c r="F621" s="16"/>
      <c r="G621" s="16"/>
      <c r="H621" s="90" t="str">
        <f>IF(G621="Regular",Listas!$K$16,IF(G621="Premium",Listas!$K$17,IF(G621="Diesel",Listas!$K$18,"-")))</f>
        <v>-</v>
      </c>
      <c r="I621" s="17"/>
      <c r="J621" s="18"/>
      <c r="K621" s="19" t="str">
        <f>+IFERROR(IF(G621="Regular",VLOOKUP(C621,'PRECIO TERMINAL PEMEX'!$B$4:$E$35,2,0),IF(G621="Premium",VLOOKUP(C621,'PRECIO TERMINAL PEMEX'!$B$4:$E$35,3,0),IF(G621="Diesel",VLOOKUP(C621,'PRECIO TERMINAL PEMEX'!$B$4:$E$35,4,0),"Seleccione Producto"))),"-")</f>
        <v>Seleccione Producto</v>
      </c>
      <c r="L621" s="93" t="str">
        <f>+IFERROR(IF(F621="VHSA",VLOOKUP(B621,Listas!$C$4:$F$17,2,0),IF(F621="DOS BOCAS",VLOOKUP(B621,Listas!$C$4:$F$17,3,0),IF(F621="GLENCORE",VLOOKUP(B621,Listas!$C$4:$F$17,4,0),"Seleccione TAR"))),"-")</f>
        <v>Seleccione TAR</v>
      </c>
      <c r="M621" s="19" t="str">
        <f>+IFERROR(IF(G621="Regular",VLOOKUP(C621,'DESCUENTO PROVEEDORES'!$B$4:$E$35,2,0),IF(G621="Premium",VLOOKUP(C621,'DESCUENTO PROVEEDORES'!$B$4:$E$35,3,0),IF(G621="Diesel",VLOOKUP(C621,'DESCUENTO PROVEEDORES'!$B$4:$E$35,4,0),"Seleccione Proveedor"))),"-")</f>
        <v>Seleccione Proveedor</v>
      </c>
      <c r="N621" s="20" t="e">
        <f>((((K621-H621)/1.16)-M621))</f>
        <v>#VALUE!</v>
      </c>
      <c r="O621" s="21" t="e">
        <f>((N621*16%)+N621)+H621+L621</f>
        <v>#VALUE!</v>
      </c>
      <c r="P621" s="21" t="e">
        <f>(((J621-O621)-H621)/1.16)+H621</f>
        <v>#VALUE!</v>
      </c>
      <c r="Q621" s="44"/>
      <c r="R621" s="24"/>
      <c r="S621" s="23" t="e">
        <f t="shared" si="30"/>
        <v>#DIV/0!</v>
      </c>
      <c r="T621" s="23" t="e">
        <f t="shared" si="31"/>
        <v>#DIV/0!</v>
      </c>
      <c r="U621" s="22" t="e">
        <f t="shared" si="32"/>
        <v>#DIV/0!</v>
      </c>
      <c r="V621" s="44"/>
      <c r="W621" s="44"/>
      <c r="X621" s="44"/>
      <c r="Y621" s="44"/>
      <c r="Z621" s="44"/>
    </row>
    <row r="622" spans="1:26" ht="15.75" customHeight="1">
      <c r="A622" s="44"/>
      <c r="B622" s="14"/>
      <c r="C622" s="53"/>
      <c r="D622" s="15"/>
      <c r="E622" s="89"/>
      <c r="F622" s="16"/>
      <c r="G622" s="16"/>
      <c r="H622" s="90" t="str">
        <f>IF(G622="Regular",Listas!$K$16,IF(G622="Premium",Listas!$K$17,IF(G622="Diesel",Listas!$K$18,"-")))</f>
        <v>-</v>
      </c>
      <c r="I622" s="17"/>
      <c r="J622" s="18"/>
      <c r="K622" s="19" t="str">
        <f>+IFERROR(IF(G622="Regular",VLOOKUP(C622,'PRECIO TERMINAL PEMEX'!$B$4:$E$35,2,0),IF(G622="Premium",VLOOKUP(C622,'PRECIO TERMINAL PEMEX'!$B$4:$E$35,3,0),IF(G622="Diesel",VLOOKUP(C622,'PRECIO TERMINAL PEMEX'!$B$4:$E$35,4,0),"Seleccione Producto"))),"-")</f>
        <v>Seleccione Producto</v>
      </c>
      <c r="L622" s="93" t="str">
        <f>+IFERROR(IF(F622="VHSA",VLOOKUP(B622,Listas!$C$4:$F$17,2,0),IF(F622="DOS BOCAS",VLOOKUP(B622,Listas!$C$4:$F$17,3,0),IF(F622="GLENCORE",VLOOKUP(B622,Listas!$C$4:$F$17,4,0),"Seleccione TAR"))),"-")</f>
        <v>Seleccione TAR</v>
      </c>
      <c r="M622" s="19" t="str">
        <f>+IFERROR(IF(G622="Regular",VLOOKUP(C622,'DESCUENTO PROVEEDORES'!$B$4:$E$35,2,0),IF(G622="Premium",VLOOKUP(C622,'DESCUENTO PROVEEDORES'!$B$4:$E$35,3,0),IF(G622="Diesel",VLOOKUP(C622,'DESCUENTO PROVEEDORES'!$B$4:$E$35,4,0),"Seleccione Proveedor"))),"-")</f>
        <v>Seleccione Proveedor</v>
      </c>
      <c r="N622" s="20" t="e">
        <f>((((K622-H622)/1.16)-M622))</f>
        <v>#VALUE!</v>
      </c>
      <c r="O622" s="21" t="e">
        <f>((N622*16%)+N622)+H622+L622</f>
        <v>#VALUE!</v>
      </c>
      <c r="P622" s="21" t="e">
        <f>(((J622-O622)-H622)/1.16)+H622</f>
        <v>#VALUE!</v>
      </c>
      <c r="Q622" s="44"/>
      <c r="R622" s="24"/>
      <c r="S622" s="23" t="e">
        <f t="shared" si="30"/>
        <v>#DIV/0!</v>
      </c>
      <c r="T622" s="23" t="e">
        <f t="shared" si="31"/>
        <v>#DIV/0!</v>
      </c>
      <c r="U622" s="22" t="e">
        <f t="shared" si="32"/>
        <v>#DIV/0!</v>
      </c>
      <c r="V622" s="44"/>
      <c r="W622" s="44"/>
      <c r="X622" s="44"/>
      <c r="Y622" s="44"/>
      <c r="Z622" s="44"/>
    </row>
    <row r="623" spans="1:26" ht="15.75" customHeight="1">
      <c r="A623" s="44"/>
      <c r="B623" s="14"/>
      <c r="C623" s="53"/>
      <c r="D623" s="15"/>
      <c r="E623" s="89"/>
      <c r="F623" s="16"/>
      <c r="G623" s="16"/>
      <c r="H623" s="90" t="str">
        <f>IF(G623="Regular",Listas!$K$16,IF(G623="Premium",Listas!$K$17,IF(G623="Diesel",Listas!$K$18,"-")))</f>
        <v>-</v>
      </c>
      <c r="I623" s="17"/>
      <c r="J623" s="18"/>
      <c r="K623" s="19" t="str">
        <f>+IFERROR(IF(G623="Regular",VLOOKUP(C623,'PRECIO TERMINAL PEMEX'!$B$4:$E$35,2,0),IF(G623="Premium",VLOOKUP(C623,'PRECIO TERMINAL PEMEX'!$B$4:$E$35,3,0),IF(G623="Diesel",VLOOKUP(C623,'PRECIO TERMINAL PEMEX'!$B$4:$E$35,4,0),"Seleccione Producto"))),"-")</f>
        <v>Seleccione Producto</v>
      </c>
      <c r="L623" s="93" t="str">
        <f>+IFERROR(IF(F623="VHSA",VLOOKUP(B623,Listas!$C$4:$F$17,2,0),IF(F623="DOS BOCAS",VLOOKUP(B623,Listas!$C$4:$F$17,3,0),IF(F623="GLENCORE",VLOOKUP(B623,Listas!$C$4:$F$17,4,0),"Seleccione TAR"))),"-")</f>
        <v>Seleccione TAR</v>
      </c>
      <c r="M623" s="19" t="str">
        <f>+IFERROR(IF(G623="Regular",VLOOKUP(C623,'DESCUENTO PROVEEDORES'!$B$4:$E$35,2,0),IF(G623="Premium",VLOOKUP(C623,'DESCUENTO PROVEEDORES'!$B$4:$E$35,3,0),IF(G623="Diesel",VLOOKUP(C623,'DESCUENTO PROVEEDORES'!$B$4:$E$35,4,0),"Seleccione Proveedor"))),"-")</f>
        <v>Seleccione Proveedor</v>
      </c>
      <c r="N623" s="20" t="e">
        <f>((((K623-H623)/1.16)-M623))</f>
        <v>#VALUE!</v>
      </c>
      <c r="O623" s="21" t="e">
        <f>((N623*16%)+N623)+H623+L623</f>
        <v>#VALUE!</v>
      </c>
      <c r="P623" s="21" t="e">
        <f>(((J623-O623)-H623)/1.16)+H623</f>
        <v>#VALUE!</v>
      </c>
      <c r="Q623" s="44"/>
      <c r="R623" s="24"/>
      <c r="S623" s="23" t="e">
        <f t="shared" si="30"/>
        <v>#DIV/0!</v>
      </c>
      <c r="T623" s="23" t="e">
        <f t="shared" si="31"/>
        <v>#DIV/0!</v>
      </c>
      <c r="U623" s="22" t="e">
        <f t="shared" si="32"/>
        <v>#DIV/0!</v>
      </c>
      <c r="V623" s="44"/>
      <c r="W623" s="44"/>
      <c r="X623" s="44"/>
      <c r="Y623" s="44"/>
      <c r="Z623" s="44"/>
    </row>
    <row r="624" spans="1:26" ht="15.75" customHeight="1">
      <c r="A624" s="44"/>
      <c r="B624" s="14"/>
      <c r="C624" s="53"/>
      <c r="D624" s="15"/>
      <c r="E624" s="89"/>
      <c r="F624" s="16"/>
      <c r="G624" s="16"/>
      <c r="H624" s="90" t="str">
        <f>IF(G624="Regular",Listas!$K$16,IF(G624="Premium",Listas!$K$17,IF(G624="Diesel",Listas!$K$18,"-")))</f>
        <v>-</v>
      </c>
      <c r="I624" s="17"/>
      <c r="J624" s="18"/>
      <c r="K624" s="19" t="str">
        <f>+IFERROR(IF(G624="Regular",VLOOKUP(C624,'PRECIO TERMINAL PEMEX'!$B$4:$E$35,2,0),IF(G624="Premium",VLOOKUP(C624,'PRECIO TERMINAL PEMEX'!$B$4:$E$35,3,0),IF(G624="Diesel",VLOOKUP(C624,'PRECIO TERMINAL PEMEX'!$B$4:$E$35,4,0),"Seleccione Producto"))),"-")</f>
        <v>Seleccione Producto</v>
      </c>
      <c r="L624" s="93" t="str">
        <f>+IFERROR(IF(F624="VHSA",VLOOKUP(B624,Listas!$C$4:$F$17,2,0),IF(F624="DOS BOCAS",VLOOKUP(B624,Listas!$C$4:$F$17,3,0),IF(F624="GLENCORE",VLOOKUP(B624,Listas!$C$4:$F$17,4,0),"Seleccione TAR"))),"-")</f>
        <v>Seleccione TAR</v>
      </c>
      <c r="M624" s="19" t="str">
        <f>+IFERROR(IF(G624="Regular",VLOOKUP(C624,'DESCUENTO PROVEEDORES'!$B$4:$E$35,2,0),IF(G624="Premium",VLOOKUP(C624,'DESCUENTO PROVEEDORES'!$B$4:$E$35,3,0),IF(G624="Diesel",VLOOKUP(C624,'DESCUENTO PROVEEDORES'!$B$4:$E$35,4,0),"Seleccione Proveedor"))),"-")</f>
        <v>Seleccione Proveedor</v>
      </c>
      <c r="N624" s="20" t="e">
        <f>((((K624-H624)/1.16)-M624))</f>
        <v>#VALUE!</v>
      </c>
      <c r="O624" s="21" t="e">
        <f>((N624*16%)+N624)+H624+L624</f>
        <v>#VALUE!</v>
      </c>
      <c r="P624" s="21" t="e">
        <f>(((J624-O624)-H624)/1.16)+H624</f>
        <v>#VALUE!</v>
      </c>
      <c r="Q624" s="44"/>
      <c r="R624" s="24"/>
      <c r="S624" s="23" t="e">
        <f t="shared" si="30"/>
        <v>#DIV/0!</v>
      </c>
      <c r="T624" s="23" t="e">
        <f t="shared" si="31"/>
        <v>#DIV/0!</v>
      </c>
      <c r="U624" s="22" t="e">
        <f t="shared" si="32"/>
        <v>#DIV/0!</v>
      </c>
      <c r="V624" s="44"/>
      <c r="W624" s="44"/>
      <c r="X624" s="44"/>
      <c r="Y624" s="44"/>
      <c r="Z624" s="44"/>
    </row>
    <row r="625" spans="1:26" ht="15.75" customHeight="1">
      <c r="A625" s="44"/>
      <c r="B625" s="14"/>
      <c r="C625" s="53"/>
      <c r="D625" s="15"/>
      <c r="E625" s="89"/>
      <c r="F625" s="16"/>
      <c r="G625" s="16"/>
      <c r="H625" s="90" t="str">
        <f>IF(G625="Regular",Listas!$K$16,IF(G625="Premium",Listas!$K$17,IF(G625="Diesel",Listas!$K$18,"-")))</f>
        <v>-</v>
      </c>
      <c r="I625" s="17"/>
      <c r="J625" s="18"/>
      <c r="K625" s="19" t="str">
        <f>+IFERROR(IF(G625="Regular",VLOOKUP(C625,'PRECIO TERMINAL PEMEX'!$B$4:$E$35,2,0),IF(G625="Premium",VLOOKUP(C625,'PRECIO TERMINAL PEMEX'!$B$4:$E$35,3,0),IF(G625="Diesel",VLOOKUP(C625,'PRECIO TERMINAL PEMEX'!$B$4:$E$35,4,0),"Seleccione Producto"))),"-")</f>
        <v>Seleccione Producto</v>
      </c>
      <c r="L625" s="93" t="str">
        <f>+IFERROR(IF(F625="VHSA",VLOOKUP(B625,Listas!$C$4:$F$17,2,0),IF(F625="DOS BOCAS",VLOOKUP(B625,Listas!$C$4:$F$17,3,0),IF(F625="GLENCORE",VLOOKUP(B625,Listas!$C$4:$F$17,4,0),"Seleccione TAR"))),"-")</f>
        <v>Seleccione TAR</v>
      </c>
      <c r="M625" s="19" t="str">
        <f>+IFERROR(IF(G625="Regular",VLOOKUP(C625,'DESCUENTO PROVEEDORES'!$B$4:$E$35,2,0),IF(G625="Premium",VLOOKUP(C625,'DESCUENTO PROVEEDORES'!$B$4:$E$35,3,0),IF(G625="Diesel",VLOOKUP(C625,'DESCUENTO PROVEEDORES'!$B$4:$E$35,4,0),"Seleccione Proveedor"))),"-")</f>
        <v>Seleccione Proveedor</v>
      </c>
      <c r="N625" s="20" t="e">
        <f>((((K625-H625)/1.16)-M625))</f>
        <v>#VALUE!</v>
      </c>
      <c r="O625" s="21" t="e">
        <f>((N625*16%)+N625)+H625+L625</f>
        <v>#VALUE!</v>
      </c>
      <c r="P625" s="21" t="e">
        <f>(((J625-O625)-H625)/1.16)+H625</f>
        <v>#VALUE!</v>
      </c>
      <c r="Q625" s="44"/>
      <c r="R625" s="24"/>
      <c r="S625" s="23" t="e">
        <f t="shared" si="30"/>
        <v>#DIV/0!</v>
      </c>
      <c r="T625" s="23" t="e">
        <f t="shared" si="31"/>
        <v>#DIV/0!</v>
      </c>
      <c r="U625" s="22" t="e">
        <f t="shared" si="32"/>
        <v>#DIV/0!</v>
      </c>
      <c r="V625" s="44"/>
      <c r="W625" s="44"/>
      <c r="X625" s="44"/>
      <c r="Y625" s="44"/>
      <c r="Z625" s="44"/>
    </row>
    <row r="626" spans="1:26" ht="15.75" customHeight="1">
      <c r="A626" s="44"/>
      <c r="B626" s="14"/>
      <c r="C626" s="53"/>
      <c r="D626" s="15"/>
      <c r="E626" s="89"/>
      <c r="F626" s="16"/>
      <c r="G626" s="16"/>
      <c r="H626" s="90" t="str">
        <f>IF(G626="Regular",Listas!$K$16,IF(G626="Premium",Listas!$K$17,IF(G626="Diesel",Listas!$K$18,"-")))</f>
        <v>-</v>
      </c>
      <c r="I626" s="17"/>
      <c r="J626" s="18"/>
      <c r="K626" s="19" t="str">
        <f>+IFERROR(IF(G626="Regular",VLOOKUP(C626,'PRECIO TERMINAL PEMEX'!$B$4:$E$35,2,0),IF(G626="Premium",VLOOKUP(C626,'PRECIO TERMINAL PEMEX'!$B$4:$E$35,3,0),IF(G626="Diesel",VLOOKUP(C626,'PRECIO TERMINAL PEMEX'!$B$4:$E$35,4,0),"Seleccione Producto"))),"-")</f>
        <v>Seleccione Producto</v>
      </c>
      <c r="L626" s="93" t="str">
        <f>+IFERROR(IF(F626="VHSA",VLOOKUP(B626,Listas!$C$4:$F$17,2,0),IF(F626="DOS BOCAS",VLOOKUP(B626,Listas!$C$4:$F$17,3,0),IF(F626="GLENCORE",VLOOKUP(B626,Listas!$C$4:$F$17,4,0),"Seleccione TAR"))),"-")</f>
        <v>Seleccione TAR</v>
      </c>
      <c r="M626" s="19" t="str">
        <f>+IFERROR(IF(G626="Regular",VLOOKUP(C626,'DESCUENTO PROVEEDORES'!$B$4:$E$35,2,0),IF(G626="Premium",VLOOKUP(C626,'DESCUENTO PROVEEDORES'!$B$4:$E$35,3,0),IF(G626="Diesel",VLOOKUP(C626,'DESCUENTO PROVEEDORES'!$B$4:$E$35,4,0),"Seleccione Proveedor"))),"-")</f>
        <v>Seleccione Proveedor</v>
      </c>
      <c r="N626" s="20" t="e">
        <f>((((K626-H626)/1.16)-M626))</f>
        <v>#VALUE!</v>
      </c>
      <c r="O626" s="21" t="e">
        <f>((N626*16%)+N626)+H626+L626</f>
        <v>#VALUE!</v>
      </c>
      <c r="P626" s="21" t="e">
        <f>(((J626-O626)-H626)/1.16)+H626</f>
        <v>#VALUE!</v>
      </c>
      <c r="Q626" s="44"/>
      <c r="R626" s="24"/>
      <c r="S626" s="23" t="e">
        <f t="shared" si="30"/>
        <v>#DIV/0!</v>
      </c>
      <c r="T626" s="23" t="e">
        <f t="shared" si="31"/>
        <v>#DIV/0!</v>
      </c>
      <c r="U626" s="22" t="e">
        <f t="shared" si="32"/>
        <v>#DIV/0!</v>
      </c>
      <c r="V626" s="44"/>
      <c r="W626" s="44"/>
      <c r="X626" s="44"/>
      <c r="Y626" s="44"/>
      <c r="Z626" s="44"/>
    </row>
    <row r="627" spans="1:26" ht="15.75" customHeight="1">
      <c r="A627" s="44"/>
      <c r="B627" s="14"/>
      <c r="C627" s="53"/>
      <c r="D627" s="15"/>
      <c r="E627" s="89"/>
      <c r="F627" s="16"/>
      <c r="G627" s="16"/>
      <c r="H627" s="90" t="str">
        <f>IF(G627="Regular",Listas!$K$16,IF(G627="Premium",Listas!$K$17,IF(G627="Diesel",Listas!$K$18,"-")))</f>
        <v>-</v>
      </c>
      <c r="I627" s="17"/>
      <c r="J627" s="18"/>
      <c r="K627" s="19" t="str">
        <f>+IFERROR(IF(G627="Regular",VLOOKUP(C627,'PRECIO TERMINAL PEMEX'!$B$4:$E$35,2,0),IF(G627="Premium",VLOOKUP(C627,'PRECIO TERMINAL PEMEX'!$B$4:$E$35,3,0),IF(G627="Diesel",VLOOKUP(C627,'PRECIO TERMINAL PEMEX'!$B$4:$E$35,4,0),"Seleccione Producto"))),"-")</f>
        <v>Seleccione Producto</v>
      </c>
      <c r="L627" s="93" t="str">
        <f>+IFERROR(IF(F627="VHSA",VLOOKUP(B627,Listas!$C$4:$F$17,2,0),IF(F627="DOS BOCAS",VLOOKUP(B627,Listas!$C$4:$F$17,3,0),IF(F627="GLENCORE",VLOOKUP(B627,Listas!$C$4:$F$17,4,0),"Seleccione TAR"))),"-")</f>
        <v>Seleccione TAR</v>
      </c>
      <c r="M627" s="19" t="str">
        <f>+IFERROR(IF(G627="Regular",VLOOKUP(C627,'DESCUENTO PROVEEDORES'!$B$4:$E$35,2,0),IF(G627="Premium",VLOOKUP(C627,'DESCUENTO PROVEEDORES'!$B$4:$E$35,3,0),IF(G627="Diesel",VLOOKUP(C627,'DESCUENTO PROVEEDORES'!$B$4:$E$35,4,0),"Seleccione Proveedor"))),"-")</f>
        <v>Seleccione Proveedor</v>
      </c>
      <c r="N627" s="20" t="e">
        <f>((((K627-H627)/1.16)-M627))</f>
        <v>#VALUE!</v>
      </c>
      <c r="O627" s="21" t="e">
        <f>((N627*16%)+N627)+H627+L627</f>
        <v>#VALUE!</v>
      </c>
      <c r="P627" s="21" t="e">
        <f>(((J627-O627)-H627)/1.16)+H627</f>
        <v>#VALUE!</v>
      </c>
      <c r="Q627" s="44"/>
      <c r="R627" s="24"/>
      <c r="S627" s="23" t="e">
        <f t="shared" si="30"/>
        <v>#DIV/0!</v>
      </c>
      <c r="T627" s="23" t="e">
        <f t="shared" si="31"/>
        <v>#DIV/0!</v>
      </c>
      <c r="U627" s="22" t="e">
        <f t="shared" si="32"/>
        <v>#DIV/0!</v>
      </c>
      <c r="V627" s="44"/>
      <c r="W627" s="44"/>
      <c r="X627" s="44"/>
      <c r="Y627" s="44"/>
      <c r="Z627" s="44"/>
    </row>
    <row r="628" spans="1:26" ht="15.75" customHeight="1">
      <c r="A628" s="44"/>
      <c r="B628" s="14"/>
      <c r="C628" s="53"/>
      <c r="D628" s="15"/>
      <c r="E628" s="89"/>
      <c r="F628" s="16"/>
      <c r="G628" s="16"/>
      <c r="H628" s="90" t="str">
        <f>IF(G628="Regular",Listas!$K$16,IF(G628="Premium",Listas!$K$17,IF(G628="Diesel",Listas!$K$18,"-")))</f>
        <v>-</v>
      </c>
      <c r="I628" s="17"/>
      <c r="J628" s="18"/>
      <c r="K628" s="19" t="str">
        <f>+IFERROR(IF(G628="Regular",VLOOKUP(C628,'PRECIO TERMINAL PEMEX'!$B$4:$E$35,2,0),IF(G628="Premium",VLOOKUP(C628,'PRECIO TERMINAL PEMEX'!$B$4:$E$35,3,0),IF(G628="Diesel",VLOOKUP(C628,'PRECIO TERMINAL PEMEX'!$B$4:$E$35,4,0),"Seleccione Producto"))),"-")</f>
        <v>Seleccione Producto</v>
      </c>
      <c r="L628" s="93" t="str">
        <f>+IFERROR(IF(F628="VHSA",VLOOKUP(B628,Listas!$C$4:$F$17,2,0),IF(F628="DOS BOCAS",VLOOKUP(B628,Listas!$C$4:$F$17,3,0),IF(F628="GLENCORE",VLOOKUP(B628,Listas!$C$4:$F$17,4,0),"Seleccione TAR"))),"-")</f>
        <v>Seleccione TAR</v>
      </c>
      <c r="M628" s="19" t="str">
        <f>+IFERROR(IF(G628="Regular",VLOOKUP(C628,'DESCUENTO PROVEEDORES'!$B$4:$E$35,2,0),IF(G628="Premium",VLOOKUP(C628,'DESCUENTO PROVEEDORES'!$B$4:$E$35,3,0),IF(G628="Diesel",VLOOKUP(C628,'DESCUENTO PROVEEDORES'!$B$4:$E$35,4,0),"Seleccione Proveedor"))),"-")</f>
        <v>Seleccione Proveedor</v>
      </c>
      <c r="N628" s="20" t="e">
        <f>((((K628-H628)/1.16)-M628))</f>
        <v>#VALUE!</v>
      </c>
      <c r="O628" s="21" t="e">
        <f>((N628*16%)+N628)+H628+L628</f>
        <v>#VALUE!</v>
      </c>
      <c r="P628" s="21" t="e">
        <f>(((J628-O628)-H628)/1.16)+H628</f>
        <v>#VALUE!</v>
      </c>
      <c r="Q628" s="44"/>
      <c r="R628" s="24"/>
      <c r="S628" s="23" t="e">
        <f t="shared" si="30"/>
        <v>#DIV/0!</v>
      </c>
      <c r="T628" s="23" t="e">
        <f t="shared" si="31"/>
        <v>#DIV/0!</v>
      </c>
      <c r="U628" s="22" t="e">
        <f t="shared" si="32"/>
        <v>#DIV/0!</v>
      </c>
      <c r="V628" s="44"/>
      <c r="W628" s="44"/>
      <c r="X628" s="44"/>
      <c r="Y628" s="44"/>
      <c r="Z628" s="44"/>
    </row>
    <row r="629" spans="1:26" ht="15.75" customHeight="1">
      <c r="A629" s="44"/>
      <c r="B629" s="14"/>
      <c r="C629" s="53"/>
      <c r="D629" s="15"/>
      <c r="E629" s="89"/>
      <c r="F629" s="16"/>
      <c r="G629" s="16"/>
      <c r="H629" s="90" t="str">
        <f>IF(G629="Regular",Listas!$K$16,IF(G629="Premium",Listas!$K$17,IF(G629="Diesel",Listas!$K$18,"-")))</f>
        <v>-</v>
      </c>
      <c r="I629" s="17"/>
      <c r="J629" s="18"/>
      <c r="K629" s="19" t="str">
        <f>+IFERROR(IF(G629="Regular",VLOOKUP(C629,'PRECIO TERMINAL PEMEX'!$B$4:$E$35,2,0),IF(G629="Premium",VLOOKUP(C629,'PRECIO TERMINAL PEMEX'!$B$4:$E$35,3,0),IF(G629="Diesel",VLOOKUP(C629,'PRECIO TERMINAL PEMEX'!$B$4:$E$35,4,0),"Seleccione Producto"))),"-")</f>
        <v>Seleccione Producto</v>
      </c>
      <c r="L629" s="93" t="str">
        <f>+IFERROR(IF(F629="VHSA",VLOOKUP(B629,Listas!$C$4:$F$17,2,0),IF(F629="DOS BOCAS",VLOOKUP(B629,Listas!$C$4:$F$17,3,0),IF(F629="GLENCORE",VLOOKUP(B629,Listas!$C$4:$F$17,4,0),"Seleccione TAR"))),"-")</f>
        <v>Seleccione TAR</v>
      </c>
      <c r="M629" s="19" t="str">
        <f>+IFERROR(IF(G629="Regular",VLOOKUP(C629,'DESCUENTO PROVEEDORES'!$B$4:$E$35,2,0),IF(G629="Premium",VLOOKUP(C629,'DESCUENTO PROVEEDORES'!$B$4:$E$35,3,0),IF(G629="Diesel",VLOOKUP(C629,'DESCUENTO PROVEEDORES'!$B$4:$E$35,4,0),"Seleccione Proveedor"))),"-")</f>
        <v>Seleccione Proveedor</v>
      </c>
      <c r="N629" s="20" t="e">
        <f>((((K629-H629)/1.16)-M629))</f>
        <v>#VALUE!</v>
      </c>
      <c r="O629" s="21" t="e">
        <f>((N629*16%)+N629)+H629+L629</f>
        <v>#VALUE!</v>
      </c>
      <c r="P629" s="21" t="e">
        <f>(((J629-O629)-H629)/1.16)+H629</f>
        <v>#VALUE!</v>
      </c>
      <c r="Q629" s="44"/>
      <c r="R629" s="24"/>
      <c r="S629" s="23" t="e">
        <f t="shared" si="30"/>
        <v>#DIV/0!</v>
      </c>
      <c r="T629" s="23" t="e">
        <f t="shared" si="31"/>
        <v>#DIV/0!</v>
      </c>
      <c r="U629" s="22" t="e">
        <f t="shared" si="32"/>
        <v>#DIV/0!</v>
      </c>
      <c r="V629" s="44"/>
      <c r="W629" s="44"/>
      <c r="X629" s="44"/>
      <c r="Y629" s="44"/>
      <c r="Z629" s="44"/>
    </row>
    <row r="630" spans="1:26" ht="15.75" customHeight="1">
      <c r="A630" s="44"/>
      <c r="B630" s="14"/>
      <c r="C630" s="53"/>
      <c r="D630" s="15"/>
      <c r="E630" s="89"/>
      <c r="F630" s="16"/>
      <c r="G630" s="16"/>
      <c r="H630" s="90" t="str">
        <f>IF(G630="Regular",Listas!$K$16,IF(G630="Premium",Listas!$K$17,IF(G630="Diesel",Listas!$K$18,"-")))</f>
        <v>-</v>
      </c>
      <c r="I630" s="17"/>
      <c r="J630" s="18"/>
      <c r="K630" s="19" t="str">
        <f>+IFERROR(IF(G630="Regular",VLOOKUP(C630,'PRECIO TERMINAL PEMEX'!$B$4:$E$35,2,0),IF(G630="Premium",VLOOKUP(C630,'PRECIO TERMINAL PEMEX'!$B$4:$E$35,3,0),IF(G630="Diesel",VLOOKUP(C630,'PRECIO TERMINAL PEMEX'!$B$4:$E$35,4,0),"Seleccione Producto"))),"-")</f>
        <v>Seleccione Producto</v>
      </c>
      <c r="L630" s="93" t="str">
        <f>+IFERROR(IF(F630="VHSA",VLOOKUP(B630,Listas!$C$4:$F$17,2,0),IF(F630="DOS BOCAS",VLOOKUP(B630,Listas!$C$4:$F$17,3,0),IF(F630="GLENCORE",VLOOKUP(B630,Listas!$C$4:$F$17,4,0),"Seleccione TAR"))),"-")</f>
        <v>Seleccione TAR</v>
      </c>
      <c r="M630" s="19" t="str">
        <f>+IFERROR(IF(G630="Regular",VLOOKUP(C630,'DESCUENTO PROVEEDORES'!$B$4:$E$35,2,0),IF(G630="Premium",VLOOKUP(C630,'DESCUENTO PROVEEDORES'!$B$4:$E$35,3,0),IF(G630="Diesel",VLOOKUP(C630,'DESCUENTO PROVEEDORES'!$B$4:$E$35,4,0),"Seleccione Proveedor"))),"-")</f>
        <v>Seleccione Proveedor</v>
      </c>
      <c r="N630" s="20" t="e">
        <f>((((K630-H630)/1.16)-M630))</f>
        <v>#VALUE!</v>
      </c>
      <c r="O630" s="21" t="e">
        <f>((N630*16%)+N630)+H630+L630</f>
        <v>#VALUE!</v>
      </c>
      <c r="P630" s="21" t="e">
        <f>(((J630-O630)-H630)/1.16)+H630</f>
        <v>#VALUE!</v>
      </c>
      <c r="Q630" s="44"/>
      <c r="R630" s="24"/>
      <c r="S630" s="23" t="e">
        <f t="shared" si="30"/>
        <v>#DIV/0!</v>
      </c>
      <c r="T630" s="23" t="e">
        <f t="shared" si="31"/>
        <v>#DIV/0!</v>
      </c>
      <c r="U630" s="22" t="e">
        <f t="shared" si="32"/>
        <v>#DIV/0!</v>
      </c>
      <c r="V630" s="44"/>
      <c r="W630" s="44"/>
      <c r="X630" s="44"/>
      <c r="Y630" s="44"/>
      <c r="Z630" s="44"/>
    </row>
    <row r="631" spans="1:26" ht="15.75" customHeight="1">
      <c r="A631" s="44"/>
      <c r="B631" s="14"/>
      <c r="C631" s="53"/>
      <c r="D631" s="15"/>
      <c r="E631" s="89"/>
      <c r="F631" s="16"/>
      <c r="G631" s="16"/>
      <c r="H631" s="90" t="str">
        <f>IF(G631="Regular",Listas!$K$16,IF(G631="Premium",Listas!$K$17,IF(G631="Diesel",Listas!$K$18,"-")))</f>
        <v>-</v>
      </c>
      <c r="I631" s="17"/>
      <c r="J631" s="18"/>
      <c r="K631" s="19" t="str">
        <f>+IFERROR(IF(G631="Regular",VLOOKUP(C631,'PRECIO TERMINAL PEMEX'!$B$4:$E$35,2,0),IF(G631="Premium",VLOOKUP(C631,'PRECIO TERMINAL PEMEX'!$B$4:$E$35,3,0),IF(G631="Diesel",VLOOKUP(C631,'PRECIO TERMINAL PEMEX'!$B$4:$E$35,4,0),"Seleccione Producto"))),"-")</f>
        <v>Seleccione Producto</v>
      </c>
      <c r="L631" s="93" t="str">
        <f>+IFERROR(IF(F631="VHSA",VLOOKUP(B631,Listas!$C$4:$F$17,2,0),IF(F631="DOS BOCAS",VLOOKUP(B631,Listas!$C$4:$F$17,3,0),IF(F631="GLENCORE",VLOOKUP(B631,Listas!$C$4:$F$17,4,0),"Seleccione TAR"))),"-")</f>
        <v>Seleccione TAR</v>
      </c>
      <c r="M631" s="19" t="str">
        <f>+IFERROR(IF(G631="Regular",VLOOKUP(C631,'DESCUENTO PROVEEDORES'!$B$4:$E$35,2,0),IF(G631="Premium",VLOOKUP(C631,'DESCUENTO PROVEEDORES'!$B$4:$E$35,3,0),IF(G631="Diesel",VLOOKUP(C631,'DESCUENTO PROVEEDORES'!$B$4:$E$35,4,0),"Seleccione Proveedor"))),"-")</f>
        <v>Seleccione Proveedor</v>
      </c>
      <c r="N631" s="20" t="e">
        <f>((((K631-H631)/1.16)-M631))</f>
        <v>#VALUE!</v>
      </c>
      <c r="O631" s="21" t="e">
        <f>((N631*16%)+N631)+H631+L631</f>
        <v>#VALUE!</v>
      </c>
      <c r="P631" s="21" t="e">
        <f>(((J631-O631)-H631)/1.16)+H631</f>
        <v>#VALUE!</v>
      </c>
      <c r="Q631" s="44"/>
      <c r="R631" s="24"/>
      <c r="S631" s="23" t="e">
        <f t="shared" si="30"/>
        <v>#DIV/0!</v>
      </c>
      <c r="T631" s="23" t="e">
        <f t="shared" si="31"/>
        <v>#DIV/0!</v>
      </c>
      <c r="U631" s="22" t="e">
        <f t="shared" si="32"/>
        <v>#DIV/0!</v>
      </c>
      <c r="V631" s="44"/>
      <c r="W631" s="44"/>
      <c r="X631" s="44"/>
      <c r="Y631" s="44"/>
      <c r="Z631" s="44"/>
    </row>
    <row r="632" spans="1:26" ht="15.75" customHeight="1">
      <c r="A632" s="44"/>
      <c r="B632" s="14"/>
      <c r="C632" s="53"/>
      <c r="D632" s="15"/>
      <c r="E632" s="89"/>
      <c r="F632" s="16"/>
      <c r="G632" s="16"/>
      <c r="H632" s="90" t="str">
        <f>IF(G632="Regular",Listas!$K$16,IF(G632="Premium",Listas!$K$17,IF(G632="Diesel",Listas!$K$18,"-")))</f>
        <v>-</v>
      </c>
      <c r="I632" s="17"/>
      <c r="J632" s="18"/>
      <c r="K632" s="19" t="str">
        <f>+IFERROR(IF(G632="Regular",VLOOKUP(C632,'PRECIO TERMINAL PEMEX'!$B$4:$E$35,2,0),IF(G632="Premium",VLOOKUP(C632,'PRECIO TERMINAL PEMEX'!$B$4:$E$35,3,0),IF(G632="Diesel",VLOOKUP(C632,'PRECIO TERMINAL PEMEX'!$B$4:$E$35,4,0),"Seleccione Producto"))),"-")</f>
        <v>Seleccione Producto</v>
      </c>
      <c r="L632" s="93" t="str">
        <f>+IFERROR(IF(F632="VHSA",VLOOKUP(B632,Listas!$C$4:$F$17,2,0),IF(F632="DOS BOCAS",VLOOKUP(B632,Listas!$C$4:$F$17,3,0),IF(F632="GLENCORE",VLOOKUP(B632,Listas!$C$4:$F$17,4,0),"Seleccione TAR"))),"-")</f>
        <v>Seleccione TAR</v>
      </c>
      <c r="M632" s="19" t="str">
        <f>+IFERROR(IF(G632="Regular",VLOOKUP(C632,'DESCUENTO PROVEEDORES'!$B$4:$E$35,2,0),IF(G632="Premium",VLOOKUP(C632,'DESCUENTO PROVEEDORES'!$B$4:$E$35,3,0),IF(G632="Diesel",VLOOKUP(C632,'DESCUENTO PROVEEDORES'!$B$4:$E$35,4,0),"Seleccione Proveedor"))),"-")</f>
        <v>Seleccione Proveedor</v>
      </c>
      <c r="N632" s="20" t="e">
        <f>((((K632-H632)/1.16)-M632))</f>
        <v>#VALUE!</v>
      </c>
      <c r="O632" s="21" t="e">
        <f>((N632*16%)+N632)+H632+L632</f>
        <v>#VALUE!</v>
      </c>
      <c r="P632" s="21" t="e">
        <f>(((J632-O632)-H632)/1.16)+H632</f>
        <v>#VALUE!</v>
      </c>
      <c r="Q632" s="44"/>
      <c r="R632" s="24"/>
      <c r="S632" s="23" t="e">
        <f t="shared" si="30"/>
        <v>#DIV/0!</v>
      </c>
      <c r="T632" s="23" t="e">
        <f t="shared" si="31"/>
        <v>#DIV/0!</v>
      </c>
      <c r="U632" s="22" t="e">
        <f t="shared" si="32"/>
        <v>#DIV/0!</v>
      </c>
      <c r="V632" s="44"/>
      <c r="W632" s="44"/>
      <c r="X632" s="44"/>
      <c r="Y632" s="44"/>
      <c r="Z632" s="44"/>
    </row>
    <row r="633" spans="1:26" ht="15.75" customHeight="1">
      <c r="A633" s="44"/>
      <c r="B633" s="14"/>
      <c r="C633" s="53"/>
      <c r="D633" s="15"/>
      <c r="E633" s="89"/>
      <c r="F633" s="16"/>
      <c r="G633" s="16"/>
      <c r="H633" s="90" t="str">
        <f>IF(G633="Regular",Listas!$K$16,IF(G633="Premium",Listas!$K$17,IF(G633="Diesel",Listas!$K$18,"-")))</f>
        <v>-</v>
      </c>
      <c r="I633" s="17"/>
      <c r="J633" s="18"/>
      <c r="K633" s="19" t="str">
        <f>+IFERROR(IF(G633="Regular",VLOOKUP(C633,'PRECIO TERMINAL PEMEX'!$B$4:$E$35,2,0),IF(G633="Premium",VLOOKUP(C633,'PRECIO TERMINAL PEMEX'!$B$4:$E$35,3,0),IF(G633="Diesel",VLOOKUP(C633,'PRECIO TERMINAL PEMEX'!$B$4:$E$35,4,0),"Seleccione Producto"))),"-")</f>
        <v>Seleccione Producto</v>
      </c>
      <c r="L633" s="93" t="str">
        <f>+IFERROR(IF(F633="VHSA",VLOOKUP(B633,Listas!$C$4:$F$17,2,0),IF(F633="DOS BOCAS",VLOOKUP(B633,Listas!$C$4:$F$17,3,0),IF(F633="GLENCORE",VLOOKUP(B633,Listas!$C$4:$F$17,4,0),"Seleccione TAR"))),"-")</f>
        <v>Seleccione TAR</v>
      </c>
      <c r="M633" s="19" t="str">
        <f>+IFERROR(IF(G633="Regular",VLOOKUP(C633,'DESCUENTO PROVEEDORES'!$B$4:$E$35,2,0),IF(G633="Premium",VLOOKUP(C633,'DESCUENTO PROVEEDORES'!$B$4:$E$35,3,0),IF(G633="Diesel",VLOOKUP(C633,'DESCUENTO PROVEEDORES'!$B$4:$E$35,4,0),"Seleccione Proveedor"))),"-")</f>
        <v>Seleccione Proveedor</v>
      </c>
      <c r="N633" s="20" t="e">
        <f>((((K633-H633)/1.16)-M633))</f>
        <v>#VALUE!</v>
      </c>
      <c r="O633" s="21" t="e">
        <f>((N633*16%)+N633)+H633+L633</f>
        <v>#VALUE!</v>
      </c>
      <c r="P633" s="21" t="e">
        <f>(((J633-O633)-H633)/1.16)+H633</f>
        <v>#VALUE!</v>
      </c>
      <c r="Q633" s="44"/>
      <c r="R633" s="24"/>
      <c r="S633" s="23" t="e">
        <f t="shared" si="30"/>
        <v>#DIV/0!</v>
      </c>
      <c r="T633" s="23" t="e">
        <f t="shared" si="31"/>
        <v>#DIV/0!</v>
      </c>
      <c r="U633" s="22" t="e">
        <f t="shared" si="32"/>
        <v>#DIV/0!</v>
      </c>
      <c r="V633" s="44"/>
      <c r="W633" s="44"/>
      <c r="X633" s="44"/>
      <c r="Y633" s="44"/>
      <c r="Z633" s="44"/>
    </row>
    <row r="634" spans="1:26" ht="15.75" customHeight="1">
      <c r="A634" s="44"/>
      <c r="B634" s="14"/>
      <c r="C634" s="53"/>
      <c r="D634" s="15"/>
      <c r="E634" s="89"/>
      <c r="F634" s="16"/>
      <c r="G634" s="16"/>
      <c r="H634" s="90" t="str">
        <f>IF(G634="Regular",Listas!$K$16,IF(G634="Premium",Listas!$K$17,IF(G634="Diesel",Listas!$K$18,"-")))</f>
        <v>-</v>
      </c>
      <c r="I634" s="17"/>
      <c r="J634" s="18"/>
      <c r="K634" s="19" t="str">
        <f>+IFERROR(IF(G634="Regular",VLOOKUP(C634,'PRECIO TERMINAL PEMEX'!$B$4:$E$35,2,0),IF(G634="Premium",VLOOKUP(C634,'PRECIO TERMINAL PEMEX'!$B$4:$E$35,3,0),IF(G634="Diesel",VLOOKUP(C634,'PRECIO TERMINAL PEMEX'!$B$4:$E$35,4,0),"Seleccione Producto"))),"-")</f>
        <v>Seleccione Producto</v>
      </c>
      <c r="L634" s="93" t="str">
        <f>+IFERROR(IF(F634="VHSA",VLOOKUP(B634,Listas!$C$4:$F$17,2,0),IF(F634="DOS BOCAS",VLOOKUP(B634,Listas!$C$4:$F$17,3,0),IF(F634="GLENCORE",VLOOKUP(B634,Listas!$C$4:$F$17,4,0),"Seleccione TAR"))),"-")</f>
        <v>Seleccione TAR</v>
      </c>
      <c r="M634" s="19" t="str">
        <f>+IFERROR(IF(G634="Regular",VLOOKUP(C634,'DESCUENTO PROVEEDORES'!$B$4:$E$35,2,0),IF(G634="Premium",VLOOKUP(C634,'DESCUENTO PROVEEDORES'!$B$4:$E$35,3,0),IF(G634="Diesel",VLOOKUP(C634,'DESCUENTO PROVEEDORES'!$B$4:$E$35,4,0),"Seleccione Proveedor"))),"-")</f>
        <v>Seleccione Proveedor</v>
      </c>
      <c r="N634" s="20" t="e">
        <f>((((K634-H634)/1.16)-M634))</f>
        <v>#VALUE!</v>
      </c>
      <c r="O634" s="21" t="e">
        <f>((N634*16%)+N634)+H634+L634</f>
        <v>#VALUE!</v>
      </c>
      <c r="P634" s="21" t="e">
        <f>(((J634-O634)-H634)/1.16)+H634</f>
        <v>#VALUE!</v>
      </c>
      <c r="Q634" s="44"/>
      <c r="R634" s="24"/>
      <c r="S634" s="23" t="e">
        <f t="shared" si="30"/>
        <v>#DIV/0!</v>
      </c>
      <c r="T634" s="23" t="e">
        <f t="shared" si="31"/>
        <v>#DIV/0!</v>
      </c>
      <c r="U634" s="22" t="e">
        <f t="shared" si="32"/>
        <v>#DIV/0!</v>
      </c>
      <c r="V634" s="44"/>
      <c r="W634" s="44"/>
      <c r="X634" s="44"/>
      <c r="Y634" s="44"/>
      <c r="Z634" s="44"/>
    </row>
    <row r="635" spans="1:26" ht="15.75" customHeight="1">
      <c r="A635" s="44"/>
      <c r="B635" s="14"/>
      <c r="C635" s="53"/>
      <c r="D635" s="15"/>
      <c r="E635" s="89"/>
      <c r="F635" s="16"/>
      <c r="G635" s="16"/>
      <c r="H635" s="90" t="str">
        <f>IF(G635="Regular",Listas!$K$16,IF(G635="Premium",Listas!$K$17,IF(G635="Diesel",Listas!$K$18,"-")))</f>
        <v>-</v>
      </c>
      <c r="I635" s="17"/>
      <c r="J635" s="18"/>
      <c r="K635" s="19" t="str">
        <f>+IFERROR(IF(G635="Regular",VLOOKUP(C635,'PRECIO TERMINAL PEMEX'!$B$4:$E$35,2,0),IF(G635="Premium",VLOOKUP(C635,'PRECIO TERMINAL PEMEX'!$B$4:$E$35,3,0),IF(G635="Diesel",VLOOKUP(C635,'PRECIO TERMINAL PEMEX'!$B$4:$E$35,4,0),"Seleccione Producto"))),"-")</f>
        <v>Seleccione Producto</v>
      </c>
      <c r="L635" s="93" t="str">
        <f>+IFERROR(IF(F635="VHSA",VLOOKUP(B635,Listas!$C$4:$F$17,2,0),IF(F635="DOS BOCAS",VLOOKUP(B635,Listas!$C$4:$F$17,3,0),IF(F635="GLENCORE",VLOOKUP(B635,Listas!$C$4:$F$17,4,0),"Seleccione TAR"))),"-")</f>
        <v>Seleccione TAR</v>
      </c>
      <c r="M635" s="19" t="str">
        <f>+IFERROR(IF(G635="Regular",VLOOKUP(C635,'DESCUENTO PROVEEDORES'!$B$4:$E$35,2,0),IF(G635="Premium",VLOOKUP(C635,'DESCUENTO PROVEEDORES'!$B$4:$E$35,3,0),IF(G635="Diesel",VLOOKUP(C635,'DESCUENTO PROVEEDORES'!$B$4:$E$35,4,0),"Seleccione Proveedor"))),"-")</f>
        <v>Seleccione Proveedor</v>
      </c>
      <c r="N635" s="20" t="e">
        <f>((((K635-H635)/1.16)-M635))</f>
        <v>#VALUE!</v>
      </c>
      <c r="O635" s="21" t="e">
        <f>((N635*16%)+N635)+H635+L635</f>
        <v>#VALUE!</v>
      </c>
      <c r="P635" s="21" t="e">
        <f>(((J635-O635)-H635)/1.16)+H635</f>
        <v>#VALUE!</v>
      </c>
      <c r="Q635" s="44"/>
      <c r="R635" s="24"/>
      <c r="S635" s="23" t="e">
        <f t="shared" si="30"/>
        <v>#DIV/0!</v>
      </c>
      <c r="T635" s="23" t="e">
        <f t="shared" si="31"/>
        <v>#DIV/0!</v>
      </c>
      <c r="U635" s="22" t="e">
        <f t="shared" si="32"/>
        <v>#DIV/0!</v>
      </c>
      <c r="V635" s="44"/>
      <c r="W635" s="44"/>
      <c r="X635" s="44"/>
      <c r="Y635" s="44"/>
      <c r="Z635" s="44"/>
    </row>
    <row r="636" spans="1:26" ht="15.75" customHeight="1">
      <c r="A636" s="44"/>
      <c r="B636" s="14"/>
      <c r="C636" s="53"/>
      <c r="D636" s="15"/>
      <c r="E636" s="89"/>
      <c r="F636" s="16"/>
      <c r="G636" s="16"/>
      <c r="H636" s="90" t="str">
        <f>IF(G636="Regular",Listas!$K$16,IF(G636="Premium",Listas!$K$17,IF(G636="Diesel",Listas!$K$18,"-")))</f>
        <v>-</v>
      </c>
      <c r="I636" s="17"/>
      <c r="J636" s="18"/>
      <c r="K636" s="19" t="str">
        <f>+IFERROR(IF(G636="Regular",VLOOKUP(C636,'PRECIO TERMINAL PEMEX'!$B$4:$E$35,2,0),IF(G636="Premium",VLOOKUP(C636,'PRECIO TERMINAL PEMEX'!$B$4:$E$35,3,0),IF(G636="Diesel",VLOOKUP(C636,'PRECIO TERMINAL PEMEX'!$B$4:$E$35,4,0),"Seleccione Producto"))),"-")</f>
        <v>Seleccione Producto</v>
      </c>
      <c r="L636" s="93" t="str">
        <f>+IFERROR(IF(F636="VHSA",VLOOKUP(B636,Listas!$C$4:$F$17,2,0),IF(F636="DOS BOCAS",VLOOKUP(B636,Listas!$C$4:$F$17,3,0),IF(F636="GLENCORE",VLOOKUP(B636,Listas!$C$4:$F$17,4,0),"Seleccione TAR"))),"-")</f>
        <v>Seleccione TAR</v>
      </c>
      <c r="M636" s="19" t="str">
        <f>+IFERROR(IF(G636="Regular",VLOOKUP(C636,'DESCUENTO PROVEEDORES'!$B$4:$E$35,2,0),IF(G636="Premium",VLOOKUP(C636,'DESCUENTO PROVEEDORES'!$B$4:$E$35,3,0),IF(G636="Diesel",VLOOKUP(C636,'DESCUENTO PROVEEDORES'!$B$4:$E$35,4,0),"Seleccione Proveedor"))),"-")</f>
        <v>Seleccione Proveedor</v>
      </c>
      <c r="N636" s="20" t="e">
        <f>((((K636-H636)/1.16)-M636))</f>
        <v>#VALUE!</v>
      </c>
      <c r="O636" s="21" t="e">
        <f>((N636*16%)+N636)+H636+L636</f>
        <v>#VALUE!</v>
      </c>
      <c r="P636" s="21" t="e">
        <f>(((J636-O636)-H636)/1.16)+H636</f>
        <v>#VALUE!</v>
      </c>
      <c r="Q636" s="44"/>
      <c r="R636" s="24"/>
      <c r="S636" s="23" t="e">
        <f t="shared" si="30"/>
        <v>#DIV/0!</v>
      </c>
      <c r="T636" s="23" t="e">
        <f t="shared" si="31"/>
        <v>#DIV/0!</v>
      </c>
      <c r="U636" s="22" t="e">
        <f t="shared" si="32"/>
        <v>#DIV/0!</v>
      </c>
      <c r="V636" s="44"/>
      <c r="W636" s="44"/>
      <c r="X636" s="44"/>
      <c r="Y636" s="44"/>
      <c r="Z636" s="44"/>
    </row>
    <row r="637" spans="1:26" ht="15.75" customHeight="1">
      <c r="A637" s="44"/>
      <c r="B637" s="14"/>
      <c r="C637" s="53"/>
      <c r="D637" s="15"/>
      <c r="E637" s="89"/>
      <c r="F637" s="16"/>
      <c r="G637" s="16"/>
      <c r="H637" s="90" t="str">
        <f>IF(G637="Regular",Listas!$K$16,IF(G637="Premium",Listas!$K$17,IF(G637="Diesel",Listas!$K$18,"-")))</f>
        <v>-</v>
      </c>
      <c r="I637" s="17"/>
      <c r="J637" s="18"/>
      <c r="K637" s="19" t="str">
        <f>+IFERROR(IF(G637="Regular",VLOOKUP(C637,'PRECIO TERMINAL PEMEX'!$B$4:$E$35,2,0),IF(G637="Premium",VLOOKUP(C637,'PRECIO TERMINAL PEMEX'!$B$4:$E$35,3,0),IF(G637="Diesel",VLOOKUP(C637,'PRECIO TERMINAL PEMEX'!$B$4:$E$35,4,0),"Seleccione Producto"))),"-")</f>
        <v>Seleccione Producto</v>
      </c>
      <c r="L637" s="93" t="str">
        <f>+IFERROR(IF(F637="VHSA",VLOOKUP(B637,Listas!$C$4:$F$17,2,0),IF(F637="DOS BOCAS",VLOOKUP(B637,Listas!$C$4:$F$17,3,0),IF(F637="GLENCORE",VLOOKUP(B637,Listas!$C$4:$F$17,4,0),"Seleccione TAR"))),"-")</f>
        <v>Seleccione TAR</v>
      </c>
      <c r="M637" s="19" t="str">
        <f>+IFERROR(IF(G637="Regular",VLOOKUP(C637,'DESCUENTO PROVEEDORES'!$B$4:$E$35,2,0),IF(G637="Premium",VLOOKUP(C637,'DESCUENTO PROVEEDORES'!$B$4:$E$35,3,0),IF(G637="Diesel",VLOOKUP(C637,'DESCUENTO PROVEEDORES'!$B$4:$E$35,4,0),"Seleccione Proveedor"))),"-")</f>
        <v>Seleccione Proveedor</v>
      </c>
      <c r="N637" s="20" t="e">
        <f>((((K637-H637)/1.16)-M637))</f>
        <v>#VALUE!</v>
      </c>
      <c r="O637" s="21" t="e">
        <f>((N637*16%)+N637)+H637+L637</f>
        <v>#VALUE!</v>
      </c>
      <c r="P637" s="21" t="e">
        <f>(((J637-O637)-H637)/1.16)+H637</f>
        <v>#VALUE!</v>
      </c>
      <c r="Q637" s="44"/>
      <c r="R637" s="24"/>
      <c r="S637" s="23" t="e">
        <f t="shared" si="30"/>
        <v>#DIV/0!</v>
      </c>
      <c r="T637" s="23" t="e">
        <f t="shared" si="31"/>
        <v>#DIV/0!</v>
      </c>
      <c r="U637" s="22" t="e">
        <f t="shared" si="32"/>
        <v>#DIV/0!</v>
      </c>
      <c r="V637" s="44"/>
      <c r="W637" s="44"/>
      <c r="X637" s="44"/>
      <c r="Y637" s="44"/>
      <c r="Z637" s="44"/>
    </row>
    <row r="638" spans="1:26" ht="15.75" customHeight="1">
      <c r="A638" s="44"/>
      <c r="B638" s="14"/>
      <c r="C638" s="53"/>
      <c r="D638" s="15"/>
      <c r="E638" s="89"/>
      <c r="F638" s="16"/>
      <c r="G638" s="16"/>
      <c r="H638" s="90" t="str">
        <f>IF(G638="Regular",Listas!$K$16,IF(G638="Premium",Listas!$K$17,IF(G638="Diesel",Listas!$K$18,"-")))</f>
        <v>-</v>
      </c>
      <c r="I638" s="17"/>
      <c r="J638" s="18"/>
      <c r="K638" s="19" t="str">
        <f>+IFERROR(IF(G638="Regular",VLOOKUP(C638,'PRECIO TERMINAL PEMEX'!$B$4:$E$35,2,0),IF(G638="Premium",VLOOKUP(C638,'PRECIO TERMINAL PEMEX'!$B$4:$E$35,3,0),IF(G638="Diesel",VLOOKUP(C638,'PRECIO TERMINAL PEMEX'!$B$4:$E$35,4,0),"Seleccione Producto"))),"-")</f>
        <v>Seleccione Producto</v>
      </c>
      <c r="L638" s="93" t="str">
        <f>+IFERROR(IF(F638="VHSA",VLOOKUP(B638,Listas!$C$4:$F$17,2,0),IF(F638="DOS BOCAS",VLOOKUP(B638,Listas!$C$4:$F$17,3,0),IF(F638="GLENCORE",VLOOKUP(B638,Listas!$C$4:$F$17,4,0),"Seleccione TAR"))),"-")</f>
        <v>Seleccione TAR</v>
      </c>
      <c r="M638" s="19" t="str">
        <f>+IFERROR(IF(G638="Regular",VLOOKUP(C638,'DESCUENTO PROVEEDORES'!$B$4:$E$35,2,0),IF(G638="Premium",VLOOKUP(C638,'DESCUENTO PROVEEDORES'!$B$4:$E$35,3,0),IF(G638="Diesel",VLOOKUP(C638,'DESCUENTO PROVEEDORES'!$B$4:$E$35,4,0),"Seleccione Proveedor"))),"-")</f>
        <v>Seleccione Proveedor</v>
      </c>
      <c r="N638" s="20" t="e">
        <f>((((K638-H638)/1.16)-M638))</f>
        <v>#VALUE!</v>
      </c>
      <c r="O638" s="21" t="e">
        <f>((N638*16%)+N638)+H638+L638</f>
        <v>#VALUE!</v>
      </c>
      <c r="P638" s="21" t="e">
        <f>(((J638-O638)-H638)/1.16)+H638</f>
        <v>#VALUE!</v>
      </c>
      <c r="Q638" s="44"/>
      <c r="R638" s="24"/>
      <c r="S638" s="23" t="e">
        <f t="shared" si="30"/>
        <v>#DIV/0!</v>
      </c>
      <c r="T638" s="23" t="e">
        <f t="shared" si="31"/>
        <v>#DIV/0!</v>
      </c>
      <c r="U638" s="22" t="e">
        <f t="shared" si="32"/>
        <v>#DIV/0!</v>
      </c>
      <c r="V638" s="44"/>
      <c r="W638" s="44"/>
      <c r="X638" s="44"/>
      <c r="Y638" s="44"/>
      <c r="Z638" s="44"/>
    </row>
    <row r="639" spans="1:26" ht="15.75" customHeight="1">
      <c r="A639" s="44"/>
      <c r="B639" s="14"/>
      <c r="C639" s="53"/>
      <c r="D639" s="15"/>
      <c r="E639" s="89"/>
      <c r="F639" s="16"/>
      <c r="G639" s="16"/>
      <c r="H639" s="90" t="str">
        <f>IF(G639="Regular",Listas!$K$16,IF(G639="Premium",Listas!$K$17,IF(G639="Diesel",Listas!$K$18,"-")))</f>
        <v>-</v>
      </c>
      <c r="I639" s="17"/>
      <c r="J639" s="18"/>
      <c r="K639" s="19" t="str">
        <f>+IFERROR(IF(G639="Regular",VLOOKUP(C639,'PRECIO TERMINAL PEMEX'!$B$4:$E$35,2,0),IF(G639="Premium",VLOOKUP(C639,'PRECIO TERMINAL PEMEX'!$B$4:$E$35,3,0),IF(G639="Diesel",VLOOKUP(C639,'PRECIO TERMINAL PEMEX'!$B$4:$E$35,4,0),"Seleccione Producto"))),"-")</f>
        <v>Seleccione Producto</v>
      </c>
      <c r="L639" s="93" t="str">
        <f>+IFERROR(IF(F639="VHSA",VLOOKUP(B639,Listas!$C$4:$F$17,2,0),IF(F639="DOS BOCAS",VLOOKUP(B639,Listas!$C$4:$F$17,3,0),IF(F639="GLENCORE",VLOOKUP(B639,Listas!$C$4:$F$17,4,0),"Seleccione TAR"))),"-")</f>
        <v>Seleccione TAR</v>
      </c>
      <c r="M639" s="19" t="str">
        <f>+IFERROR(IF(G639="Regular",VLOOKUP(C639,'DESCUENTO PROVEEDORES'!$B$4:$E$35,2,0),IF(G639="Premium",VLOOKUP(C639,'DESCUENTO PROVEEDORES'!$B$4:$E$35,3,0),IF(G639="Diesel",VLOOKUP(C639,'DESCUENTO PROVEEDORES'!$B$4:$E$35,4,0),"Seleccione Proveedor"))),"-")</f>
        <v>Seleccione Proveedor</v>
      </c>
      <c r="N639" s="20" t="e">
        <f>((((K639-H639)/1.16)-M639))</f>
        <v>#VALUE!</v>
      </c>
      <c r="O639" s="21" t="e">
        <f>((N639*16%)+N639)+H639+L639</f>
        <v>#VALUE!</v>
      </c>
      <c r="P639" s="21" t="e">
        <f>(((J639-O639)-H639)/1.16)+H639</f>
        <v>#VALUE!</v>
      </c>
      <c r="Q639" s="44"/>
      <c r="R639" s="24"/>
      <c r="S639" s="23" t="e">
        <f t="shared" si="30"/>
        <v>#DIV/0!</v>
      </c>
      <c r="T639" s="23" t="e">
        <f t="shared" si="31"/>
        <v>#DIV/0!</v>
      </c>
      <c r="U639" s="22" t="e">
        <f t="shared" si="32"/>
        <v>#DIV/0!</v>
      </c>
      <c r="V639" s="44"/>
      <c r="W639" s="44"/>
      <c r="X639" s="44"/>
      <c r="Y639" s="44"/>
      <c r="Z639" s="44"/>
    </row>
    <row r="640" spans="1:26" ht="15.75" customHeight="1">
      <c r="A640" s="44"/>
      <c r="B640" s="14"/>
      <c r="C640" s="53"/>
      <c r="D640" s="15"/>
      <c r="E640" s="89"/>
      <c r="F640" s="16"/>
      <c r="G640" s="16"/>
      <c r="H640" s="90" t="str">
        <f>IF(G640="Regular",Listas!$K$16,IF(G640="Premium",Listas!$K$17,IF(G640="Diesel",Listas!$K$18,"-")))</f>
        <v>-</v>
      </c>
      <c r="I640" s="17"/>
      <c r="J640" s="18"/>
      <c r="K640" s="19" t="str">
        <f>+IFERROR(IF(G640="Regular",VLOOKUP(C640,'PRECIO TERMINAL PEMEX'!$B$4:$E$35,2,0),IF(G640="Premium",VLOOKUP(C640,'PRECIO TERMINAL PEMEX'!$B$4:$E$35,3,0),IF(G640="Diesel",VLOOKUP(C640,'PRECIO TERMINAL PEMEX'!$B$4:$E$35,4,0),"Seleccione Producto"))),"-")</f>
        <v>Seleccione Producto</v>
      </c>
      <c r="L640" s="93" t="str">
        <f>+IFERROR(IF(F640="VHSA",VLOOKUP(B640,Listas!$C$4:$F$17,2,0),IF(F640="DOS BOCAS",VLOOKUP(B640,Listas!$C$4:$F$17,3,0),IF(F640="GLENCORE",VLOOKUP(B640,Listas!$C$4:$F$17,4,0),"Seleccione TAR"))),"-")</f>
        <v>Seleccione TAR</v>
      </c>
      <c r="M640" s="19" t="str">
        <f>+IFERROR(IF(G640="Regular",VLOOKUP(C640,'DESCUENTO PROVEEDORES'!$B$4:$E$35,2,0),IF(G640="Premium",VLOOKUP(C640,'DESCUENTO PROVEEDORES'!$B$4:$E$35,3,0),IF(G640="Diesel",VLOOKUP(C640,'DESCUENTO PROVEEDORES'!$B$4:$E$35,4,0),"Seleccione Proveedor"))),"-")</f>
        <v>Seleccione Proveedor</v>
      </c>
      <c r="N640" s="20" t="e">
        <f>((((K640-H640)/1.16)-M640))</f>
        <v>#VALUE!</v>
      </c>
      <c r="O640" s="21" t="e">
        <f>((N640*16%)+N640)+H640+L640</f>
        <v>#VALUE!</v>
      </c>
      <c r="P640" s="21" t="e">
        <f>(((J640-O640)-H640)/1.16)+H640</f>
        <v>#VALUE!</v>
      </c>
      <c r="Q640" s="44"/>
      <c r="R640" s="24"/>
      <c r="S640" s="23" t="e">
        <f t="shared" si="30"/>
        <v>#DIV/0!</v>
      </c>
      <c r="T640" s="23" t="e">
        <f t="shared" si="31"/>
        <v>#DIV/0!</v>
      </c>
      <c r="U640" s="22" t="e">
        <f t="shared" si="32"/>
        <v>#DIV/0!</v>
      </c>
      <c r="V640" s="44"/>
      <c r="W640" s="44"/>
      <c r="X640" s="44"/>
      <c r="Y640" s="44"/>
      <c r="Z640" s="44"/>
    </row>
    <row r="641" spans="1:26" ht="15.75" customHeight="1">
      <c r="A641" s="44"/>
      <c r="B641" s="14"/>
      <c r="C641" s="53"/>
      <c r="D641" s="15"/>
      <c r="E641" s="89"/>
      <c r="F641" s="16"/>
      <c r="G641" s="16"/>
      <c r="H641" s="90" t="str">
        <f>IF(G641="Regular",Listas!$K$16,IF(G641="Premium",Listas!$K$17,IF(G641="Diesel",Listas!$K$18,"-")))</f>
        <v>-</v>
      </c>
      <c r="I641" s="17"/>
      <c r="J641" s="18"/>
      <c r="K641" s="19" t="str">
        <f>+IFERROR(IF(G641="Regular",VLOOKUP(C641,'PRECIO TERMINAL PEMEX'!$B$4:$E$35,2,0),IF(G641="Premium",VLOOKUP(C641,'PRECIO TERMINAL PEMEX'!$B$4:$E$35,3,0),IF(G641="Diesel",VLOOKUP(C641,'PRECIO TERMINAL PEMEX'!$B$4:$E$35,4,0),"Seleccione Producto"))),"-")</f>
        <v>Seleccione Producto</v>
      </c>
      <c r="L641" s="93" t="str">
        <f>+IFERROR(IF(F641="VHSA",VLOOKUP(B641,Listas!$C$4:$F$17,2,0),IF(F641="DOS BOCAS",VLOOKUP(B641,Listas!$C$4:$F$17,3,0),IF(F641="GLENCORE",VLOOKUP(B641,Listas!$C$4:$F$17,4,0),"Seleccione TAR"))),"-")</f>
        <v>Seleccione TAR</v>
      </c>
      <c r="M641" s="19" t="str">
        <f>+IFERROR(IF(G641="Regular",VLOOKUP(C641,'DESCUENTO PROVEEDORES'!$B$4:$E$35,2,0),IF(G641="Premium",VLOOKUP(C641,'DESCUENTO PROVEEDORES'!$B$4:$E$35,3,0),IF(G641="Diesel",VLOOKUP(C641,'DESCUENTO PROVEEDORES'!$B$4:$E$35,4,0),"Seleccione Proveedor"))),"-")</f>
        <v>Seleccione Proveedor</v>
      </c>
      <c r="N641" s="20" t="e">
        <f>((((K641-H641)/1.16)-M641))</f>
        <v>#VALUE!</v>
      </c>
      <c r="O641" s="21" t="e">
        <f>((N641*16%)+N641)+H641+L641</f>
        <v>#VALUE!</v>
      </c>
      <c r="P641" s="21" t="e">
        <f>(((J641-O641)-H641)/1.16)+H641</f>
        <v>#VALUE!</v>
      </c>
      <c r="Q641" s="44"/>
      <c r="R641" s="24"/>
      <c r="S641" s="23" t="e">
        <f t="shared" si="30"/>
        <v>#DIV/0!</v>
      </c>
      <c r="T641" s="23" t="e">
        <f t="shared" si="31"/>
        <v>#DIV/0!</v>
      </c>
      <c r="U641" s="22" t="e">
        <f t="shared" si="32"/>
        <v>#DIV/0!</v>
      </c>
      <c r="V641" s="44"/>
      <c r="W641" s="44"/>
      <c r="X641" s="44"/>
      <c r="Y641" s="44"/>
      <c r="Z641" s="44"/>
    </row>
    <row r="642" spans="1:26" ht="15.75" customHeight="1">
      <c r="A642" s="44"/>
      <c r="B642" s="14"/>
      <c r="C642" s="53"/>
      <c r="D642" s="15"/>
      <c r="E642" s="89"/>
      <c r="F642" s="16"/>
      <c r="G642" s="16"/>
      <c r="H642" s="90" t="str">
        <f>IF(G642="Regular",Listas!$K$16,IF(G642="Premium",Listas!$K$17,IF(G642="Diesel",Listas!$K$18,"-")))</f>
        <v>-</v>
      </c>
      <c r="I642" s="17"/>
      <c r="J642" s="18"/>
      <c r="K642" s="19" t="str">
        <f>+IFERROR(IF(G642="Regular",VLOOKUP(C642,'PRECIO TERMINAL PEMEX'!$B$4:$E$35,2,0),IF(G642="Premium",VLOOKUP(C642,'PRECIO TERMINAL PEMEX'!$B$4:$E$35,3,0),IF(G642="Diesel",VLOOKUP(C642,'PRECIO TERMINAL PEMEX'!$B$4:$E$35,4,0),"Seleccione Producto"))),"-")</f>
        <v>Seleccione Producto</v>
      </c>
      <c r="L642" s="93" t="str">
        <f>+IFERROR(IF(F642="VHSA",VLOOKUP(B642,Listas!$C$4:$F$17,2,0),IF(F642="DOS BOCAS",VLOOKUP(B642,Listas!$C$4:$F$17,3,0),IF(F642="GLENCORE",VLOOKUP(B642,Listas!$C$4:$F$17,4,0),"Seleccione TAR"))),"-")</f>
        <v>Seleccione TAR</v>
      </c>
      <c r="M642" s="19" t="str">
        <f>+IFERROR(IF(G642="Regular",VLOOKUP(C642,'DESCUENTO PROVEEDORES'!$B$4:$E$35,2,0),IF(G642="Premium",VLOOKUP(C642,'DESCUENTO PROVEEDORES'!$B$4:$E$35,3,0),IF(G642="Diesel",VLOOKUP(C642,'DESCUENTO PROVEEDORES'!$B$4:$E$35,4,0),"Seleccione Proveedor"))),"-")</f>
        <v>Seleccione Proveedor</v>
      </c>
      <c r="N642" s="20" t="e">
        <f>((((K642-H642)/1.16)-M642))</f>
        <v>#VALUE!</v>
      </c>
      <c r="O642" s="21" t="e">
        <f>((N642*16%)+N642)+H642+L642</f>
        <v>#VALUE!</v>
      </c>
      <c r="P642" s="21" t="e">
        <f>(((J642-O642)-H642)/1.16)+H642</f>
        <v>#VALUE!</v>
      </c>
      <c r="Q642" s="44"/>
      <c r="R642" s="24"/>
      <c r="S642" s="23" t="e">
        <f t="shared" si="30"/>
        <v>#DIV/0!</v>
      </c>
      <c r="T642" s="23" t="e">
        <f t="shared" si="31"/>
        <v>#DIV/0!</v>
      </c>
      <c r="U642" s="22" t="e">
        <f t="shared" si="32"/>
        <v>#DIV/0!</v>
      </c>
      <c r="V642" s="44"/>
      <c r="W642" s="44"/>
      <c r="X642" s="44"/>
      <c r="Y642" s="44"/>
      <c r="Z642" s="44"/>
    </row>
    <row r="643" spans="1:26" ht="15.75" customHeight="1">
      <c r="A643" s="44"/>
      <c r="B643" s="14"/>
      <c r="C643" s="53"/>
      <c r="D643" s="15"/>
      <c r="E643" s="89"/>
      <c r="F643" s="16"/>
      <c r="G643" s="16"/>
      <c r="H643" s="90" t="str">
        <f>IF(G643="Regular",Listas!$K$16,IF(G643="Premium",Listas!$K$17,IF(G643="Diesel",Listas!$K$18,"-")))</f>
        <v>-</v>
      </c>
      <c r="I643" s="17"/>
      <c r="J643" s="18"/>
      <c r="K643" s="19" t="str">
        <f>+IFERROR(IF(G643="Regular",VLOOKUP(C643,'PRECIO TERMINAL PEMEX'!$B$4:$E$35,2,0),IF(G643="Premium",VLOOKUP(C643,'PRECIO TERMINAL PEMEX'!$B$4:$E$35,3,0),IF(G643="Diesel",VLOOKUP(C643,'PRECIO TERMINAL PEMEX'!$B$4:$E$35,4,0),"Seleccione Producto"))),"-")</f>
        <v>Seleccione Producto</v>
      </c>
      <c r="L643" s="93" t="str">
        <f>+IFERROR(IF(F643="VHSA",VLOOKUP(B643,Listas!$C$4:$F$17,2,0),IF(F643="DOS BOCAS",VLOOKUP(B643,Listas!$C$4:$F$17,3,0),IF(F643="GLENCORE",VLOOKUP(B643,Listas!$C$4:$F$17,4,0),"Seleccione TAR"))),"-")</f>
        <v>Seleccione TAR</v>
      </c>
      <c r="M643" s="19" t="str">
        <f>+IFERROR(IF(G643="Regular",VLOOKUP(C643,'DESCUENTO PROVEEDORES'!$B$4:$E$35,2,0),IF(G643="Premium",VLOOKUP(C643,'DESCUENTO PROVEEDORES'!$B$4:$E$35,3,0),IF(G643="Diesel",VLOOKUP(C643,'DESCUENTO PROVEEDORES'!$B$4:$E$35,4,0),"Seleccione Proveedor"))),"-")</f>
        <v>Seleccione Proveedor</v>
      </c>
      <c r="N643" s="20" t="e">
        <f>((((K643-H643)/1.16)-M643))</f>
        <v>#VALUE!</v>
      </c>
      <c r="O643" s="21" t="e">
        <f>((N643*16%)+N643)+H643+L643</f>
        <v>#VALUE!</v>
      </c>
      <c r="P643" s="21" t="e">
        <f>(((J643-O643)-H643)/1.16)+H643</f>
        <v>#VALUE!</v>
      </c>
      <c r="Q643" s="44"/>
      <c r="R643" s="24"/>
      <c r="S643" s="23" t="e">
        <f t="shared" si="30"/>
        <v>#DIV/0!</v>
      </c>
      <c r="T643" s="23" t="e">
        <f t="shared" si="31"/>
        <v>#DIV/0!</v>
      </c>
      <c r="U643" s="22" t="e">
        <f t="shared" si="32"/>
        <v>#DIV/0!</v>
      </c>
      <c r="V643" s="44"/>
      <c r="W643" s="44"/>
      <c r="X643" s="44"/>
      <c r="Y643" s="44"/>
      <c r="Z643" s="44"/>
    </row>
    <row r="644" spans="1:26" ht="15.75" customHeight="1">
      <c r="A644" s="44"/>
      <c r="B644" s="14"/>
      <c r="C644" s="53"/>
      <c r="D644" s="15"/>
      <c r="E644" s="89"/>
      <c r="F644" s="16"/>
      <c r="G644" s="16"/>
      <c r="H644" s="90" t="str">
        <f>IF(G644="Regular",Listas!$K$16,IF(G644="Premium",Listas!$K$17,IF(G644="Diesel",Listas!$K$18,"-")))</f>
        <v>-</v>
      </c>
      <c r="I644" s="17"/>
      <c r="J644" s="18"/>
      <c r="K644" s="19" t="str">
        <f>+IFERROR(IF(G644="Regular",VLOOKUP(C644,'PRECIO TERMINAL PEMEX'!$B$4:$E$35,2,0),IF(G644="Premium",VLOOKUP(C644,'PRECIO TERMINAL PEMEX'!$B$4:$E$35,3,0),IF(G644="Diesel",VLOOKUP(C644,'PRECIO TERMINAL PEMEX'!$B$4:$E$35,4,0),"Seleccione Producto"))),"-")</f>
        <v>Seleccione Producto</v>
      </c>
      <c r="L644" s="93" t="str">
        <f>+IFERROR(IF(F644="VHSA",VLOOKUP(B644,Listas!$C$4:$F$17,2,0),IF(F644="DOS BOCAS",VLOOKUP(B644,Listas!$C$4:$F$17,3,0),IF(F644="GLENCORE",VLOOKUP(B644,Listas!$C$4:$F$17,4,0),"Seleccione TAR"))),"-")</f>
        <v>Seleccione TAR</v>
      </c>
      <c r="M644" s="19" t="str">
        <f>+IFERROR(IF(G644="Regular",VLOOKUP(C644,'DESCUENTO PROVEEDORES'!$B$4:$E$35,2,0),IF(G644="Premium",VLOOKUP(C644,'DESCUENTO PROVEEDORES'!$B$4:$E$35,3,0),IF(G644="Diesel",VLOOKUP(C644,'DESCUENTO PROVEEDORES'!$B$4:$E$35,4,0),"Seleccione Proveedor"))),"-")</f>
        <v>Seleccione Proveedor</v>
      </c>
      <c r="N644" s="20" t="e">
        <f>((((K644-H644)/1.16)-M644))</f>
        <v>#VALUE!</v>
      </c>
      <c r="O644" s="21" t="e">
        <f>((N644*16%)+N644)+H644+L644</f>
        <v>#VALUE!</v>
      </c>
      <c r="P644" s="21" t="e">
        <f>(((J644-O644)-H644)/1.16)+H644</f>
        <v>#VALUE!</v>
      </c>
      <c r="Q644" s="44"/>
      <c r="R644" s="24"/>
      <c r="S644" s="23" t="e">
        <f t="shared" si="30"/>
        <v>#DIV/0!</v>
      </c>
      <c r="T644" s="23" t="e">
        <f t="shared" si="31"/>
        <v>#DIV/0!</v>
      </c>
      <c r="U644" s="22" t="e">
        <f t="shared" si="32"/>
        <v>#DIV/0!</v>
      </c>
      <c r="V644" s="44"/>
      <c r="W644" s="44"/>
      <c r="X644" s="44"/>
      <c r="Y644" s="44"/>
      <c r="Z644" s="44"/>
    </row>
    <row r="645" spans="1:26" ht="15.75" customHeight="1">
      <c r="A645" s="44"/>
      <c r="B645" s="14"/>
      <c r="C645" s="53"/>
      <c r="D645" s="15"/>
      <c r="E645" s="89"/>
      <c r="F645" s="16"/>
      <c r="G645" s="16"/>
      <c r="H645" s="90" t="str">
        <f>IF(G645="Regular",Listas!$K$16,IF(G645="Premium",Listas!$K$17,IF(G645="Diesel",Listas!$K$18,"-")))</f>
        <v>-</v>
      </c>
      <c r="I645" s="17"/>
      <c r="J645" s="18"/>
      <c r="K645" s="19" t="str">
        <f>+IFERROR(IF(G645="Regular",VLOOKUP(C645,'PRECIO TERMINAL PEMEX'!$B$4:$E$35,2,0),IF(G645="Premium",VLOOKUP(C645,'PRECIO TERMINAL PEMEX'!$B$4:$E$35,3,0),IF(G645="Diesel",VLOOKUP(C645,'PRECIO TERMINAL PEMEX'!$B$4:$E$35,4,0),"Seleccione Producto"))),"-")</f>
        <v>Seleccione Producto</v>
      </c>
      <c r="L645" s="93" t="str">
        <f>+IFERROR(IF(F645="VHSA",VLOOKUP(B645,Listas!$C$4:$F$17,2,0),IF(F645="DOS BOCAS",VLOOKUP(B645,Listas!$C$4:$F$17,3,0),IF(F645="GLENCORE",VLOOKUP(B645,Listas!$C$4:$F$17,4,0),"Seleccione TAR"))),"-")</f>
        <v>Seleccione TAR</v>
      </c>
      <c r="M645" s="19" t="str">
        <f>+IFERROR(IF(G645="Regular",VLOOKUP(C645,'DESCUENTO PROVEEDORES'!$B$4:$E$35,2,0),IF(G645="Premium",VLOOKUP(C645,'DESCUENTO PROVEEDORES'!$B$4:$E$35,3,0),IF(G645="Diesel",VLOOKUP(C645,'DESCUENTO PROVEEDORES'!$B$4:$E$35,4,0),"Seleccione Proveedor"))),"-")</f>
        <v>Seleccione Proveedor</v>
      </c>
      <c r="N645" s="20" t="e">
        <f>((((K645-H645)/1.16)-M645))</f>
        <v>#VALUE!</v>
      </c>
      <c r="O645" s="21" t="e">
        <f>((N645*16%)+N645)+H645+L645</f>
        <v>#VALUE!</v>
      </c>
      <c r="P645" s="21" t="e">
        <f>(((J645-O645)-H645)/1.16)+H645</f>
        <v>#VALUE!</v>
      </c>
      <c r="Q645" s="44"/>
      <c r="R645" s="24"/>
      <c r="S645" s="23" t="e">
        <f t="shared" si="30"/>
        <v>#DIV/0!</v>
      </c>
      <c r="T645" s="23" t="e">
        <f t="shared" si="31"/>
        <v>#DIV/0!</v>
      </c>
      <c r="U645" s="22" t="e">
        <f t="shared" si="32"/>
        <v>#DIV/0!</v>
      </c>
      <c r="V645" s="44"/>
      <c r="W645" s="44"/>
      <c r="X645" s="44"/>
      <c r="Y645" s="44"/>
      <c r="Z645" s="44"/>
    </row>
    <row r="646" spans="1:26" ht="15.75" customHeight="1">
      <c r="A646" s="44"/>
      <c r="B646" s="14"/>
      <c r="C646" s="53"/>
      <c r="D646" s="15"/>
      <c r="E646" s="89"/>
      <c r="F646" s="16"/>
      <c r="G646" s="16"/>
      <c r="H646" s="90" t="str">
        <f>IF(G646="Regular",Listas!$K$16,IF(G646="Premium",Listas!$K$17,IF(G646="Diesel",Listas!$K$18,"-")))</f>
        <v>-</v>
      </c>
      <c r="I646" s="17"/>
      <c r="J646" s="18"/>
      <c r="K646" s="19" t="str">
        <f>+IFERROR(IF(G646="Regular",VLOOKUP(C646,'PRECIO TERMINAL PEMEX'!$B$4:$E$35,2,0),IF(G646="Premium",VLOOKUP(C646,'PRECIO TERMINAL PEMEX'!$B$4:$E$35,3,0),IF(G646="Diesel",VLOOKUP(C646,'PRECIO TERMINAL PEMEX'!$B$4:$E$35,4,0),"Seleccione Producto"))),"-")</f>
        <v>Seleccione Producto</v>
      </c>
      <c r="L646" s="93" t="str">
        <f>+IFERROR(IF(F646="VHSA",VLOOKUP(B646,Listas!$C$4:$F$17,2,0),IF(F646="DOS BOCAS",VLOOKUP(B646,Listas!$C$4:$F$17,3,0),IF(F646="GLENCORE",VLOOKUP(B646,Listas!$C$4:$F$17,4,0),"Seleccione TAR"))),"-")</f>
        <v>Seleccione TAR</v>
      </c>
      <c r="M646" s="19" t="str">
        <f>+IFERROR(IF(G646="Regular",VLOOKUP(C646,'DESCUENTO PROVEEDORES'!$B$4:$E$35,2,0),IF(G646="Premium",VLOOKUP(C646,'DESCUENTO PROVEEDORES'!$B$4:$E$35,3,0),IF(G646="Diesel",VLOOKUP(C646,'DESCUENTO PROVEEDORES'!$B$4:$E$35,4,0),"Seleccione Proveedor"))),"-")</f>
        <v>Seleccione Proveedor</v>
      </c>
      <c r="N646" s="20" t="e">
        <f>((((K646-H646)/1.16)-M646))</f>
        <v>#VALUE!</v>
      </c>
      <c r="O646" s="21" t="e">
        <f>((N646*16%)+N646)+H646+L646</f>
        <v>#VALUE!</v>
      </c>
      <c r="P646" s="21" t="e">
        <f>(((J646-O646)-H646)/1.16)+H646</f>
        <v>#VALUE!</v>
      </c>
      <c r="Q646" s="44"/>
      <c r="R646" s="24"/>
      <c r="S646" s="23" t="e">
        <f t="shared" si="30"/>
        <v>#DIV/0!</v>
      </c>
      <c r="T646" s="23" t="e">
        <f t="shared" si="31"/>
        <v>#DIV/0!</v>
      </c>
      <c r="U646" s="22" t="e">
        <f t="shared" si="32"/>
        <v>#DIV/0!</v>
      </c>
      <c r="V646" s="44"/>
      <c r="W646" s="44"/>
      <c r="X646" s="44"/>
      <c r="Y646" s="44"/>
      <c r="Z646" s="44"/>
    </row>
    <row r="647" spans="1:26" ht="15.75" customHeight="1">
      <c r="A647" s="44"/>
      <c r="B647" s="14"/>
      <c r="C647" s="53"/>
      <c r="D647" s="15"/>
      <c r="E647" s="89"/>
      <c r="F647" s="16"/>
      <c r="G647" s="16"/>
      <c r="H647" s="90" t="str">
        <f>IF(G647="Regular",Listas!$K$16,IF(G647="Premium",Listas!$K$17,IF(G647="Diesel",Listas!$K$18,"-")))</f>
        <v>-</v>
      </c>
      <c r="I647" s="17"/>
      <c r="J647" s="18"/>
      <c r="K647" s="19" t="str">
        <f>+IFERROR(IF(G647="Regular",VLOOKUP(C647,'PRECIO TERMINAL PEMEX'!$B$4:$E$35,2,0),IF(G647="Premium",VLOOKUP(C647,'PRECIO TERMINAL PEMEX'!$B$4:$E$35,3,0),IF(G647="Diesel",VLOOKUP(C647,'PRECIO TERMINAL PEMEX'!$B$4:$E$35,4,0),"Seleccione Producto"))),"-")</f>
        <v>Seleccione Producto</v>
      </c>
      <c r="L647" s="93" t="str">
        <f>+IFERROR(IF(F647="VHSA",VLOOKUP(B647,Listas!$C$4:$F$17,2,0),IF(F647="DOS BOCAS",VLOOKUP(B647,Listas!$C$4:$F$17,3,0),IF(F647="GLENCORE",VLOOKUP(B647,Listas!$C$4:$F$17,4,0),"Seleccione TAR"))),"-")</f>
        <v>Seleccione TAR</v>
      </c>
      <c r="M647" s="19" t="str">
        <f>+IFERROR(IF(G647="Regular",VLOOKUP(C647,'DESCUENTO PROVEEDORES'!$B$4:$E$35,2,0),IF(G647="Premium",VLOOKUP(C647,'DESCUENTO PROVEEDORES'!$B$4:$E$35,3,0),IF(G647="Diesel",VLOOKUP(C647,'DESCUENTO PROVEEDORES'!$B$4:$E$35,4,0),"Seleccione Proveedor"))),"-")</f>
        <v>Seleccione Proveedor</v>
      </c>
      <c r="N647" s="20" t="e">
        <f>((((K647-H647)/1.16)-M647))</f>
        <v>#VALUE!</v>
      </c>
      <c r="O647" s="21" t="e">
        <f>((N647*16%)+N647)+H647+L647</f>
        <v>#VALUE!</v>
      </c>
      <c r="P647" s="21" t="e">
        <f>(((J647-O647)-H647)/1.16)+H647</f>
        <v>#VALUE!</v>
      </c>
      <c r="Q647" s="44"/>
      <c r="R647" s="24"/>
      <c r="S647" s="23" t="e">
        <f t="shared" si="30"/>
        <v>#DIV/0!</v>
      </c>
      <c r="T647" s="23" t="e">
        <f t="shared" si="31"/>
        <v>#DIV/0!</v>
      </c>
      <c r="U647" s="22" t="e">
        <f t="shared" si="32"/>
        <v>#DIV/0!</v>
      </c>
      <c r="V647" s="44"/>
      <c r="W647" s="44"/>
      <c r="X647" s="44"/>
      <c r="Y647" s="44"/>
      <c r="Z647" s="44"/>
    </row>
    <row r="648" spans="1:26" ht="15.75" customHeight="1">
      <c r="A648" s="44"/>
      <c r="B648" s="14"/>
      <c r="C648" s="53"/>
      <c r="D648" s="15"/>
      <c r="E648" s="89"/>
      <c r="F648" s="16"/>
      <c r="G648" s="16"/>
      <c r="H648" s="90" t="str">
        <f>IF(G648="Regular",Listas!$K$16,IF(G648="Premium",Listas!$K$17,IF(G648="Diesel",Listas!$K$18,"-")))</f>
        <v>-</v>
      </c>
      <c r="I648" s="17"/>
      <c r="J648" s="18"/>
      <c r="K648" s="19" t="str">
        <f>+IFERROR(IF(G648="Regular",VLOOKUP(C648,'PRECIO TERMINAL PEMEX'!$B$4:$E$35,2,0),IF(G648="Premium",VLOOKUP(C648,'PRECIO TERMINAL PEMEX'!$B$4:$E$35,3,0),IF(G648="Diesel",VLOOKUP(C648,'PRECIO TERMINAL PEMEX'!$B$4:$E$35,4,0),"Seleccione Producto"))),"-")</f>
        <v>Seleccione Producto</v>
      </c>
      <c r="L648" s="93" t="str">
        <f>+IFERROR(IF(F648="VHSA",VLOOKUP(B648,Listas!$C$4:$F$17,2,0),IF(F648="DOS BOCAS",VLOOKUP(B648,Listas!$C$4:$F$17,3,0),IF(F648="GLENCORE",VLOOKUP(B648,Listas!$C$4:$F$17,4,0),"Seleccione TAR"))),"-")</f>
        <v>Seleccione TAR</v>
      </c>
      <c r="M648" s="19" t="str">
        <f>+IFERROR(IF(G648="Regular",VLOOKUP(C648,'DESCUENTO PROVEEDORES'!$B$4:$E$35,2,0),IF(G648="Premium",VLOOKUP(C648,'DESCUENTO PROVEEDORES'!$B$4:$E$35,3,0),IF(G648="Diesel",VLOOKUP(C648,'DESCUENTO PROVEEDORES'!$B$4:$E$35,4,0),"Seleccione Proveedor"))),"-")</f>
        <v>Seleccione Proveedor</v>
      </c>
      <c r="N648" s="20" t="e">
        <f>((((K648-H648)/1.16)-M648))</f>
        <v>#VALUE!</v>
      </c>
      <c r="O648" s="21" t="e">
        <f>((N648*16%)+N648)+H648+L648</f>
        <v>#VALUE!</v>
      </c>
      <c r="P648" s="21" t="e">
        <f>(((J648-O648)-H648)/1.16)+H648</f>
        <v>#VALUE!</v>
      </c>
      <c r="Q648" s="44"/>
      <c r="R648" s="24"/>
      <c r="S648" s="23" t="e">
        <f t="shared" si="30"/>
        <v>#DIV/0!</v>
      </c>
      <c r="T648" s="23" t="e">
        <f t="shared" si="31"/>
        <v>#DIV/0!</v>
      </c>
      <c r="U648" s="22" t="e">
        <f t="shared" si="32"/>
        <v>#DIV/0!</v>
      </c>
      <c r="V648" s="44"/>
      <c r="W648" s="44"/>
      <c r="X648" s="44"/>
      <c r="Y648" s="44"/>
      <c r="Z648" s="44"/>
    </row>
    <row r="649" spans="1:26" ht="15.75" customHeight="1">
      <c r="A649" s="44"/>
      <c r="B649" s="14"/>
      <c r="C649" s="53"/>
      <c r="D649" s="15"/>
      <c r="E649" s="89"/>
      <c r="F649" s="16"/>
      <c r="G649" s="16"/>
      <c r="H649" s="90" t="str">
        <f>IF(G649="Regular",Listas!$K$16,IF(G649="Premium",Listas!$K$17,IF(G649="Diesel",Listas!$K$18,"-")))</f>
        <v>-</v>
      </c>
      <c r="I649" s="17"/>
      <c r="J649" s="18"/>
      <c r="K649" s="19" t="str">
        <f>+IFERROR(IF(G649="Regular",VLOOKUP(C649,'PRECIO TERMINAL PEMEX'!$B$4:$E$35,2,0),IF(G649="Premium",VLOOKUP(C649,'PRECIO TERMINAL PEMEX'!$B$4:$E$35,3,0),IF(G649="Diesel",VLOOKUP(C649,'PRECIO TERMINAL PEMEX'!$B$4:$E$35,4,0),"Seleccione Producto"))),"-")</f>
        <v>Seleccione Producto</v>
      </c>
      <c r="L649" s="93" t="str">
        <f>+IFERROR(IF(F649="VHSA",VLOOKUP(B649,Listas!$C$4:$F$17,2,0),IF(F649="DOS BOCAS",VLOOKUP(B649,Listas!$C$4:$F$17,3,0),IF(F649="GLENCORE",VLOOKUP(B649,Listas!$C$4:$F$17,4,0),"Seleccione TAR"))),"-")</f>
        <v>Seleccione TAR</v>
      </c>
      <c r="M649" s="19" t="str">
        <f>+IFERROR(IF(G649="Regular",VLOOKUP(C649,'DESCUENTO PROVEEDORES'!$B$4:$E$35,2,0),IF(G649="Premium",VLOOKUP(C649,'DESCUENTO PROVEEDORES'!$B$4:$E$35,3,0),IF(G649="Diesel",VLOOKUP(C649,'DESCUENTO PROVEEDORES'!$B$4:$E$35,4,0),"Seleccione Proveedor"))),"-")</f>
        <v>Seleccione Proveedor</v>
      </c>
      <c r="N649" s="20" t="e">
        <f>((((K649-H649)/1.16)-M649))</f>
        <v>#VALUE!</v>
      </c>
      <c r="O649" s="21" t="e">
        <f>((N649*16%)+N649)+H649+L649</f>
        <v>#VALUE!</v>
      </c>
      <c r="P649" s="21" t="e">
        <f>(((J649-O649)-H649)/1.16)+H649</f>
        <v>#VALUE!</v>
      </c>
      <c r="Q649" s="44"/>
      <c r="R649" s="24"/>
      <c r="S649" s="23" t="e">
        <f t="shared" si="30"/>
        <v>#DIV/0!</v>
      </c>
      <c r="T649" s="23" t="e">
        <f t="shared" si="31"/>
        <v>#DIV/0!</v>
      </c>
      <c r="U649" s="22" t="e">
        <f t="shared" si="32"/>
        <v>#DIV/0!</v>
      </c>
      <c r="V649" s="44"/>
      <c r="W649" s="44"/>
      <c r="X649" s="44"/>
      <c r="Y649" s="44"/>
      <c r="Z649" s="44"/>
    </row>
    <row r="650" spans="1:26" ht="15.75" customHeight="1">
      <c r="A650" s="44"/>
      <c r="B650" s="14"/>
      <c r="C650" s="53"/>
      <c r="D650" s="15"/>
      <c r="E650" s="89"/>
      <c r="F650" s="16"/>
      <c r="G650" s="16"/>
      <c r="H650" s="90" t="str">
        <f>IF(G650="Regular",Listas!$K$16,IF(G650="Premium",Listas!$K$17,IF(G650="Diesel",Listas!$K$18,"-")))</f>
        <v>-</v>
      </c>
      <c r="I650" s="17"/>
      <c r="J650" s="18"/>
      <c r="K650" s="19" t="str">
        <f>+IFERROR(IF(G650="Regular",VLOOKUP(C650,'PRECIO TERMINAL PEMEX'!$B$4:$E$35,2,0),IF(G650="Premium",VLOOKUP(C650,'PRECIO TERMINAL PEMEX'!$B$4:$E$35,3,0),IF(G650="Diesel",VLOOKUP(C650,'PRECIO TERMINAL PEMEX'!$B$4:$E$35,4,0),"Seleccione Producto"))),"-")</f>
        <v>Seleccione Producto</v>
      </c>
      <c r="L650" s="93" t="str">
        <f>+IFERROR(IF(F650="VHSA",VLOOKUP(B650,Listas!$C$4:$F$17,2,0),IF(F650="DOS BOCAS",VLOOKUP(B650,Listas!$C$4:$F$17,3,0),IF(F650="GLENCORE",VLOOKUP(B650,Listas!$C$4:$F$17,4,0),"Seleccione TAR"))),"-")</f>
        <v>Seleccione TAR</v>
      </c>
      <c r="M650" s="19" t="str">
        <f>+IFERROR(IF(G650="Regular",VLOOKUP(C650,'DESCUENTO PROVEEDORES'!$B$4:$E$35,2,0),IF(G650="Premium",VLOOKUP(C650,'DESCUENTO PROVEEDORES'!$B$4:$E$35,3,0),IF(G650="Diesel",VLOOKUP(C650,'DESCUENTO PROVEEDORES'!$B$4:$E$35,4,0),"Seleccione Proveedor"))),"-")</f>
        <v>Seleccione Proveedor</v>
      </c>
      <c r="N650" s="20" t="e">
        <f>((((K650-H650)/1.16)-M650))</f>
        <v>#VALUE!</v>
      </c>
      <c r="O650" s="21" t="e">
        <f>((N650*16%)+N650)+H650+L650</f>
        <v>#VALUE!</v>
      </c>
      <c r="P650" s="26" t="e">
        <f>(((J650-O650)-H650)/1.16)+H650</f>
        <v>#VALUE!</v>
      </c>
      <c r="Q650" s="44"/>
      <c r="R650" s="24"/>
      <c r="S650" s="23" t="e">
        <f t="shared" si="30"/>
        <v>#DIV/0!</v>
      </c>
      <c r="T650" s="23" t="e">
        <f t="shared" si="31"/>
        <v>#DIV/0!</v>
      </c>
      <c r="U650" s="22" t="e">
        <f t="shared" si="32"/>
        <v>#DIV/0!</v>
      </c>
      <c r="V650" s="44"/>
      <c r="W650" s="44"/>
      <c r="X650" s="44"/>
      <c r="Y650" s="44"/>
      <c r="Z650" s="44"/>
    </row>
    <row r="651" spans="1:26" ht="15.75" customHeight="1">
      <c r="A651" s="44"/>
      <c r="B651" s="27"/>
      <c r="C651" s="44"/>
      <c r="D651" s="96"/>
      <c r="E651" s="45"/>
      <c r="F651" s="45"/>
      <c r="G651" s="44"/>
      <c r="H651" s="44"/>
      <c r="I651" s="44"/>
      <c r="J651" s="44"/>
      <c r="K651" s="29"/>
      <c r="L651" s="46"/>
      <c r="M651" s="46"/>
      <c r="N651" s="30"/>
      <c r="O651" s="30"/>
      <c r="P651" s="47"/>
      <c r="Q651" s="44"/>
      <c r="R651" s="44"/>
      <c r="S651" s="44"/>
      <c r="T651" s="44"/>
      <c r="U651" s="44"/>
      <c r="V651" s="44"/>
      <c r="W651" s="44"/>
      <c r="X651" s="44"/>
      <c r="Y651" s="44"/>
      <c r="Z651" s="44"/>
    </row>
    <row r="652" spans="1:26" ht="15.75" customHeight="1">
      <c r="A652" s="44"/>
      <c r="B652" s="141" t="s">
        <v>86</v>
      </c>
      <c r="C652" s="141"/>
      <c r="D652" s="141"/>
      <c r="E652" s="141"/>
      <c r="F652" s="141"/>
      <c r="G652" s="96"/>
      <c r="H652" s="141" t="s">
        <v>87</v>
      </c>
      <c r="I652" s="141"/>
      <c r="J652" s="141"/>
      <c r="K652" s="141"/>
      <c r="L652" s="141"/>
      <c r="N652" s="30"/>
      <c r="O652" s="30"/>
      <c r="Q652" s="44"/>
      <c r="R652" s="44"/>
      <c r="S652" s="44"/>
      <c r="T652" s="44"/>
      <c r="U652" s="44"/>
      <c r="V652" s="44"/>
      <c r="W652" s="44"/>
      <c r="X652" s="44"/>
      <c r="Y652" s="44"/>
      <c r="Z652" s="44"/>
    </row>
    <row r="653" spans="1:26" ht="15.75" customHeight="1">
      <c r="A653" s="44"/>
      <c r="B653" s="114" t="s">
        <v>88</v>
      </c>
      <c r="C653" s="123" t="s">
        <v>89</v>
      </c>
      <c r="D653" s="114" t="s">
        <v>90</v>
      </c>
      <c r="E653" s="125" t="s">
        <v>91</v>
      </c>
      <c r="F653" s="126" t="s">
        <v>92</v>
      </c>
      <c r="G653" s="96"/>
      <c r="H653" s="114" t="s">
        <v>88</v>
      </c>
      <c r="I653" s="123" t="s">
        <v>89</v>
      </c>
      <c r="J653" s="114" t="s">
        <v>90</v>
      </c>
      <c r="K653" s="125" t="s">
        <v>91</v>
      </c>
      <c r="L653" s="126" t="s">
        <v>92</v>
      </c>
      <c r="N653" s="30"/>
      <c r="O653" s="30"/>
      <c r="Q653" s="44"/>
      <c r="R653" s="44"/>
      <c r="S653" s="44"/>
      <c r="T653" s="44"/>
      <c r="U653" s="44"/>
      <c r="V653" s="44"/>
      <c r="W653" s="44"/>
      <c r="X653" s="44"/>
      <c r="Y653" s="44"/>
      <c r="Z653" s="44"/>
    </row>
    <row r="654" spans="1:26" ht="15.75" customHeight="1">
      <c r="A654" s="44"/>
      <c r="B654" s="124" t="s">
        <v>46</v>
      </c>
      <c r="C654" s="116">
        <f>SUMIFS($I$4:$I$650,$G$4:$G$650,"Regular",$B$4:$B$650,"Olmeca I")</f>
        <v>0</v>
      </c>
      <c r="D654" s="117">
        <f>SUMIFS($I$4:$I$650,$G$4:$G$650,"Premium",$B$4:$B$650,"Olmeca I")</f>
        <v>0</v>
      </c>
      <c r="E654" s="118">
        <f>SUMIFS($I$4:$I$650,$G$4:$G$650,"Diesel",$B$4:$B$650,"Olmeca I")</f>
        <v>0</v>
      </c>
      <c r="F654" s="119">
        <f>SUM(C654:E654)</f>
        <v>0</v>
      </c>
      <c r="G654" s="96"/>
      <c r="H654" s="124" t="s">
        <v>46</v>
      </c>
      <c r="I654" s="116" t="e">
        <f>AVERAGEIFS($P$4:$P$650,$G$4:$G$650,"Regular",$B$4:$B$650,"Olmeca I")</f>
        <v>#DIV/0!</v>
      </c>
      <c r="J654" s="117">
        <f>SUMIFS($I$4:$I$650,$G$4:$G$650,"Premium",$B$4:$B$650,"Olmeca I")</f>
        <v>0</v>
      </c>
      <c r="K654" s="118">
        <f>SUMIFS($I$4:$I$650,$G$4:$G$650,"Diesel",$B$4:$B$650,"Olmeca I")</f>
        <v>0</v>
      </c>
      <c r="L654" s="119" t="e">
        <f>SUM(I654:K654)</f>
        <v>#DIV/0!</v>
      </c>
      <c r="N654" s="30"/>
      <c r="O654" s="30"/>
      <c r="Q654" s="44"/>
      <c r="R654" s="44"/>
      <c r="S654" s="44"/>
      <c r="T654" s="44"/>
      <c r="U654" s="44"/>
      <c r="V654" s="44"/>
      <c r="W654" s="44"/>
      <c r="X654" s="44"/>
      <c r="Y654" s="44"/>
      <c r="Z654" s="44"/>
    </row>
    <row r="655" spans="1:26" ht="15.75" customHeight="1">
      <c r="A655" s="44"/>
      <c r="B655" s="105" t="s">
        <v>51</v>
      </c>
      <c r="C655" s="116">
        <f>SUMIFS($I$4:$I$650,$G$4:$G$650,"Regular",$B$4:$B$650,"Olmeca II")</f>
        <v>0</v>
      </c>
      <c r="D655" s="117">
        <f>SUMIFS($I$4:$I$650,$G$4:$G$650,"Premium",$B$4:$B$650,"Olmeca II")</f>
        <v>0</v>
      </c>
      <c r="E655" s="118">
        <f>SUMIFS($I$4:$I$650,$G$4:$G$650,"Diesel",$B$4:$B$650,"Olmeca II")</f>
        <v>0</v>
      </c>
      <c r="F655" s="119">
        <f t="shared" ref="F655:F667" si="33">SUM(C655:E655)</f>
        <v>0</v>
      </c>
      <c r="G655" s="96"/>
      <c r="H655" s="105" t="s">
        <v>51</v>
      </c>
      <c r="I655" s="116">
        <f>SUMIFS($I$4:$I$650,$G$4:$G$650,"Regular",$B$4:$B$650,"Olmeca II")</f>
        <v>0</v>
      </c>
      <c r="J655" s="117">
        <f>SUMIFS($I$4:$I$650,$G$4:$G$650,"Premium",$B$4:$B$650,"Olmeca II")</f>
        <v>0</v>
      </c>
      <c r="K655" s="118">
        <f>SUMIFS($I$4:$I$650,$G$4:$G$650,"Diesel",$B$4:$B$650,"Olmeca II")</f>
        <v>0</v>
      </c>
      <c r="L655" s="119">
        <f t="shared" ref="L655:L666" si="34">SUM(I655:K655)</f>
        <v>0</v>
      </c>
      <c r="N655" s="9"/>
      <c r="O655" s="9"/>
      <c r="Q655" s="44"/>
      <c r="R655" s="44"/>
      <c r="S655" s="44"/>
      <c r="T655" s="44"/>
      <c r="U655" s="44"/>
      <c r="V655" s="44"/>
      <c r="W655" s="44"/>
      <c r="X655" s="44"/>
      <c r="Y655" s="44"/>
      <c r="Z655" s="44"/>
    </row>
    <row r="656" spans="1:26" ht="15.75" customHeight="1">
      <c r="A656" s="44"/>
      <c r="B656" s="105" t="s">
        <v>49</v>
      </c>
      <c r="C656" s="116">
        <f>SUMIFS($I$4:$I$650,$G$4:$G$650,"Regular",$B$4:$B$650,"Tabscoob")</f>
        <v>0</v>
      </c>
      <c r="D656" s="117">
        <f>SUMIFS($I$4:$I$650,$G$4:$G$650,"Premium",$B$4:$B$650,"Tabscoob")</f>
        <v>0</v>
      </c>
      <c r="E656" s="118">
        <f>SUMIFS($I$4:$I$650,$G$4:$G$650,"Diesel",$B$4:$B$650,"Tabscoob")</f>
        <v>0</v>
      </c>
      <c r="F656" s="119">
        <f t="shared" si="33"/>
        <v>0</v>
      </c>
      <c r="G656" s="96"/>
      <c r="H656" s="105" t="s">
        <v>49</v>
      </c>
      <c r="I656" s="116">
        <f>SUMIFS($I$4:$I$650,$G$4:$G$650,"Regular",$B$4:$B$650,"Tabscoob")</f>
        <v>0</v>
      </c>
      <c r="J656" s="117">
        <f>SUMIFS($I$4:$I$650,$G$4:$G$650,"Premium",$B$4:$B$650,"Tabscoob")</f>
        <v>0</v>
      </c>
      <c r="K656" s="118">
        <f>SUMIFS($I$4:$I$650,$G$4:$G$650,"Diesel",$B$4:$B$650,"Tabscoob")</f>
        <v>0</v>
      </c>
      <c r="L656" s="119">
        <f t="shared" si="34"/>
        <v>0</v>
      </c>
      <c r="Q656" s="44"/>
      <c r="R656" s="44"/>
      <c r="S656" s="44"/>
      <c r="T656" s="44"/>
      <c r="U656" s="44"/>
      <c r="V656" s="44"/>
      <c r="W656" s="44"/>
      <c r="X656" s="44"/>
      <c r="Y656" s="44"/>
      <c r="Z656" s="44"/>
    </row>
    <row r="657" spans="1:26" ht="15.75" customHeight="1">
      <c r="A657" s="44"/>
      <c r="B657" s="105" t="s">
        <v>50</v>
      </c>
      <c r="C657" s="116">
        <f>SUMIFS($I$4:$I$650,$G$4:$G$650,"Regular",$B$4:$B$650,"Playas del Rosario")</f>
        <v>0</v>
      </c>
      <c r="D657" s="117">
        <f>SUMIFS($I$4:$I$650,$G$4:$G$650,"Premium",$B$4:$B$650,"Playas del Rosario")</f>
        <v>0</v>
      </c>
      <c r="E657" s="118">
        <f>SUMIFS($I$4:$I$650,$G$4:$G$650,"Diesel",$B$4:$B$650,"Playas del Rosario")</f>
        <v>0</v>
      </c>
      <c r="F657" s="119">
        <f t="shared" si="33"/>
        <v>0</v>
      </c>
      <c r="G657" s="96"/>
      <c r="H657" s="105" t="s">
        <v>50</v>
      </c>
      <c r="I657" s="116">
        <f>SUMIFS($I$4:$I$650,$G$4:$G$650,"Regular",$B$4:$B$650,"Playas del Rosario")</f>
        <v>0</v>
      </c>
      <c r="J657" s="117">
        <f>SUMIFS($I$4:$I$650,$G$4:$G$650,"Premium",$B$4:$B$650,"Playas del Rosario")</f>
        <v>0</v>
      </c>
      <c r="K657" s="118">
        <f>SUMIFS($I$4:$I$650,$G$4:$G$650,"Diesel",$B$4:$B$650,"Playas del Rosario")</f>
        <v>0</v>
      </c>
      <c r="L657" s="119">
        <f t="shared" si="34"/>
        <v>0</v>
      </c>
      <c r="Q657" s="44"/>
      <c r="R657" s="44"/>
      <c r="S657" s="44"/>
      <c r="T657" s="44"/>
      <c r="U657" s="44"/>
      <c r="V657" s="44"/>
      <c r="W657" s="44"/>
      <c r="X657" s="44"/>
      <c r="Y657" s="44"/>
      <c r="Z657" s="44"/>
    </row>
    <row r="658" spans="1:26" ht="15.75" customHeight="1">
      <c r="A658" s="44"/>
      <c r="B658" s="105" t="s">
        <v>52</v>
      </c>
      <c r="C658" s="116">
        <f>SUMIFS($I$4:$I$650,$G$4:$G$650,"Regular",$B$4:$B$650,"Parador")</f>
        <v>0</v>
      </c>
      <c r="D658" s="117">
        <f>SUMIFS($I$4:$I$650,$G$4:$G$650,"Premium",$B$4:$B$650,"Parador")</f>
        <v>0</v>
      </c>
      <c r="E658" s="118">
        <f>SUMIFS($I$4:$I$650,$G$4:$G$650,"Diesel",$B$4:$B$650,"Parador")</f>
        <v>0</v>
      </c>
      <c r="F658" s="119">
        <f t="shared" si="33"/>
        <v>0</v>
      </c>
      <c r="G658" s="96"/>
      <c r="H658" s="105" t="s">
        <v>52</v>
      </c>
      <c r="I658" s="116">
        <f>SUMIFS($I$4:$I$650,$G$4:$G$650,"Regular",$B$4:$B$650,"Parador")</f>
        <v>0</v>
      </c>
      <c r="J658" s="117">
        <f>SUMIFS($I$4:$I$650,$G$4:$G$650,"Premium",$B$4:$B$650,"Parador")</f>
        <v>0</v>
      </c>
      <c r="K658" s="118">
        <f>SUMIFS($I$4:$I$650,$G$4:$G$650,"Diesel",$B$4:$B$650,"Parador")</f>
        <v>0</v>
      </c>
      <c r="L658" s="119">
        <f t="shared" si="34"/>
        <v>0</v>
      </c>
      <c r="Q658" s="44"/>
      <c r="R658" s="44"/>
      <c r="S658" s="44"/>
      <c r="T658" s="44"/>
      <c r="U658" s="44"/>
      <c r="V658" s="44"/>
      <c r="W658" s="44"/>
      <c r="X658" s="44"/>
      <c r="Y658" s="44"/>
      <c r="Z658" s="44"/>
    </row>
    <row r="659" spans="1:26" ht="15.75" customHeight="1">
      <c r="A659" s="44"/>
      <c r="B659" s="105" t="s">
        <v>54</v>
      </c>
      <c r="C659" s="116">
        <f>SUMIFS($I$4:$I$650,$G$4:$G$650,"Regular",$B$4:$B$650,"SamarÍa")</f>
        <v>0</v>
      </c>
      <c r="D659" s="117">
        <f>SUMIFS($I$4:$I$650,$G$4:$G$650,"Premium",$B$4:$B$650,"SamarÍa")</f>
        <v>0</v>
      </c>
      <c r="E659" s="118">
        <f>SUMIFS($I$4:$I$650,$G$4:$G$650,"Diesel",$B$4:$B$650,"SamarÍa")</f>
        <v>20000</v>
      </c>
      <c r="F659" s="119">
        <f t="shared" si="33"/>
        <v>20000</v>
      </c>
      <c r="G659" s="96"/>
      <c r="H659" s="105" t="s">
        <v>54</v>
      </c>
      <c r="I659" s="116">
        <f>SUMIFS($I$4:$I$650,$G$4:$G$650,"Regular",$B$4:$B$650,"SamarÍa")</f>
        <v>0</v>
      </c>
      <c r="J659" s="117">
        <f>SUMIFS($I$4:$I$650,$G$4:$G$650,"Premium",$B$4:$B$650,"SamarÍa")</f>
        <v>0</v>
      </c>
      <c r="K659" s="118">
        <f>SUMIFS($I$4:$I$650,$G$4:$G$650,"Diesel",$B$4:$B$650,"SamarÍa")</f>
        <v>20000</v>
      </c>
      <c r="L659" s="119">
        <f t="shared" si="34"/>
        <v>20000</v>
      </c>
      <c r="Q659" s="44"/>
      <c r="R659" s="44"/>
      <c r="S659" s="44"/>
      <c r="T659" s="44"/>
      <c r="U659" s="44"/>
      <c r="V659" s="44"/>
      <c r="W659" s="44"/>
      <c r="X659" s="44"/>
      <c r="Y659" s="44"/>
      <c r="Z659" s="44"/>
    </row>
    <row r="660" spans="1:26" ht="15.75" customHeight="1">
      <c r="A660" s="44"/>
      <c r="B660" s="105" t="s">
        <v>63</v>
      </c>
      <c r="C660" s="116">
        <f>SUMIFS($I$4:$I$650,$G$4:$G$650,"Regular",$B$4:$B$650,"Deportiva")</f>
        <v>0</v>
      </c>
      <c r="D660" s="117">
        <f>SUMIFS($I$4:$I$650,$G$4:$G$650,"Premium",$B$4:$B$650,"Deportiva")</f>
        <v>0</v>
      </c>
      <c r="E660" s="118">
        <f>SUMIFS($I$4:$I$650,$G$4:$G$650,"Diesel",$B$4:$B$650,"Deportiva")</f>
        <v>0</v>
      </c>
      <c r="F660" s="119">
        <f t="shared" si="33"/>
        <v>0</v>
      </c>
      <c r="G660" s="96"/>
      <c r="H660" s="105" t="s">
        <v>63</v>
      </c>
      <c r="I660" s="116">
        <f>SUMIFS($I$4:$I$650,$G$4:$G$650,"Regular",$B$4:$B$650,"Deportiva")</f>
        <v>0</v>
      </c>
      <c r="J660" s="117">
        <f>SUMIFS($I$4:$I$650,$G$4:$G$650,"Premium",$B$4:$B$650,"Deportiva")</f>
        <v>0</v>
      </c>
      <c r="K660" s="118">
        <f>SUMIFS($I$4:$I$650,$G$4:$G$650,"Diesel",$B$4:$B$650,"Deportiva")</f>
        <v>0</v>
      </c>
      <c r="L660" s="119">
        <f t="shared" si="34"/>
        <v>0</v>
      </c>
      <c r="Q660" s="44"/>
      <c r="R660" s="44"/>
      <c r="S660" s="44"/>
      <c r="T660" s="44"/>
      <c r="U660" s="44"/>
      <c r="V660" s="44"/>
      <c r="W660" s="44"/>
      <c r="X660" s="44"/>
      <c r="Y660" s="44"/>
      <c r="Z660" s="44"/>
    </row>
    <row r="661" spans="1:26" ht="15.75" customHeight="1">
      <c r="A661" s="44"/>
      <c r="B661" s="105" t="s">
        <v>56</v>
      </c>
      <c r="C661" s="116">
        <f>SUMIFS($I$4:$I$650,$G$4:$G$650,"Regular",$B$4:$B$650,"Paraiso")</f>
        <v>0</v>
      </c>
      <c r="D661" s="117">
        <f>SUMIFS($I$4:$I$650,$G$4:$G$650,"Premium",$B$4:$B$650,"Paraiso")</f>
        <v>0</v>
      </c>
      <c r="E661" s="118">
        <f>SUMIFS($I$4:$I$650,$G$4:$G$650,"Diesel",$B$4:$B$650,"Paraiso")</f>
        <v>0</v>
      </c>
      <c r="F661" s="119">
        <f t="shared" si="33"/>
        <v>0</v>
      </c>
      <c r="G661" s="96"/>
      <c r="H661" s="105" t="s">
        <v>56</v>
      </c>
      <c r="I661" s="116">
        <f>SUMIFS($I$4:$I$650,$G$4:$G$650,"Regular",$B$4:$B$650,"Paraiso")</f>
        <v>0</v>
      </c>
      <c r="J661" s="117">
        <f>SUMIFS($I$4:$I$650,$G$4:$G$650,"Premium",$B$4:$B$650,"Paraiso")</f>
        <v>0</v>
      </c>
      <c r="K661" s="118">
        <f>SUMIFS($I$4:$I$650,$G$4:$G$650,"Diesel",$B$4:$B$650,"Paraiso")</f>
        <v>0</v>
      </c>
      <c r="L661" s="119">
        <f t="shared" si="34"/>
        <v>0</v>
      </c>
      <c r="Q661" s="44"/>
      <c r="R661" s="44"/>
      <c r="S661" s="44"/>
      <c r="T661" s="44"/>
      <c r="U661" s="44"/>
      <c r="V661" s="44"/>
      <c r="W661" s="44"/>
      <c r="X661" s="44"/>
      <c r="Y661" s="44"/>
      <c r="Z661" s="44"/>
    </row>
    <row r="662" spans="1:26" ht="15.75" customHeight="1">
      <c r="A662" s="44"/>
      <c r="B662" s="105" t="s">
        <v>55</v>
      </c>
      <c r="C662" s="116">
        <f>SUMIFS($I$4:$I$650,$G$4:$G$650,"Regular",$B$4:$B$650,"Los monos")</f>
        <v>0</v>
      </c>
      <c r="D662" s="117">
        <f>SUMIFS($I$4:$I$650,$G$4:$G$650,"Premium",$B$4:$B$650,"Los monos")</f>
        <v>0</v>
      </c>
      <c r="E662" s="118">
        <f>SUMIFS($I$4:$I$650,$G$4:$G$650,"Diesel",$B$4:$B$650,"Los monos")</f>
        <v>0</v>
      </c>
      <c r="F662" s="119">
        <f t="shared" si="33"/>
        <v>0</v>
      </c>
      <c r="G662" s="96"/>
      <c r="H662" s="105" t="s">
        <v>55</v>
      </c>
      <c r="I662" s="116">
        <f>SUMIFS($I$4:$I$650,$G$4:$G$650,"Regular",$B$4:$B$650,"Los monos")</f>
        <v>0</v>
      </c>
      <c r="J662" s="117">
        <f>SUMIFS($I$4:$I$650,$G$4:$G$650,"Premium",$B$4:$B$650,"Los monos")</f>
        <v>0</v>
      </c>
      <c r="K662" s="118">
        <f>SUMIFS($I$4:$I$650,$G$4:$G$650,"Diesel",$B$4:$B$650,"Los monos")</f>
        <v>0</v>
      </c>
      <c r="L662" s="119">
        <f t="shared" si="34"/>
        <v>0</v>
      </c>
      <c r="Q662" s="44"/>
      <c r="R662" s="44"/>
      <c r="S662" s="44"/>
      <c r="T662" s="44"/>
      <c r="U662" s="44"/>
      <c r="V662" s="44"/>
      <c r="W662" s="44"/>
      <c r="X662" s="44"/>
      <c r="Y662" s="44"/>
      <c r="Z662" s="44"/>
    </row>
    <row r="663" spans="1:26" ht="15.75" customHeight="1">
      <c r="A663" s="44"/>
      <c r="B663" s="105" t="s">
        <v>59</v>
      </c>
      <c r="C663" s="116">
        <f>SUMIFS($I$4:$I$650,$G$4:$G$650,"Regular",$B$4:$B$650,"Niños Traviesos")</f>
        <v>0</v>
      </c>
      <c r="D663" s="117">
        <f>SUMIFS($I$4:$I$650,$G$4:$G$650,"Premium",$B$4:$B$650,"Niños Traviesos")</f>
        <v>0</v>
      </c>
      <c r="E663" s="118">
        <f>SUMIFS($I$4:$I$650,$G$4:$G$650,"Diesel",$B$4:$B$650,"Niños Traviesos")</f>
        <v>0</v>
      </c>
      <c r="F663" s="119">
        <f t="shared" si="33"/>
        <v>0</v>
      </c>
      <c r="G663" s="96"/>
      <c r="H663" s="105" t="s">
        <v>59</v>
      </c>
      <c r="I663" s="116">
        <f>SUMIFS($I$4:$I$650,$G$4:$G$650,"Regular",$B$4:$B$650,"Niños Traviesos")</f>
        <v>0</v>
      </c>
      <c r="J663" s="117">
        <f>SUMIFS($I$4:$I$650,$G$4:$G$650,"Premium",$B$4:$B$650,"Niños Traviesos")</f>
        <v>0</v>
      </c>
      <c r="K663" s="118">
        <f>SUMIFS($I$4:$I$650,$G$4:$G$650,"Diesel",$B$4:$B$650,"Niños Traviesos")</f>
        <v>0</v>
      </c>
      <c r="L663" s="119">
        <f t="shared" si="34"/>
        <v>0</v>
      </c>
      <c r="Q663" s="44"/>
      <c r="R663" s="44"/>
      <c r="S663" s="44"/>
      <c r="T663" s="44"/>
      <c r="U663" s="44"/>
      <c r="V663" s="44"/>
      <c r="W663" s="44"/>
      <c r="X663" s="44"/>
      <c r="Y663" s="44"/>
      <c r="Z663" s="44"/>
    </row>
    <row r="664" spans="1:26" ht="15.75" customHeight="1">
      <c r="A664" s="44"/>
      <c r="B664" s="105" t="s">
        <v>58</v>
      </c>
      <c r="C664" s="116">
        <f>SUMIFS($I$4:$I$650,$G$4:$G$650,"Regular",$B$4:$B$650,"Ocuiltzapotlán")</f>
        <v>0</v>
      </c>
      <c r="D664" s="117">
        <f>SUMIFS($I$4:$I$650,$G$4:$G$650,"Premium",$B$4:$B$650,"Ocuiltzapotlán")</f>
        <v>0</v>
      </c>
      <c r="E664" s="118">
        <f>SUMIFS($I$4:$I$650,$G$4:$G$650,"Diesel",$B$4:$B$650,"Ocuiltzapotlán")</f>
        <v>0</v>
      </c>
      <c r="F664" s="119">
        <f t="shared" si="33"/>
        <v>0</v>
      </c>
      <c r="G664" s="96"/>
      <c r="H664" s="105" t="s">
        <v>58</v>
      </c>
      <c r="I664" s="116">
        <f>SUMIFS($I$4:$I$650,$G$4:$G$650,"Regular",$B$4:$B$650,"Ocuiltzapotlán")</f>
        <v>0</v>
      </c>
      <c r="J664" s="117">
        <f>SUMIFS($I$4:$I$650,$G$4:$G$650,"Premium",$B$4:$B$650,"Ocuiltzapotlán")</f>
        <v>0</v>
      </c>
      <c r="K664" s="118">
        <f>SUMIFS($I$4:$I$650,$G$4:$G$650,"Diesel",$B$4:$B$650,"Ocuiltzapotlán")</f>
        <v>0</v>
      </c>
      <c r="L664" s="119">
        <f t="shared" si="34"/>
        <v>0</v>
      </c>
      <c r="Q664" s="44"/>
      <c r="R664" s="44"/>
      <c r="S664" s="44"/>
      <c r="T664" s="44"/>
      <c r="U664" s="44"/>
      <c r="V664" s="44"/>
      <c r="W664" s="44"/>
      <c r="X664" s="44"/>
      <c r="Y664" s="44"/>
      <c r="Z664" s="44"/>
    </row>
    <row r="665" spans="1:26" ht="15.75" customHeight="1">
      <c r="A665" s="44"/>
      <c r="B665" s="105" t="s">
        <v>57</v>
      </c>
      <c r="C665" s="116">
        <f>SUMIFS($I$4:$I$650,$G$4:$G$650,"Regular",$B$4:$B$650,"Teapa")</f>
        <v>0</v>
      </c>
      <c r="D665" s="117">
        <f>SUMIFS($I$4:$I$650,$G$4:$G$650,"Premium",$B$4:$B$650,"Teapa")</f>
        <v>0</v>
      </c>
      <c r="E665" s="120">
        <f>SUMIFS($I$4:$I$650,$G$4:$G$650,"Diesel",$B$4:$B$650,"Teapa")</f>
        <v>0</v>
      </c>
      <c r="F665" s="119">
        <f t="shared" si="33"/>
        <v>0</v>
      </c>
      <c r="G665" s="96"/>
      <c r="H665" s="105" t="s">
        <v>57</v>
      </c>
      <c r="I665" s="116">
        <f>SUMIFS($I$4:$I$650,$G$4:$G$650,"Regular",$B$4:$B$650,"Teapa")</f>
        <v>0</v>
      </c>
      <c r="J665" s="117">
        <f>SUMIFS($I$4:$I$650,$G$4:$G$650,"Premium",$B$4:$B$650,"Teapa")</f>
        <v>0</v>
      </c>
      <c r="K665" s="120">
        <f>SUMIFS($I$4:$I$650,$G$4:$G$650,"Diesel",$B$4:$B$650,"Teapa")</f>
        <v>0</v>
      </c>
      <c r="L665" s="119">
        <f t="shared" si="34"/>
        <v>0</v>
      </c>
      <c r="Q665" s="44"/>
      <c r="R665" s="44"/>
      <c r="S665" s="44"/>
      <c r="T665" s="44"/>
      <c r="U665" s="44"/>
      <c r="V665" s="44"/>
      <c r="W665" s="44"/>
      <c r="X665" s="44"/>
      <c r="Y665" s="44"/>
      <c r="Z665" s="44"/>
    </row>
    <row r="666" spans="1:26" ht="15.75" customHeight="1">
      <c r="A666" s="44"/>
      <c r="B666" s="105" t="s">
        <v>64</v>
      </c>
      <c r="C666" s="121">
        <f>SUMIFS($I$4:$I$650,$G$4:$G$650,"Regular",$B$4:$B$650,"Majahua")</f>
        <v>0</v>
      </c>
      <c r="D666" s="121">
        <f>SUMIFS($I$4:$I$650,$G$4:$G$650,"Premium",$B$4:$B$650,"Majahua")</f>
        <v>0</v>
      </c>
      <c r="E666" s="118">
        <f>SUMIFS($I$4:$I$650,$G$4:$G$650,"Diesel",$B$4:$B$650,"Majahua")</f>
        <v>0</v>
      </c>
      <c r="F666" s="119">
        <f t="shared" si="33"/>
        <v>0</v>
      </c>
      <c r="G666" s="96"/>
      <c r="H666" s="105" t="s">
        <v>64</v>
      </c>
      <c r="I666" s="121">
        <f>SUMIFS($I$4:$I$650,$G$4:$G$650,"Regular",$B$4:$B$650,"Majahua")</f>
        <v>0</v>
      </c>
      <c r="J666" s="121">
        <f>SUMIFS($I$4:$I$650,$G$4:$G$650,"Premium",$B$4:$B$650,"Majahua")</f>
        <v>0</v>
      </c>
      <c r="K666" s="118">
        <f>SUMIFS($I$4:$I$650,$G$4:$G$650,"Diesel",$B$4:$B$650,"Majahua")</f>
        <v>0</v>
      </c>
      <c r="L666" s="119">
        <f t="shared" si="34"/>
        <v>0</v>
      </c>
      <c r="Q666" s="44"/>
      <c r="R666" s="44"/>
      <c r="S666" s="44"/>
      <c r="T666" s="44"/>
      <c r="U666" s="44"/>
      <c r="V666" s="44"/>
      <c r="W666" s="44"/>
      <c r="X666" s="44"/>
      <c r="Y666" s="44"/>
      <c r="Z666" s="44"/>
    </row>
    <row r="667" spans="1:26" ht="15.75" customHeight="1">
      <c r="A667" s="44"/>
      <c r="B667" s="115" t="s">
        <v>93</v>
      </c>
      <c r="C667" s="119">
        <f>SUM(C654:C666)</f>
        <v>0</v>
      </c>
      <c r="D667" s="119">
        <f t="shared" ref="D667:F667" si="35">SUM(D654:D666)</f>
        <v>0</v>
      </c>
      <c r="E667" s="119">
        <f t="shared" si="35"/>
        <v>20000</v>
      </c>
      <c r="F667" s="122">
        <f t="shared" si="35"/>
        <v>20000</v>
      </c>
      <c r="G667" s="96"/>
      <c r="H667" s="115" t="s">
        <v>93</v>
      </c>
      <c r="I667" s="119" t="e">
        <f>SUM(I654:I666)</f>
        <v>#DIV/0!</v>
      </c>
      <c r="J667" s="119">
        <f t="shared" ref="J667" si="36">SUM(J654:J666)</f>
        <v>0</v>
      </c>
      <c r="K667" s="119">
        <f t="shared" ref="K667" si="37">SUM(K654:K666)</f>
        <v>20000</v>
      </c>
      <c r="L667" s="122" t="e">
        <f t="shared" ref="L667" si="38">SUM(L654:L666)</f>
        <v>#DIV/0!</v>
      </c>
      <c r="Q667" s="44"/>
      <c r="R667" s="44"/>
      <c r="S667" s="44"/>
      <c r="T667" s="44"/>
      <c r="U667" s="44"/>
      <c r="V667" s="44"/>
      <c r="W667" s="44"/>
      <c r="X667" s="44"/>
      <c r="Y667" s="44"/>
      <c r="Z667" s="44"/>
    </row>
    <row r="668" spans="1:26" ht="15.75" customHeight="1">
      <c r="A668" s="44"/>
      <c r="B668" s="43"/>
      <c r="C668" s="96"/>
      <c r="D668" s="96"/>
      <c r="E668" s="96"/>
      <c r="F668" s="96"/>
      <c r="G668" s="96"/>
      <c r="H668" s="109"/>
      <c r="I668" s="110"/>
      <c r="J668" s="96"/>
      <c r="K668" s="9"/>
      <c r="Q668" s="44"/>
      <c r="R668" s="44"/>
      <c r="S668" s="44"/>
      <c r="T668" s="44"/>
      <c r="U668" s="44"/>
      <c r="V668" s="44"/>
      <c r="W668" s="44"/>
      <c r="X668" s="44"/>
      <c r="Y668" s="44"/>
      <c r="Z668" s="44"/>
    </row>
    <row r="669" spans="1:26" ht="15.75" customHeight="1">
      <c r="A669" s="44"/>
      <c r="B669" s="104"/>
      <c r="C669" s="96"/>
      <c r="G669" s="96"/>
      <c r="H669" s="111"/>
      <c r="I669" s="112"/>
      <c r="J669" s="96"/>
      <c r="K669" s="9"/>
      <c r="Q669" s="44"/>
      <c r="R669" s="44"/>
      <c r="S669" s="44"/>
      <c r="T669" s="44"/>
      <c r="U669" s="44"/>
      <c r="V669" s="44"/>
      <c r="W669" s="44"/>
      <c r="X669" s="44"/>
      <c r="Y669" s="44"/>
      <c r="Z669" s="44"/>
    </row>
    <row r="670" spans="1:26" ht="15.75" customHeight="1">
      <c r="A670" s="44"/>
      <c r="B670" s="103"/>
      <c r="C670" s="96"/>
      <c r="G670" s="96"/>
      <c r="H670" s="107"/>
      <c r="I670" s="96"/>
      <c r="J670" s="96"/>
      <c r="K670" s="9"/>
      <c r="Q670" s="44"/>
      <c r="R670" s="44"/>
      <c r="S670" s="44"/>
      <c r="T670" s="44"/>
      <c r="U670" s="44"/>
      <c r="V670" s="44"/>
      <c r="W670" s="44"/>
      <c r="X670" s="44"/>
      <c r="Y670" s="44"/>
      <c r="Z670" s="44"/>
    </row>
    <row r="671" spans="1:26" ht="15.75" customHeight="1">
      <c r="A671" s="44"/>
      <c r="B671" s="88"/>
      <c r="C671" s="96"/>
      <c r="G671" s="96"/>
      <c r="H671" s="108"/>
      <c r="I671" s="96"/>
      <c r="J671" s="96"/>
      <c r="K671" s="9"/>
      <c r="Q671" s="44"/>
      <c r="R671" s="44"/>
      <c r="S671" s="44"/>
      <c r="T671" s="44"/>
      <c r="U671" s="44"/>
      <c r="V671" s="44"/>
      <c r="W671" s="44"/>
      <c r="X671" s="44"/>
      <c r="Y671" s="44"/>
      <c r="Z671" s="44"/>
    </row>
    <row r="672" spans="1:26" ht="15.75" customHeight="1">
      <c r="A672" s="44"/>
      <c r="B672" s="88"/>
      <c r="C672" s="96"/>
      <c r="G672" s="96"/>
      <c r="H672" s="108"/>
      <c r="I672" s="96"/>
      <c r="J672" s="96"/>
      <c r="Q672" s="44"/>
      <c r="R672" s="44"/>
      <c r="S672" s="44"/>
      <c r="T672" s="44"/>
      <c r="U672" s="44"/>
      <c r="V672" s="44"/>
      <c r="W672" s="44"/>
      <c r="X672" s="44"/>
      <c r="Y672" s="44"/>
      <c r="Z672" s="44"/>
    </row>
    <row r="673" spans="1:26" ht="15.75" customHeight="1">
      <c r="A673" s="44"/>
      <c r="B673" s="88"/>
      <c r="C673" s="96"/>
      <c r="G673" s="96"/>
      <c r="H673" s="108"/>
      <c r="I673" s="96"/>
      <c r="J673" s="96"/>
      <c r="Q673" s="44"/>
      <c r="R673" s="44"/>
      <c r="S673" s="44"/>
      <c r="T673" s="44"/>
      <c r="U673" s="44"/>
      <c r="V673" s="44"/>
      <c r="W673" s="44"/>
      <c r="X673" s="44"/>
      <c r="Y673" s="44"/>
      <c r="Z673" s="44"/>
    </row>
    <row r="674" spans="1:26" ht="15.75" customHeight="1">
      <c r="A674" s="44"/>
      <c r="B674" s="43"/>
      <c r="C674" s="96"/>
      <c r="G674" s="96"/>
      <c r="H674" s="109"/>
      <c r="I674" s="110"/>
      <c r="J674" s="96"/>
      <c r="Q674" s="44"/>
      <c r="R674" s="44"/>
      <c r="S674" s="44"/>
      <c r="T674" s="44"/>
      <c r="U674" s="44"/>
      <c r="V674" s="44"/>
      <c r="W674" s="44"/>
      <c r="X674" s="44"/>
      <c r="Y674" s="44"/>
      <c r="Z674" s="44"/>
    </row>
    <row r="675" spans="1:26" ht="15.75" customHeight="1">
      <c r="A675" s="44"/>
      <c r="B675" s="104"/>
      <c r="C675" s="96"/>
      <c r="G675" s="96"/>
      <c r="H675" s="111"/>
      <c r="I675" s="112"/>
      <c r="J675" s="96"/>
      <c r="Q675" s="44"/>
      <c r="R675" s="44"/>
      <c r="S675" s="44"/>
      <c r="T675" s="44"/>
      <c r="U675" s="44"/>
      <c r="V675" s="44"/>
      <c r="W675" s="44"/>
      <c r="X675" s="44"/>
      <c r="Y675" s="44"/>
      <c r="Z675" s="44"/>
    </row>
    <row r="676" spans="1:26" ht="15.75" customHeight="1">
      <c r="A676" s="44"/>
      <c r="B676" s="103"/>
      <c r="C676" s="96"/>
      <c r="G676" s="106"/>
      <c r="H676" s="107"/>
      <c r="I676" s="96"/>
      <c r="J676" s="96"/>
      <c r="Q676" s="44"/>
      <c r="R676" s="44"/>
      <c r="S676" s="44"/>
      <c r="T676" s="44"/>
      <c r="U676" s="44"/>
      <c r="V676" s="44"/>
      <c r="W676" s="44"/>
      <c r="X676" s="44"/>
      <c r="Y676" s="44"/>
      <c r="Z676" s="44"/>
    </row>
    <row r="677" spans="1:26" ht="15.75" customHeight="1">
      <c r="A677" s="44"/>
      <c r="B677" s="88"/>
      <c r="C677" s="96"/>
      <c r="G677" s="96"/>
      <c r="H677" s="108"/>
      <c r="I677" s="96"/>
      <c r="J677" s="96"/>
      <c r="Q677" s="44"/>
      <c r="R677" s="44"/>
      <c r="S677" s="44"/>
      <c r="T677" s="44"/>
      <c r="U677" s="44"/>
      <c r="V677" s="44"/>
      <c r="W677" s="44"/>
      <c r="X677" s="44"/>
      <c r="Y677" s="44"/>
      <c r="Z677" s="44"/>
    </row>
    <row r="678" spans="1:26" ht="15.75" customHeight="1">
      <c r="A678" s="44"/>
      <c r="B678" s="88"/>
      <c r="C678" s="96"/>
      <c r="G678" s="96"/>
      <c r="H678" s="108"/>
      <c r="I678" s="96"/>
      <c r="J678" s="96"/>
      <c r="Q678" s="44"/>
      <c r="R678" s="44"/>
      <c r="S678" s="44"/>
      <c r="T678" s="44"/>
      <c r="U678" s="44"/>
      <c r="V678" s="44"/>
      <c r="W678" s="44"/>
      <c r="X678" s="44"/>
      <c r="Y678" s="44"/>
      <c r="Z678" s="44"/>
    </row>
    <row r="679" spans="1:26" ht="15.75" customHeight="1">
      <c r="A679" s="44"/>
      <c r="B679" s="88"/>
      <c r="C679" s="96"/>
      <c r="G679" s="96"/>
      <c r="H679" s="108"/>
      <c r="I679" s="96"/>
      <c r="J679" s="96"/>
      <c r="Q679" s="44"/>
      <c r="R679" s="44"/>
      <c r="S679" s="44"/>
      <c r="T679" s="44"/>
      <c r="U679" s="44"/>
      <c r="V679" s="44"/>
      <c r="W679" s="44"/>
      <c r="X679" s="44"/>
      <c r="Y679" s="44"/>
      <c r="Z679" s="44"/>
    </row>
    <row r="680" spans="1:26" ht="15.75" customHeight="1">
      <c r="A680" s="44"/>
      <c r="B680" s="43"/>
      <c r="C680" s="96"/>
      <c r="G680" s="96"/>
      <c r="H680" s="109"/>
      <c r="I680" s="110"/>
      <c r="J680" s="96"/>
      <c r="Q680" s="44"/>
      <c r="R680" s="44"/>
      <c r="S680" s="44"/>
      <c r="T680" s="44"/>
      <c r="U680" s="44"/>
      <c r="V680" s="44"/>
      <c r="W680" s="44"/>
      <c r="X680" s="44"/>
      <c r="Y680" s="44"/>
      <c r="Z680" s="44"/>
    </row>
    <row r="681" spans="1:26" ht="15.75" customHeight="1">
      <c r="A681" s="44"/>
      <c r="B681" s="104"/>
      <c r="C681" s="96"/>
      <c r="G681" s="96"/>
      <c r="H681" s="111"/>
      <c r="I681" s="112"/>
      <c r="J681" s="96"/>
      <c r="Q681" s="44"/>
      <c r="R681" s="44"/>
      <c r="S681" s="44"/>
      <c r="T681" s="44"/>
      <c r="U681" s="44"/>
      <c r="V681" s="44"/>
      <c r="W681" s="44"/>
      <c r="X681" s="44"/>
      <c r="Y681" s="44"/>
      <c r="Z681" s="44"/>
    </row>
    <row r="682" spans="1:26" ht="15.75" customHeight="1">
      <c r="A682" s="44"/>
      <c r="B682" s="103"/>
      <c r="C682" s="96"/>
      <c r="G682" s="96"/>
      <c r="H682" s="107"/>
      <c r="I682" s="96"/>
      <c r="J682" s="96"/>
      <c r="Q682" s="44"/>
      <c r="R682" s="44"/>
      <c r="S682" s="44"/>
      <c r="T682" s="44"/>
      <c r="U682" s="44"/>
      <c r="V682" s="44"/>
      <c r="W682" s="44"/>
      <c r="X682" s="44"/>
      <c r="Y682" s="44"/>
      <c r="Z682" s="44"/>
    </row>
    <row r="683" spans="1:26" ht="15.75" customHeight="1">
      <c r="A683" s="44"/>
      <c r="B683" s="88"/>
      <c r="C683" s="96"/>
      <c r="G683" s="96"/>
      <c r="H683" s="108"/>
      <c r="I683" s="112"/>
      <c r="J683" s="96"/>
      <c r="Q683" s="44"/>
      <c r="R683" s="44"/>
      <c r="S683" s="44"/>
      <c r="T683" s="44"/>
      <c r="U683" s="44"/>
      <c r="V683" s="44"/>
      <c r="W683" s="44"/>
      <c r="X683" s="44"/>
      <c r="Y683" s="44"/>
      <c r="Z683" s="44"/>
    </row>
    <row r="684" spans="1:26" ht="15.75" customHeight="1">
      <c r="A684" s="44"/>
      <c r="B684" s="88"/>
      <c r="C684" s="96"/>
      <c r="G684" s="96"/>
      <c r="H684" s="108"/>
      <c r="I684" s="96"/>
      <c r="J684" s="96"/>
      <c r="Q684" s="44"/>
      <c r="R684" s="44"/>
      <c r="S684" s="44"/>
      <c r="T684" s="44"/>
      <c r="U684" s="44"/>
      <c r="V684" s="44"/>
      <c r="W684" s="44"/>
      <c r="X684" s="44"/>
      <c r="Y684" s="44"/>
      <c r="Z684" s="44"/>
    </row>
    <row r="685" spans="1:26" ht="15.75" customHeight="1">
      <c r="A685" s="44"/>
      <c r="B685" s="88"/>
      <c r="C685" s="96"/>
      <c r="G685" s="96"/>
      <c r="H685" s="108"/>
      <c r="I685" s="96"/>
      <c r="J685" s="96"/>
      <c r="Q685" s="44"/>
      <c r="R685" s="44"/>
      <c r="S685" s="44"/>
      <c r="T685" s="44"/>
      <c r="U685" s="44"/>
      <c r="V685" s="44"/>
      <c r="W685" s="44"/>
      <c r="X685" s="44"/>
      <c r="Y685" s="44"/>
      <c r="Z685" s="44"/>
    </row>
    <row r="686" spans="1:26" ht="15.75" customHeight="1">
      <c r="A686" s="44"/>
      <c r="B686" s="43"/>
      <c r="C686" s="96"/>
      <c r="G686" s="96"/>
      <c r="H686" s="109"/>
      <c r="I686" s="110"/>
      <c r="J686" s="96"/>
      <c r="Q686" s="44"/>
      <c r="R686" s="44"/>
      <c r="S686" s="44"/>
      <c r="T686" s="44"/>
      <c r="U686" s="44"/>
      <c r="V686" s="44"/>
      <c r="W686" s="44"/>
      <c r="X686" s="44"/>
      <c r="Y686" s="44"/>
      <c r="Z686" s="44"/>
    </row>
    <row r="687" spans="1:26" ht="15.75" customHeight="1">
      <c r="A687" s="44"/>
      <c r="B687" s="104"/>
      <c r="C687" s="96"/>
      <c r="G687" s="96"/>
      <c r="H687" s="111"/>
      <c r="I687" s="112"/>
      <c r="J687" s="96"/>
      <c r="Q687" s="44"/>
      <c r="R687" s="44"/>
      <c r="S687" s="44"/>
      <c r="T687" s="44"/>
      <c r="U687" s="44"/>
      <c r="V687" s="44"/>
      <c r="W687" s="44"/>
      <c r="X687" s="44"/>
      <c r="Y687" s="44"/>
      <c r="Z687" s="44"/>
    </row>
    <row r="688" spans="1:26" ht="15.75" customHeight="1">
      <c r="A688" s="44"/>
      <c r="B688" s="103"/>
      <c r="C688" s="96"/>
      <c r="G688" s="96"/>
      <c r="H688" s="107"/>
      <c r="I688" s="96"/>
      <c r="J688" s="96"/>
      <c r="Q688" s="44"/>
      <c r="R688" s="44"/>
      <c r="S688" s="44"/>
      <c r="T688" s="44"/>
      <c r="U688" s="44"/>
      <c r="V688" s="44"/>
      <c r="W688" s="44"/>
      <c r="X688" s="44"/>
      <c r="Y688" s="44"/>
      <c r="Z688" s="44"/>
    </row>
    <row r="689" spans="1:26" ht="15.75" customHeight="1">
      <c r="A689" s="44"/>
      <c r="B689" s="88"/>
      <c r="C689" s="96"/>
      <c r="G689" s="96"/>
      <c r="H689" s="108"/>
      <c r="I689" s="96"/>
      <c r="J689" s="96"/>
      <c r="Q689" s="44"/>
      <c r="R689" s="44"/>
      <c r="S689" s="44"/>
      <c r="T689" s="44"/>
      <c r="U689" s="44"/>
      <c r="V689" s="44"/>
      <c r="W689" s="44"/>
      <c r="X689" s="44"/>
      <c r="Y689" s="44"/>
      <c r="Z689" s="44"/>
    </row>
    <row r="690" spans="1:26" ht="15.75" customHeight="1">
      <c r="A690" s="44"/>
      <c r="B690" s="88"/>
      <c r="C690" s="96"/>
      <c r="G690" s="96"/>
      <c r="H690" s="108"/>
      <c r="I690" s="96"/>
      <c r="J690" s="96"/>
      <c r="Q690" s="44"/>
      <c r="R690" s="44"/>
      <c r="S690" s="44"/>
      <c r="T690" s="44"/>
      <c r="U690" s="44"/>
      <c r="V690" s="44"/>
      <c r="W690" s="44"/>
      <c r="X690" s="44"/>
      <c r="Y690" s="44"/>
      <c r="Z690" s="44"/>
    </row>
    <row r="691" spans="1:26" ht="15.75" customHeight="1">
      <c r="A691" s="44"/>
      <c r="B691" s="88"/>
      <c r="C691" s="96"/>
      <c r="G691" s="96"/>
      <c r="H691" s="108"/>
      <c r="I691" s="96"/>
      <c r="J691" s="96"/>
      <c r="Q691" s="44"/>
      <c r="R691" s="44"/>
      <c r="S691" s="44"/>
      <c r="T691" s="44"/>
      <c r="U691" s="44"/>
      <c r="V691" s="44"/>
      <c r="W691" s="44"/>
      <c r="X691" s="44"/>
      <c r="Y691" s="44"/>
      <c r="Z691" s="44"/>
    </row>
    <row r="692" spans="1:26" ht="15.75" customHeight="1">
      <c r="A692" s="44"/>
      <c r="B692" s="43"/>
      <c r="C692" s="96"/>
      <c r="G692" s="96"/>
      <c r="H692" s="109"/>
      <c r="I692" s="110"/>
      <c r="J692" s="96"/>
      <c r="Q692" s="44"/>
      <c r="R692" s="44"/>
      <c r="S692" s="44"/>
      <c r="T692" s="44"/>
      <c r="U692" s="44"/>
      <c r="V692" s="44"/>
      <c r="W692" s="44"/>
      <c r="X692" s="44"/>
      <c r="Y692" s="44"/>
      <c r="Z692" s="44"/>
    </row>
    <row r="693" spans="1:26" ht="15.75" customHeight="1">
      <c r="A693" s="44"/>
      <c r="B693" s="104"/>
      <c r="C693" s="96"/>
      <c r="G693" s="96"/>
      <c r="H693" s="111"/>
      <c r="I693" s="112"/>
      <c r="J693" s="96"/>
      <c r="Q693" s="44"/>
      <c r="R693" s="44"/>
      <c r="S693" s="44"/>
      <c r="T693" s="44"/>
      <c r="U693" s="44"/>
      <c r="V693" s="44"/>
      <c r="W693" s="44"/>
      <c r="X693" s="44"/>
      <c r="Y693" s="44"/>
      <c r="Z693" s="44"/>
    </row>
    <row r="694" spans="1:26" ht="15.75" customHeight="1">
      <c r="A694" s="44"/>
      <c r="B694" s="103"/>
      <c r="C694" s="96"/>
      <c r="G694" s="96"/>
      <c r="H694" s="107"/>
      <c r="I694" s="96"/>
      <c r="J694" s="96"/>
      <c r="Q694" s="44"/>
      <c r="R694" s="44"/>
      <c r="S694" s="44"/>
      <c r="T694" s="44"/>
      <c r="U694" s="44"/>
      <c r="V694" s="44"/>
      <c r="W694" s="44"/>
      <c r="X694" s="44"/>
      <c r="Y694" s="44"/>
      <c r="Z694" s="44"/>
    </row>
    <row r="695" spans="1:26" ht="15.75" customHeight="1">
      <c r="A695" s="44"/>
      <c r="B695" s="88"/>
      <c r="C695" s="96"/>
      <c r="G695" s="96"/>
      <c r="H695" s="108"/>
      <c r="I695" s="96"/>
      <c r="J695" s="96"/>
      <c r="Q695" s="44"/>
      <c r="R695" s="44"/>
      <c r="S695" s="44"/>
      <c r="T695" s="44"/>
      <c r="U695" s="44"/>
      <c r="V695" s="44"/>
      <c r="W695" s="44"/>
      <c r="X695" s="44"/>
      <c r="Y695" s="44"/>
      <c r="Z695" s="44"/>
    </row>
    <row r="696" spans="1:26" ht="15.75" customHeight="1">
      <c r="A696" s="44"/>
      <c r="B696" s="88"/>
      <c r="C696" s="96"/>
      <c r="G696" s="96"/>
      <c r="H696" s="108"/>
      <c r="I696" s="96"/>
      <c r="J696" s="96"/>
      <c r="Q696" s="44"/>
      <c r="R696" s="44"/>
      <c r="S696" s="44"/>
      <c r="T696" s="44"/>
      <c r="U696" s="44"/>
      <c r="V696" s="44"/>
      <c r="W696" s="44"/>
      <c r="X696" s="44"/>
      <c r="Y696" s="44"/>
      <c r="Z696" s="44"/>
    </row>
    <row r="697" spans="1:26" ht="15.75" customHeight="1">
      <c r="A697" s="44"/>
      <c r="B697" s="88"/>
      <c r="C697" s="96"/>
      <c r="G697" s="96"/>
      <c r="H697" s="108"/>
      <c r="I697" s="96"/>
      <c r="J697" s="96"/>
      <c r="Q697" s="44"/>
      <c r="R697" s="44"/>
      <c r="S697" s="44"/>
      <c r="T697" s="44"/>
      <c r="U697" s="44"/>
      <c r="V697" s="44"/>
      <c r="W697" s="44"/>
      <c r="X697" s="44"/>
      <c r="Y697" s="44"/>
      <c r="Z697" s="44"/>
    </row>
    <row r="698" spans="1:26" ht="15.75" customHeight="1">
      <c r="A698" s="44"/>
      <c r="B698" s="43"/>
      <c r="C698" s="96"/>
      <c r="G698" s="96"/>
      <c r="H698" s="109"/>
      <c r="I698" s="110"/>
      <c r="J698" s="96"/>
      <c r="Q698" s="44"/>
      <c r="R698" s="44"/>
      <c r="S698" s="44"/>
      <c r="T698" s="44"/>
      <c r="U698" s="44"/>
      <c r="V698" s="44"/>
      <c r="W698" s="44"/>
      <c r="X698" s="44"/>
      <c r="Y698" s="44"/>
      <c r="Z698" s="44"/>
    </row>
    <row r="699" spans="1:26" ht="15.75" customHeight="1">
      <c r="A699" s="44"/>
      <c r="B699" s="104"/>
      <c r="C699" s="96"/>
      <c r="G699" s="96"/>
      <c r="H699" s="111"/>
      <c r="I699" s="112"/>
      <c r="J699" s="96"/>
      <c r="Q699" s="44"/>
      <c r="R699" s="44"/>
      <c r="S699" s="44"/>
      <c r="T699" s="44"/>
      <c r="U699" s="44"/>
      <c r="V699" s="44"/>
      <c r="W699" s="44"/>
      <c r="X699" s="44"/>
      <c r="Y699" s="44"/>
      <c r="Z699" s="44"/>
    </row>
    <row r="700" spans="1:26" ht="15.75" customHeight="1">
      <c r="A700" s="44"/>
      <c r="B700" s="103"/>
      <c r="C700" s="96"/>
      <c r="G700" s="96"/>
      <c r="H700" s="107"/>
      <c r="I700" s="96"/>
      <c r="J700" s="96"/>
      <c r="Q700" s="44"/>
      <c r="R700" s="44"/>
      <c r="S700" s="44"/>
      <c r="T700" s="44"/>
      <c r="U700" s="44"/>
      <c r="V700" s="44"/>
      <c r="W700" s="44"/>
      <c r="X700" s="44"/>
      <c r="Y700" s="44"/>
      <c r="Z700" s="44"/>
    </row>
    <row r="701" spans="1:26" ht="15.75" customHeight="1">
      <c r="A701" s="44"/>
      <c r="B701" s="88"/>
      <c r="C701" s="96"/>
      <c r="G701" s="96"/>
      <c r="H701" s="108"/>
      <c r="I701" s="96"/>
      <c r="J701" s="96"/>
      <c r="Q701" s="44"/>
      <c r="R701" s="44"/>
      <c r="S701" s="44"/>
      <c r="T701" s="44"/>
      <c r="U701" s="44"/>
      <c r="V701" s="44"/>
      <c r="W701" s="44"/>
      <c r="X701" s="44"/>
      <c r="Y701" s="44"/>
      <c r="Z701" s="44"/>
    </row>
    <row r="702" spans="1:26" ht="15.75" customHeight="1">
      <c r="A702" s="44"/>
      <c r="B702" s="88"/>
      <c r="C702" s="96"/>
      <c r="G702" s="96"/>
      <c r="H702" s="108"/>
      <c r="I702" s="96"/>
      <c r="J702" s="96"/>
      <c r="Q702" s="44"/>
      <c r="R702" s="44"/>
      <c r="S702" s="44"/>
      <c r="T702" s="44"/>
      <c r="U702" s="44"/>
      <c r="V702" s="44"/>
      <c r="W702" s="44"/>
      <c r="X702" s="44"/>
      <c r="Y702" s="44"/>
      <c r="Z702" s="44"/>
    </row>
    <row r="703" spans="1:26" ht="15.75" customHeight="1">
      <c r="A703" s="44"/>
      <c r="B703" s="88"/>
      <c r="C703" s="96"/>
      <c r="G703" s="96"/>
      <c r="H703" s="108"/>
      <c r="I703" s="96"/>
      <c r="J703" s="96"/>
      <c r="Q703" s="44"/>
      <c r="R703" s="44"/>
      <c r="S703" s="44"/>
      <c r="T703" s="44"/>
      <c r="U703" s="44"/>
      <c r="V703" s="44"/>
      <c r="W703" s="44"/>
      <c r="X703" s="44"/>
      <c r="Y703" s="44"/>
      <c r="Z703" s="44"/>
    </row>
    <row r="704" spans="1:26" ht="15.75" customHeight="1">
      <c r="A704" s="44"/>
      <c r="B704" s="43"/>
      <c r="C704" s="96"/>
      <c r="G704" s="96"/>
      <c r="H704" s="109"/>
      <c r="I704" s="110"/>
      <c r="J704" s="96"/>
      <c r="Q704" s="44"/>
      <c r="R704" s="44"/>
      <c r="S704" s="44"/>
      <c r="T704" s="44"/>
      <c r="U704" s="44"/>
      <c r="V704" s="44"/>
      <c r="W704" s="44"/>
      <c r="X704" s="44"/>
      <c r="Y704" s="44"/>
      <c r="Z704" s="44"/>
    </row>
    <row r="705" spans="1:26" ht="15.75" customHeight="1">
      <c r="A705" s="44"/>
      <c r="B705" s="104"/>
      <c r="C705" s="96"/>
      <c r="G705" s="96"/>
      <c r="H705" s="111"/>
      <c r="I705" s="112"/>
      <c r="J705" s="96"/>
      <c r="Q705" s="44"/>
      <c r="R705" s="44"/>
      <c r="S705" s="44"/>
      <c r="T705" s="44"/>
      <c r="U705" s="44"/>
      <c r="V705" s="44"/>
      <c r="W705" s="44"/>
      <c r="X705" s="44"/>
      <c r="Y705" s="44"/>
      <c r="Z705" s="44"/>
    </row>
    <row r="706" spans="1:26" ht="15.75" customHeight="1">
      <c r="A706" s="44"/>
      <c r="B706" s="103"/>
      <c r="C706" s="96"/>
      <c r="G706" s="96"/>
      <c r="H706" s="107"/>
      <c r="I706" s="96"/>
      <c r="J706" s="96"/>
      <c r="Q706" s="44"/>
      <c r="R706" s="44"/>
      <c r="S706" s="44"/>
      <c r="T706" s="44"/>
      <c r="U706" s="44"/>
      <c r="V706" s="44"/>
      <c r="W706" s="44"/>
      <c r="X706" s="44"/>
      <c r="Y706" s="44"/>
      <c r="Z706" s="44"/>
    </row>
    <row r="707" spans="1:26" ht="15.75" customHeight="1">
      <c r="A707" s="44"/>
      <c r="B707" s="88"/>
      <c r="C707" s="96"/>
      <c r="G707" s="96"/>
      <c r="H707" s="108"/>
      <c r="I707" s="96"/>
      <c r="J707" s="96"/>
      <c r="Q707" s="44"/>
      <c r="R707" s="44"/>
      <c r="S707" s="44"/>
      <c r="T707" s="44"/>
      <c r="U707" s="44"/>
      <c r="V707" s="44"/>
      <c r="W707" s="44"/>
      <c r="X707" s="44"/>
      <c r="Y707" s="44"/>
      <c r="Z707" s="44"/>
    </row>
    <row r="708" spans="1:26" ht="15.75" customHeight="1">
      <c r="A708" s="44"/>
      <c r="B708" s="88"/>
      <c r="C708" s="96"/>
      <c r="G708" s="96"/>
      <c r="H708" s="108"/>
      <c r="I708" s="96"/>
      <c r="J708" s="96"/>
      <c r="Q708" s="44"/>
      <c r="R708" s="44"/>
      <c r="S708" s="44"/>
      <c r="T708" s="44"/>
      <c r="U708" s="44"/>
      <c r="V708" s="44"/>
      <c r="W708" s="44"/>
      <c r="X708" s="44"/>
      <c r="Y708" s="44"/>
      <c r="Z708" s="44"/>
    </row>
    <row r="709" spans="1:26" ht="15.75" customHeight="1">
      <c r="A709" s="44"/>
      <c r="B709" s="88"/>
      <c r="C709" s="96"/>
      <c r="G709" s="96"/>
      <c r="H709" s="108"/>
      <c r="I709" s="96"/>
      <c r="J709" s="96"/>
      <c r="Q709" s="44"/>
      <c r="R709" s="44"/>
      <c r="S709" s="44"/>
      <c r="T709" s="44"/>
      <c r="U709" s="44"/>
      <c r="V709" s="44"/>
      <c r="W709" s="44"/>
      <c r="X709" s="44"/>
      <c r="Y709" s="44"/>
      <c r="Z709" s="44"/>
    </row>
    <row r="710" spans="1:26" ht="15.75" customHeight="1">
      <c r="A710" s="44"/>
      <c r="B710" s="43"/>
      <c r="C710" s="96"/>
      <c r="G710" s="96"/>
      <c r="H710" s="109"/>
      <c r="I710" s="110"/>
      <c r="J710" s="96"/>
      <c r="Q710" s="44"/>
      <c r="R710" s="44"/>
      <c r="S710" s="44"/>
      <c r="T710" s="44"/>
      <c r="U710" s="44"/>
      <c r="V710" s="44"/>
      <c r="W710" s="44"/>
      <c r="X710" s="44"/>
      <c r="Y710" s="44"/>
      <c r="Z710" s="44"/>
    </row>
    <row r="711" spans="1:26" ht="15.75" customHeight="1">
      <c r="A711" s="44"/>
      <c r="B711" s="104"/>
      <c r="C711" s="96"/>
      <c r="G711" s="96"/>
      <c r="H711" s="111"/>
      <c r="I711" s="112"/>
      <c r="J711" s="96"/>
      <c r="Q711" s="44"/>
      <c r="R711" s="44"/>
      <c r="S711" s="44"/>
      <c r="T711" s="44"/>
      <c r="U711" s="44"/>
      <c r="V711" s="44"/>
      <c r="W711" s="44"/>
      <c r="X711" s="44"/>
      <c r="Y711" s="44"/>
      <c r="Z711" s="44"/>
    </row>
    <row r="712" spans="1:26" ht="15.75" customHeight="1">
      <c r="A712" s="44"/>
      <c r="B712" s="103"/>
      <c r="C712" s="96"/>
      <c r="G712" s="96"/>
      <c r="H712" s="107"/>
      <c r="I712" s="96"/>
      <c r="J712" s="96"/>
      <c r="Q712" s="44"/>
      <c r="R712" s="44"/>
      <c r="S712" s="44"/>
      <c r="T712" s="44"/>
      <c r="U712" s="44"/>
      <c r="V712" s="44"/>
      <c r="W712" s="44"/>
      <c r="X712" s="44"/>
      <c r="Y712" s="44"/>
      <c r="Z712" s="44"/>
    </row>
    <row r="713" spans="1:26" ht="15.75" customHeight="1">
      <c r="A713" s="44"/>
      <c r="B713" s="88"/>
      <c r="C713" s="96"/>
      <c r="G713" s="96"/>
      <c r="H713" s="108"/>
      <c r="I713" s="96"/>
      <c r="J713" s="96"/>
      <c r="Q713" s="44"/>
      <c r="R713" s="44"/>
      <c r="S713" s="44"/>
      <c r="T713" s="44"/>
      <c r="U713" s="44"/>
      <c r="V713" s="44"/>
      <c r="W713" s="44"/>
      <c r="X713" s="44"/>
      <c r="Y713" s="44"/>
      <c r="Z713" s="44"/>
    </row>
    <row r="714" spans="1:26" ht="15.75" customHeight="1">
      <c r="A714" s="44"/>
      <c r="B714" s="88"/>
      <c r="C714" s="96"/>
      <c r="G714" s="96"/>
      <c r="H714" s="108"/>
      <c r="I714" s="96"/>
      <c r="J714" s="96"/>
      <c r="Q714" s="44"/>
      <c r="R714" s="44"/>
      <c r="S714" s="44"/>
      <c r="T714" s="44"/>
      <c r="U714" s="44"/>
      <c r="V714" s="44"/>
      <c r="W714" s="44"/>
      <c r="X714" s="44"/>
      <c r="Y714" s="44"/>
      <c r="Z714" s="44"/>
    </row>
    <row r="715" spans="1:26" ht="15.75" customHeight="1">
      <c r="A715" s="44"/>
      <c r="B715" s="88"/>
      <c r="C715" s="96"/>
      <c r="G715" s="96"/>
      <c r="H715" s="108"/>
      <c r="I715" s="96"/>
      <c r="J715" s="96"/>
      <c r="Q715" s="44"/>
      <c r="R715" s="44"/>
      <c r="S715" s="44"/>
      <c r="T715" s="44"/>
      <c r="U715" s="44"/>
      <c r="V715" s="44"/>
      <c r="W715" s="44"/>
      <c r="X715" s="44"/>
      <c r="Y715" s="44"/>
      <c r="Z715" s="44"/>
    </row>
    <row r="716" spans="1:26" ht="15.75" customHeight="1">
      <c r="A716" s="44"/>
      <c r="B716" s="43"/>
      <c r="C716" s="96"/>
      <c r="G716" s="96"/>
      <c r="H716" s="109"/>
      <c r="I716" s="110"/>
      <c r="J716" s="96"/>
      <c r="Q716" s="44"/>
      <c r="R716" s="44"/>
      <c r="S716" s="44"/>
      <c r="T716" s="44"/>
      <c r="U716" s="44"/>
      <c r="V716" s="44"/>
      <c r="W716" s="44"/>
      <c r="X716" s="44"/>
      <c r="Y716" s="44"/>
      <c r="Z716" s="44"/>
    </row>
    <row r="717" spans="1:26" ht="15.75" customHeight="1">
      <c r="A717" s="44"/>
      <c r="B717" s="104"/>
      <c r="C717" s="96"/>
      <c r="G717" s="96"/>
      <c r="H717" s="111"/>
      <c r="I717" s="112"/>
      <c r="J717" s="96"/>
      <c r="Q717" s="44"/>
      <c r="R717" s="44"/>
      <c r="S717" s="44"/>
      <c r="T717" s="44"/>
      <c r="U717" s="44"/>
      <c r="V717" s="44"/>
      <c r="W717" s="44"/>
      <c r="X717" s="44"/>
      <c r="Y717" s="44"/>
      <c r="Z717" s="44"/>
    </row>
    <row r="718" spans="1:26" ht="15.75" customHeight="1">
      <c r="A718" s="44"/>
      <c r="B718" s="103"/>
      <c r="C718" s="96"/>
      <c r="G718" s="96"/>
      <c r="H718" s="107"/>
      <c r="I718" s="96"/>
      <c r="J718" s="96"/>
      <c r="Q718" s="44"/>
      <c r="R718" s="44"/>
      <c r="S718" s="44"/>
      <c r="T718" s="44"/>
      <c r="U718" s="44"/>
      <c r="V718" s="44"/>
      <c r="W718" s="44"/>
      <c r="X718" s="44"/>
      <c r="Y718" s="44"/>
      <c r="Z718" s="44"/>
    </row>
    <row r="719" spans="1:26" ht="15.75" customHeight="1">
      <c r="A719" s="44"/>
      <c r="B719" s="88"/>
      <c r="C719" s="96"/>
      <c r="G719" s="96"/>
      <c r="H719" s="108"/>
      <c r="I719" s="96"/>
      <c r="J719" s="96"/>
      <c r="Q719" s="44"/>
      <c r="R719" s="44"/>
      <c r="S719" s="44"/>
      <c r="T719" s="44"/>
      <c r="U719" s="44"/>
      <c r="V719" s="44"/>
      <c r="W719" s="44"/>
      <c r="X719" s="44"/>
      <c r="Y719" s="44"/>
      <c r="Z719" s="44"/>
    </row>
    <row r="720" spans="1:26" ht="15.75" customHeight="1">
      <c r="A720" s="44"/>
      <c r="B720" s="88"/>
      <c r="C720" s="96"/>
      <c r="G720" s="96"/>
      <c r="H720" s="108"/>
      <c r="I720" s="96"/>
      <c r="J720" s="96"/>
      <c r="Q720" s="44"/>
      <c r="R720" s="44"/>
      <c r="S720" s="44"/>
      <c r="T720" s="44"/>
      <c r="U720" s="44"/>
      <c r="V720" s="44"/>
      <c r="W720" s="44"/>
      <c r="X720" s="44"/>
      <c r="Y720" s="44"/>
      <c r="Z720" s="44"/>
    </row>
    <row r="721" spans="1:26" ht="15.75" customHeight="1">
      <c r="A721" s="44"/>
      <c r="B721" s="88"/>
      <c r="C721" s="96"/>
      <c r="G721" s="96"/>
      <c r="H721" s="108"/>
      <c r="I721" s="96"/>
      <c r="J721" s="96"/>
      <c r="Q721" s="44"/>
      <c r="R721" s="44"/>
      <c r="S721" s="44"/>
      <c r="T721" s="44"/>
      <c r="U721" s="44"/>
      <c r="V721" s="44"/>
      <c r="W721" s="44"/>
      <c r="X721" s="44"/>
      <c r="Y721" s="44"/>
      <c r="Z721" s="44"/>
    </row>
    <row r="722" spans="1:26" ht="15.75" customHeight="1">
      <c r="A722" s="44"/>
      <c r="B722" s="43"/>
      <c r="C722" s="96"/>
      <c r="G722" s="96"/>
      <c r="H722" s="109"/>
      <c r="I722" s="110"/>
      <c r="J722" s="96"/>
      <c r="Q722" s="44"/>
      <c r="R722" s="44"/>
      <c r="S722" s="44"/>
      <c r="T722" s="44"/>
      <c r="U722" s="44"/>
      <c r="V722" s="44"/>
      <c r="W722" s="44"/>
      <c r="X722" s="44"/>
      <c r="Y722" s="44"/>
      <c r="Z722" s="44"/>
    </row>
    <row r="723" spans="1:26" ht="15.75" customHeight="1">
      <c r="A723" s="44"/>
      <c r="B723" s="44"/>
      <c r="C723" s="96"/>
      <c r="E723" s="28"/>
      <c r="F723" s="28"/>
      <c r="G723" s="96"/>
      <c r="H723" s="113"/>
      <c r="I723" s="113"/>
      <c r="J723" s="96"/>
      <c r="Q723" s="44"/>
      <c r="R723" s="44"/>
      <c r="S723" s="44"/>
      <c r="T723" s="44"/>
      <c r="U723" s="44"/>
      <c r="V723" s="44"/>
      <c r="W723" s="44"/>
      <c r="X723" s="44"/>
      <c r="Y723" s="44"/>
      <c r="Z723" s="44"/>
    </row>
    <row r="724" spans="1:26" ht="15.75" customHeight="1">
      <c r="A724" s="44"/>
      <c r="B724" s="44"/>
      <c r="C724" s="96"/>
      <c r="E724" s="28"/>
      <c r="F724" s="28"/>
      <c r="G724" s="96"/>
      <c r="H724" s="107"/>
      <c r="I724" s="96"/>
      <c r="J724" s="96"/>
      <c r="Q724" s="44"/>
      <c r="R724" s="44"/>
      <c r="S724" s="44"/>
      <c r="T724" s="44"/>
      <c r="U724" s="44"/>
      <c r="V724" s="44"/>
      <c r="W724" s="44"/>
      <c r="X724" s="44"/>
      <c r="Y724" s="44"/>
      <c r="Z724" s="44"/>
    </row>
    <row r="725" spans="1:26" ht="15.75" customHeight="1">
      <c r="A725" s="44"/>
      <c r="B725" s="44"/>
      <c r="C725" s="96"/>
      <c r="E725" s="28"/>
      <c r="F725" s="28"/>
      <c r="G725" s="96"/>
      <c r="H725" s="108"/>
      <c r="I725" s="96"/>
      <c r="J725" s="96"/>
      <c r="Q725" s="44"/>
      <c r="R725" s="44"/>
      <c r="S725" s="44"/>
      <c r="T725" s="44"/>
      <c r="U725" s="44"/>
      <c r="V725" s="44"/>
      <c r="W725" s="44"/>
      <c r="X725" s="44"/>
      <c r="Y725" s="44"/>
      <c r="Z725" s="44"/>
    </row>
    <row r="726" spans="1:26" ht="15.75" customHeight="1">
      <c r="A726" s="44"/>
      <c r="B726" s="44"/>
      <c r="C726" s="96"/>
      <c r="E726" s="28"/>
      <c r="F726" s="28"/>
      <c r="G726" s="96"/>
      <c r="H726" s="108"/>
      <c r="I726" s="96"/>
      <c r="J726" s="96"/>
      <c r="Q726" s="44"/>
      <c r="R726" s="44"/>
      <c r="S726" s="44"/>
      <c r="T726" s="44"/>
      <c r="U726" s="44"/>
      <c r="V726" s="44"/>
      <c r="W726" s="44"/>
      <c r="X726" s="44"/>
      <c r="Y726" s="44"/>
      <c r="Z726" s="44"/>
    </row>
    <row r="727" spans="1:26" ht="15.75" customHeight="1">
      <c r="A727" s="44"/>
      <c r="B727" s="44"/>
      <c r="C727" s="96"/>
      <c r="E727" s="28"/>
      <c r="F727" s="28"/>
      <c r="G727" s="96"/>
      <c r="H727" s="108"/>
      <c r="I727" s="96"/>
      <c r="J727" s="96"/>
      <c r="Q727" s="44"/>
      <c r="R727" s="44"/>
      <c r="S727" s="44"/>
      <c r="T727" s="44"/>
      <c r="U727" s="44"/>
      <c r="V727" s="44"/>
      <c r="W727" s="44"/>
      <c r="X727" s="44"/>
      <c r="Y727" s="44"/>
      <c r="Z727" s="44"/>
    </row>
    <row r="728" spans="1:26" ht="15.75" customHeight="1">
      <c r="A728" s="44"/>
      <c r="B728" s="44"/>
      <c r="C728" s="96"/>
      <c r="E728" s="28"/>
      <c r="F728" s="28"/>
      <c r="G728" s="96"/>
      <c r="H728" s="109"/>
      <c r="I728" s="110"/>
      <c r="J728" s="96"/>
      <c r="Q728" s="44"/>
      <c r="R728" s="44"/>
      <c r="S728" s="44"/>
      <c r="T728" s="44"/>
      <c r="U728" s="44"/>
      <c r="V728" s="44"/>
      <c r="W728" s="44"/>
      <c r="X728" s="44"/>
      <c r="Y728" s="44"/>
      <c r="Z728" s="44"/>
    </row>
    <row r="729" spans="1:26" ht="15.75" customHeight="1">
      <c r="A729" s="44"/>
      <c r="B729" s="44"/>
      <c r="C729" s="96"/>
      <c r="E729" s="28"/>
      <c r="F729" s="45"/>
      <c r="G729" s="96"/>
      <c r="H729" s="109"/>
      <c r="I729" s="110"/>
      <c r="J729" s="96"/>
      <c r="Q729" s="44"/>
      <c r="R729" s="44"/>
      <c r="S729" s="44"/>
      <c r="T729" s="44"/>
      <c r="U729" s="44"/>
      <c r="V729" s="44"/>
      <c r="W729" s="44"/>
      <c r="X729" s="44"/>
      <c r="Y729" s="44"/>
      <c r="Z729" s="44"/>
    </row>
    <row r="730" spans="1:26" ht="15.75" customHeight="1">
      <c r="A730" s="44"/>
      <c r="B730" s="43"/>
      <c r="C730" s="96"/>
      <c r="G730" s="96"/>
      <c r="H730" s="109"/>
      <c r="I730" s="96"/>
      <c r="J730" s="96"/>
      <c r="Q730" s="44"/>
      <c r="R730" s="44"/>
      <c r="S730" s="44"/>
      <c r="T730" s="44"/>
      <c r="U730" s="44"/>
      <c r="V730" s="44"/>
      <c r="W730" s="44"/>
      <c r="X730" s="44"/>
      <c r="Y730" s="44"/>
      <c r="Z730" s="44"/>
    </row>
    <row r="731" spans="1:26" ht="15.75" customHeight="1">
      <c r="A731" s="44"/>
      <c r="B731" s="88"/>
      <c r="C731" s="96"/>
      <c r="G731" s="96"/>
      <c r="H731" s="108"/>
      <c r="I731" s="112"/>
      <c r="J731" s="96"/>
      <c r="Q731" s="44"/>
      <c r="R731" s="44"/>
      <c r="S731" s="44"/>
      <c r="T731" s="44"/>
      <c r="U731" s="44"/>
      <c r="V731" s="44"/>
      <c r="W731" s="44"/>
      <c r="X731" s="44"/>
      <c r="Y731" s="44"/>
      <c r="Z731" s="44"/>
    </row>
    <row r="732" spans="1:26" ht="15.75" customHeight="1">
      <c r="A732" s="44"/>
      <c r="B732" s="88"/>
      <c r="C732" s="96"/>
      <c r="G732" s="96"/>
      <c r="H732" s="108"/>
      <c r="I732" s="112"/>
      <c r="J732" s="96"/>
      <c r="Q732" s="44"/>
      <c r="R732" s="44"/>
      <c r="S732" s="44"/>
      <c r="T732" s="44"/>
      <c r="U732" s="44"/>
      <c r="V732" s="44"/>
      <c r="W732" s="44"/>
      <c r="X732" s="44"/>
      <c r="Y732" s="44"/>
      <c r="Z732" s="44"/>
    </row>
    <row r="733" spans="1:26" ht="15.75" customHeight="1">
      <c r="A733" s="44"/>
      <c r="B733" s="88"/>
      <c r="C733" s="96"/>
      <c r="G733" s="96"/>
      <c r="H733" s="108"/>
      <c r="I733" s="112"/>
      <c r="J733" s="96"/>
      <c r="Q733" s="44"/>
      <c r="R733" s="44"/>
      <c r="S733" s="44"/>
      <c r="T733" s="44"/>
      <c r="U733" s="44"/>
      <c r="V733" s="44"/>
      <c r="W733" s="44"/>
      <c r="X733" s="44"/>
      <c r="Y733" s="44"/>
      <c r="Z733" s="44"/>
    </row>
    <row r="734" spans="1:26" ht="15.75" customHeight="1">
      <c r="A734" s="44"/>
      <c r="B734" s="43"/>
      <c r="C734" s="96"/>
      <c r="G734" s="96"/>
      <c r="H734" s="109"/>
      <c r="I734" s="110"/>
      <c r="J734" s="96"/>
      <c r="Q734" s="44"/>
      <c r="R734" s="44"/>
      <c r="S734" s="44"/>
      <c r="T734" s="44"/>
      <c r="U734" s="44"/>
      <c r="V734" s="44"/>
      <c r="W734" s="44"/>
      <c r="X734" s="44"/>
      <c r="Y734" s="44"/>
      <c r="Z734" s="44"/>
    </row>
    <row r="735" spans="1:26" ht="15.75" customHeight="1">
      <c r="A735" s="44"/>
      <c r="B735" s="44"/>
      <c r="C735" s="44"/>
      <c r="D735" s="44"/>
      <c r="E735" s="45"/>
      <c r="F735" s="45"/>
      <c r="G735" s="44"/>
      <c r="H735" s="113"/>
      <c r="I735" s="113"/>
      <c r="J735" s="44"/>
      <c r="K735" s="44"/>
      <c r="L735" s="46"/>
      <c r="M735" s="46"/>
      <c r="N735" s="47"/>
      <c r="O735" s="47"/>
      <c r="P735" s="47"/>
      <c r="Q735" s="44"/>
      <c r="R735" s="44"/>
      <c r="S735" s="44"/>
      <c r="T735" s="44"/>
      <c r="U735" s="44"/>
      <c r="V735" s="44"/>
      <c r="W735" s="44"/>
      <c r="X735" s="44"/>
      <c r="Y735" s="44"/>
      <c r="Z735" s="44"/>
    </row>
    <row r="736" spans="1:26" ht="15.75" customHeight="1">
      <c r="A736" s="44"/>
      <c r="B736" s="44"/>
      <c r="C736" s="44"/>
      <c r="D736" s="44"/>
      <c r="E736" s="45"/>
      <c r="F736" s="45"/>
      <c r="G736" s="44"/>
      <c r="H736" s="113"/>
      <c r="I736" s="113"/>
      <c r="J736" s="44"/>
      <c r="K736" s="44"/>
      <c r="L736" s="44"/>
      <c r="M736" s="44"/>
      <c r="N736" s="44"/>
      <c r="O736" s="44"/>
      <c r="P736" s="44"/>
      <c r="Q736" s="44"/>
      <c r="R736" s="44"/>
      <c r="S736" s="44"/>
      <c r="T736" s="44"/>
      <c r="U736" s="44"/>
      <c r="V736" s="44"/>
      <c r="W736" s="44"/>
      <c r="X736" s="44"/>
      <c r="Y736" s="44"/>
      <c r="Z736" s="44"/>
    </row>
    <row r="737" spans="7:10" ht="15" customHeight="1">
      <c r="G737" s="96"/>
      <c r="H737" s="96"/>
      <c r="I737" s="96"/>
      <c r="J737" s="96"/>
    </row>
    <row r="738" spans="7:10" ht="15" customHeight="1">
      <c r="G738" s="96"/>
      <c r="H738" s="96"/>
      <c r="I738" s="96"/>
      <c r="J738" s="96"/>
    </row>
    <row r="739" spans="7:10" ht="15" customHeight="1">
      <c r="H739" s="96"/>
      <c r="I739" s="96"/>
    </row>
  </sheetData>
  <mergeCells count="18">
    <mergeCell ref="B652:F652"/>
    <mergeCell ref="H652:L652"/>
    <mergeCell ref="H2:H3"/>
    <mergeCell ref="I2:I3"/>
    <mergeCell ref="J2:J3"/>
    <mergeCell ref="K2:K3"/>
    <mergeCell ref="B2:B3"/>
    <mergeCell ref="C2:C3"/>
    <mergeCell ref="D2:D3"/>
    <mergeCell ref="E2:E3"/>
    <mergeCell ref="G2:G3"/>
    <mergeCell ref="F2:F3"/>
    <mergeCell ref="R2:U2"/>
    <mergeCell ref="L2:L3"/>
    <mergeCell ref="M2:M3"/>
    <mergeCell ref="N2:N3"/>
    <mergeCell ref="O2:O3"/>
    <mergeCell ref="P2:P3"/>
  </mergeCells>
  <conditionalFormatting sqref="B671:B673 H671:H673 B677:B679 H677:H679 B683:B685 H683:H685 B689:B691 H689:H691 B695:B697 H695:H697 B701:B703 H701:H703 B707:B709 H707:H709 B713:B715 H713:H715 B719:B721 H719:H721 B731:B733 H731:H733 G4:G650 B653:E653 H653:K653">
    <cfRule type="cellIs" dxfId="5" priority="1681" operator="equal">
      <formula>"Premium"</formula>
    </cfRule>
    <cfRule type="cellIs" dxfId="4" priority="1682" operator="equal">
      <formula>"Regular"</formula>
    </cfRule>
    <cfRule type="cellIs" dxfId="3" priority="1683" operator="equal">
      <formula>"Diesel"</formula>
    </cfRule>
  </conditionalFormatting>
  <conditionalFormatting sqref="H725:H727">
    <cfRule type="cellIs" dxfId="2" priority="1" operator="equal">
      <formula>"Premium"</formula>
    </cfRule>
    <cfRule type="cellIs" dxfId="1" priority="2" operator="equal">
      <formula>"Regular"</formula>
    </cfRule>
    <cfRule type="cellIs" dxfId="0" priority="3" operator="equal">
      <formula>"Diesel"</formula>
    </cfRule>
  </conditionalFormatting>
  <dataValidations count="1">
    <dataValidation allowBlank="1" showInputMessage="1" showErrorMessage="1" sqref="H4:H650 B653 B652:F652 H653 H652:L652" xr:uid="{2AC05B7F-34C9-47EB-AE0F-7682B9902658}"/>
  </dataValidations>
  <pageMargins left="0.7" right="0.7" top="0.75" bottom="0.75" header="0" footer="0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ErrorMessage="1" xr:uid="{00000000-0002-0000-0200-000001000000}">
          <x14:formula1>
            <xm:f>Listas!$C$5:$C$17</xm:f>
          </x14:formula1>
          <xm:sqref>B654:B666 H687:H688 H724 B669:B670 H669:H670 B675:B676 H675:H676 B681:B682 H681:H682 B687:B688 B4:B651 B693:B694 H693:H694 B699:B700 H699:H700 B705:B706 H705:H706 B711:B712 H711:H712 B717:B718 H717:H718 H654:H666</xm:sqref>
        </x14:dataValidation>
        <x14:dataValidation type="list" allowBlank="1" showErrorMessage="1" xr:uid="{B0EADE6B-76A1-4415-8BCF-B80512D805B6}">
          <x14:formula1>
            <xm:f>Listas!$H$16:$H$18</xm:f>
          </x14:formula1>
          <xm:sqref>E4:E650</xm:sqref>
        </x14:dataValidation>
        <x14:dataValidation type="list" allowBlank="1" xr:uid="{EFA3BFAE-F668-4DF0-95A5-1BD1251C5FCD}">
          <x14:formula1>
            <xm:f>Listas!$C$21:$C$51</xm:f>
          </x14:formula1>
          <xm:sqref>C4:C650</xm:sqref>
        </x14:dataValidation>
        <x14:dataValidation type="list" allowBlank="1" showErrorMessage="1" xr:uid="{5205FA17-1471-4D3D-9B48-F696E48079B5}">
          <x14:formula1>
            <xm:f>Listas!$J$16:$J$18</xm:f>
          </x14:formula1>
          <xm:sqref>G4:G650</xm:sqref>
        </x14:dataValidation>
        <x14:dataValidation type="list" allowBlank="1" showErrorMessage="1" xr:uid="{14189007-4EB4-4039-950C-79C437A46940}">
          <x14:formula1>
            <xm:f>Listas!$D$4:$F$4</xm:f>
          </x14:formula1>
          <xm:sqref>F4:F650</xm:sqref>
        </x14:dataValidation>
        <x14:dataValidation type="list" allowBlank="1" showErrorMessage="1" xr:uid="{00000000-0002-0000-0200-000003000000}">
          <x14:formula1>
            <xm:f>Listas!#REF!</xm:f>
          </x14:formula1>
          <xm:sqref>H725:H727 H731:H733 B731:B733 H719:H721 B719:B721 H713:H715 B713:B715 H707:H709 B707:B709 H701:H703 B701:B703 H695:H697 B695:B697 H689:H691 B689:B691 H683:H685 B683:B685 H677:H679 B677:B679 H671:H673 B671:B673 C653:E653 I653:K653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2024-03-12T21:15:51Z</dcterms:created>
  <dcterms:modified xsi:type="dcterms:W3CDTF">2024-08-19T17:39:45Z</dcterms:modified>
  <cp:category/>
  <cp:contentStatus/>
</cp:coreProperties>
</file>