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 Smith\Dropbox (Turing Pharma)\TuringPharma Shared Drive\Models\"/>
    </mc:Choice>
  </mc:AlternateContent>
  <bookViews>
    <workbookView xWindow="0" yWindow="0" windowWidth="13815" windowHeight="10065" activeTab="1"/>
  </bookViews>
  <sheets>
    <sheet name="Main" sheetId="1" r:id="rId1"/>
    <sheet name="Model" sheetId="10" r:id="rId2"/>
    <sheet name="Sheet1" sheetId="11" r:id="rId3"/>
    <sheet name="VM501" sheetId="3" r:id="rId4"/>
    <sheet name="VM202" sheetId="4" r:id="rId5"/>
    <sheet name="VM206" sheetId="5" r:id="rId6"/>
    <sheet name="HX106" sheetId="8" r:id="rId7"/>
    <sheet name="HX811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10" l="1"/>
  <c r="Y27" i="10"/>
  <c r="X27" i="10"/>
  <c r="W27" i="10"/>
  <c r="V27" i="10"/>
  <c r="U27" i="10"/>
  <c r="T27" i="10"/>
  <c r="S27" i="10"/>
  <c r="R27" i="10"/>
  <c r="Q27" i="10"/>
  <c r="P27" i="10"/>
  <c r="Z25" i="10"/>
  <c r="Y25" i="10"/>
  <c r="X25" i="10"/>
  <c r="W25" i="10"/>
  <c r="V25" i="10"/>
  <c r="U25" i="10"/>
  <c r="T25" i="10"/>
  <c r="S25" i="10"/>
  <c r="R25" i="10"/>
  <c r="Q25" i="10"/>
  <c r="P25" i="10"/>
  <c r="W21" i="10"/>
  <c r="S21" i="10"/>
  <c r="Z20" i="10"/>
  <c r="Z21" i="10" s="1"/>
  <c r="Y20" i="10"/>
  <c r="Y21" i="10" s="1"/>
  <c r="X20" i="10"/>
  <c r="X21" i="10" s="1"/>
  <c r="W20" i="10"/>
  <c r="V20" i="10"/>
  <c r="V21" i="10" s="1"/>
  <c r="U20" i="10"/>
  <c r="U21" i="10" s="1"/>
  <c r="T20" i="10"/>
  <c r="T21" i="10" s="1"/>
  <c r="S20" i="10"/>
  <c r="R20" i="10"/>
  <c r="R21" i="10" s="1"/>
  <c r="Q20" i="10"/>
  <c r="Q21" i="10" s="1"/>
  <c r="P20" i="10"/>
  <c r="P21" i="10" s="1"/>
  <c r="Z17" i="10"/>
  <c r="Y17" i="10"/>
  <c r="X17" i="10"/>
  <c r="W17" i="10"/>
  <c r="V17" i="10"/>
  <c r="U17" i="10"/>
  <c r="T17" i="10"/>
  <c r="S17" i="10"/>
  <c r="R17" i="10"/>
  <c r="Q17" i="10"/>
  <c r="O18" i="10"/>
  <c r="N18" i="10"/>
  <c r="P17" i="10"/>
  <c r="Y15" i="10"/>
  <c r="T15" i="10"/>
  <c r="S15" i="10"/>
  <c r="R15" i="10"/>
  <c r="Q15" i="10"/>
  <c r="P15" i="10"/>
  <c r="O10" i="10"/>
  <c r="N10" i="10"/>
  <c r="W15" i="10"/>
  <c r="Z12" i="10"/>
  <c r="Y12" i="10"/>
  <c r="X12" i="10"/>
  <c r="W12" i="10"/>
  <c r="V12" i="10"/>
  <c r="U12" i="10"/>
  <c r="T12" i="10"/>
  <c r="S12" i="10"/>
  <c r="R12" i="10"/>
  <c r="Q12" i="10"/>
  <c r="P12" i="10"/>
  <c r="Z2" i="10"/>
  <c r="Q2" i="10"/>
  <c r="R2" i="10" s="1"/>
  <c r="S2" i="10" s="1"/>
  <c r="T2" i="10" s="1"/>
  <c r="U2" i="10" s="1"/>
  <c r="V2" i="10" s="1"/>
  <c r="W2" i="10" s="1"/>
  <c r="X2" i="10" s="1"/>
  <c r="Y2" i="10" s="1"/>
  <c r="P2" i="10"/>
  <c r="Z15" i="10" l="1"/>
  <c r="X15" i="10"/>
  <c r="U15" i="10"/>
  <c r="F7" i="10"/>
  <c r="F6" i="10"/>
  <c r="E24" i="10"/>
  <c r="E11" i="10"/>
  <c r="E13" i="10"/>
  <c r="E9" i="10"/>
  <c r="E6" i="10"/>
  <c r="D24" i="10"/>
  <c r="H20" i="10"/>
  <c r="G20" i="10"/>
  <c r="F20" i="10"/>
  <c r="E20" i="10"/>
  <c r="D20" i="10"/>
  <c r="C20" i="10"/>
  <c r="D11" i="10"/>
  <c r="D6" i="10"/>
  <c r="D10" i="10"/>
  <c r="E10" i="10" s="1"/>
  <c r="D7" i="10"/>
  <c r="E7" i="10" s="1"/>
  <c r="N7" i="10" s="1"/>
  <c r="D8" i="10"/>
  <c r="D9" i="10"/>
  <c r="D13" i="10"/>
  <c r="N13" i="10" s="1"/>
  <c r="O24" i="10"/>
  <c r="O23" i="10"/>
  <c r="N23" i="10"/>
  <c r="O22" i="10"/>
  <c r="N22" i="10"/>
  <c r="O19" i="10"/>
  <c r="O20" i="10" s="1"/>
  <c r="N19" i="10"/>
  <c r="N20" i="10" s="1"/>
  <c r="O16" i="10"/>
  <c r="N16" i="10"/>
  <c r="O13" i="10"/>
  <c r="O11" i="10"/>
  <c r="O9" i="10"/>
  <c r="O8" i="10"/>
  <c r="O7" i="10"/>
  <c r="O6" i="10"/>
  <c r="O2" i="10"/>
  <c r="V15" i="10" l="1"/>
  <c r="E8" i="10"/>
  <c r="N8" i="10" s="1"/>
  <c r="N24" i="10"/>
  <c r="N11" i="10"/>
  <c r="N9" i="10"/>
  <c r="N6" i="10"/>
  <c r="O12" i="10"/>
  <c r="O15" i="10" s="1"/>
  <c r="O17" i="10" s="1"/>
  <c r="O21" i="10" s="1"/>
  <c r="N12" i="10" l="1"/>
  <c r="N15" i="10" s="1"/>
  <c r="N17" i="10" s="1"/>
  <c r="N21" i="10" s="1"/>
  <c r="N25" i="10" s="1"/>
  <c r="N27" i="10" s="1"/>
  <c r="O25" i="10"/>
  <c r="O27" i="10" s="1"/>
  <c r="J12" i="10"/>
  <c r="I12" i="10"/>
  <c r="K5" i="1"/>
  <c r="G52" i="10" l="1"/>
  <c r="F52" i="10"/>
  <c r="E52" i="10"/>
  <c r="D52" i="10"/>
  <c r="C52" i="10"/>
  <c r="F47" i="10"/>
  <c r="G46" i="10"/>
  <c r="F46" i="10"/>
  <c r="E46" i="10"/>
  <c r="C46" i="10"/>
  <c r="G43" i="10"/>
  <c r="F43" i="10"/>
  <c r="E43" i="10"/>
  <c r="D43" i="10"/>
  <c r="D47" i="10" s="1"/>
  <c r="C43" i="10"/>
  <c r="C29" i="10"/>
  <c r="C33" i="10" s="1"/>
  <c r="D29" i="10"/>
  <c r="D33" i="10" s="1"/>
  <c r="E29" i="10"/>
  <c r="E33" i="10" s="1"/>
  <c r="E37" i="10"/>
  <c r="D37" i="10"/>
  <c r="C37" i="10"/>
  <c r="F37" i="10"/>
  <c r="F29" i="10"/>
  <c r="F33" i="10" s="1"/>
  <c r="G37" i="10"/>
  <c r="G29" i="10"/>
  <c r="G33" i="10" s="1"/>
  <c r="G38" i="10" s="1"/>
  <c r="H52" i="10"/>
  <c r="H53" i="10" s="1"/>
  <c r="H46" i="10"/>
  <c r="K7" i="1" s="1"/>
  <c r="H43" i="10"/>
  <c r="H37" i="10"/>
  <c r="H29" i="10"/>
  <c r="K6" i="1" s="1"/>
  <c r="C12" i="10"/>
  <c r="C15" i="10" s="1"/>
  <c r="C17" i="10" s="1"/>
  <c r="C21" i="10" s="1"/>
  <c r="E12" i="10"/>
  <c r="E15" i="10" s="1"/>
  <c r="E17" i="10" s="1"/>
  <c r="D12" i="10"/>
  <c r="D15" i="10" s="1"/>
  <c r="F12" i="10"/>
  <c r="F15" i="10" s="1"/>
  <c r="F17" i="10" s="1"/>
  <c r="G12" i="10"/>
  <c r="G15" i="10" s="1"/>
  <c r="G17" i="10" s="1"/>
  <c r="G21" i="10" s="1"/>
  <c r="H12" i="10"/>
  <c r="H15" i="10" s="1"/>
  <c r="H17" i="10" s="1"/>
  <c r="D17" i="10" l="1"/>
  <c r="D21" i="10" s="1"/>
  <c r="E21" i="10"/>
  <c r="G47" i="10"/>
  <c r="E47" i="10"/>
  <c r="C25" i="10"/>
  <c r="C27" i="10" s="1"/>
  <c r="C47" i="10"/>
  <c r="K8" i="1"/>
  <c r="G25" i="10"/>
  <c r="G27" i="10" s="1"/>
  <c r="H33" i="10"/>
  <c r="H38" i="10" s="1"/>
  <c r="H54" i="10" s="1"/>
  <c r="F53" i="10"/>
  <c r="C53" i="10"/>
  <c r="G53" i="10"/>
  <c r="G54" i="10" s="1"/>
  <c r="D38" i="10"/>
  <c r="E53" i="10"/>
  <c r="D53" i="10"/>
  <c r="C38" i="10"/>
  <c r="E38" i="10"/>
  <c r="F38" i="10"/>
  <c r="H21" i="10"/>
  <c r="F21" i="10"/>
  <c r="E25" i="10" l="1"/>
  <c r="E27" i="10" s="1"/>
  <c r="C54" i="10"/>
  <c r="F25" i="10"/>
  <c r="F27" i="10" s="1"/>
  <c r="D25" i="10"/>
  <c r="D27" i="10" s="1"/>
  <c r="H25" i="10"/>
  <c r="H27" i="10" s="1"/>
  <c r="E54" i="10"/>
  <c r="F54" i="10"/>
  <c r="D54" i="10"/>
</calcChain>
</file>

<file path=xl/sharedStrings.xml><?xml version="1.0" encoding="utf-8"?>
<sst xmlns="http://schemas.openxmlformats.org/spreadsheetml/2006/main" count="300" uniqueCount="201">
  <si>
    <t>VM206</t>
  </si>
  <si>
    <t>Indication</t>
  </si>
  <si>
    <t>Mech</t>
  </si>
  <si>
    <t>Phase</t>
  </si>
  <si>
    <t>VM202</t>
  </si>
  <si>
    <t xml:space="preserve">Territory </t>
  </si>
  <si>
    <t>Econ</t>
  </si>
  <si>
    <t>I</t>
  </si>
  <si>
    <t>Breast Cancer</t>
  </si>
  <si>
    <t>ALS</t>
  </si>
  <si>
    <t>Peripheral Artery Disease</t>
  </si>
  <si>
    <t>US</t>
  </si>
  <si>
    <t>US, Korea, China</t>
  </si>
  <si>
    <t>Coronary Artery Disease</t>
  </si>
  <si>
    <t>Korea</t>
  </si>
  <si>
    <t>VM501</t>
  </si>
  <si>
    <t>Chemotherapy-induced Thrombocytopenia</t>
  </si>
  <si>
    <t>Atopic dermatitis</t>
  </si>
  <si>
    <t>China</t>
  </si>
  <si>
    <t>Osteoarthritis</t>
  </si>
  <si>
    <t>Approved</t>
  </si>
  <si>
    <t>III</t>
  </si>
  <si>
    <t>II</t>
  </si>
  <si>
    <t>Name</t>
  </si>
  <si>
    <t>Admin</t>
  </si>
  <si>
    <t>Nutreceuticals</t>
  </si>
  <si>
    <t>Drugs</t>
  </si>
  <si>
    <t>Hyper immune response</t>
  </si>
  <si>
    <t>HX811</t>
  </si>
  <si>
    <t>Joint Health improvement</t>
  </si>
  <si>
    <t>HX106</t>
  </si>
  <si>
    <t>Memory improvement</t>
  </si>
  <si>
    <t>Working memory improvement</t>
  </si>
  <si>
    <t>Brand Name</t>
  </si>
  <si>
    <t>Generic Name</t>
  </si>
  <si>
    <t>Diagnosis</t>
  </si>
  <si>
    <t>Mechanism</t>
  </si>
  <si>
    <t>Molecule</t>
  </si>
  <si>
    <t>Administration</t>
  </si>
  <si>
    <t>Economics</t>
  </si>
  <si>
    <t>History</t>
  </si>
  <si>
    <t>IP</t>
  </si>
  <si>
    <t>Competition</t>
  </si>
  <si>
    <t>Clinical Trials</t>
  </si>
  <si>
    <t>Main</t>
  </si>
  <si>
    <t>IM</t>
  </si>
  <si>
    <t>HGF-X7 encodes two isoforms of HGF, HGF723 and HGF728</t>
  </si>
  <si>
    <t>ODD for ALS</t>
  </si>
  <si>
    <t>Phase 2 n=52 Safety and Efficacy in patients with Critical Limb Ischhemia</t>
  </si>
  <si>
    <t>Endpoints:</t>
  </si>
  <si>
    <t>Mean change in Ankle Brachial Index (baseline to 9 months) - high dose 0.095, low dose 0.052, placebo 0.0004, p= not significant</t>
  </si>
  <si>
    <t>Number of patients with Ulcer healing (50% or more reduction) - high dose 7/8 (88%), low dose 10/13 (77%), placebo 1/5 (20%), p&lt;0.05 for placebo vs high or low dose</t>
  </si>
  <si>
    <t>Transcutaneous Oxygen Pressure (TcPO2) Level  - "significantly improved in high dose group vs low dose and vs placebo"</t>
  </si>
  <si>
    <t>Number of patients with improved Visual Analog Scale for pain at rest - high dose 14/20 (70%), low dose 11/21 (52%), placebo 4/11 (36%), p = not significant</t>
  </si>
  <si>
    <t>Safety:</t>
  </si>
  <si>
    <t>Safety and efficacy evaluated over 12 months</t>
  </si>
  <si>
    <t># SAE reported - 7 high dose, 26 low dose and 19 placebo</t>
  </si>
  <si>
    <t>One SAE, deep vein thrombosis, was probably drug related - did not disclose which cohort</t>
  </si>
  <si>
    <t>Low dose VM202 (8 mg total; n=21), high dose VM202 (16 mg total; n=20) or placebo (saline; n=11) IM injections into calf  on days 0, 14, 28 and 42</t>
  </si>
  <si>
    <t>Randomized, Double-blind, placebo-controlled, multicenter study (US and Korea)</t>
  </si>
  <si>
    <t>Reyon Pharmaceutical for Korea</t>
  </si>
  <si>
    <t>Beijing Northland Biotech</t>
  </si>
  <si>
    <t>Reyon Pharma JV for WW</t>
  </si>
  <si>
    <t>Reyon Pharmaceutical for Asia ex-japan</t>
  </si>
  <si>
    <t>Allex</t>
  </si>
  <si>
    <t>Recombinant IL-11</t>
  </si>
  <si>
    <t>Chemotherapy-induced thrombocytopenia</t>
  </si>
  <si>
    <t>recombinant IL-11</t>
  </si>
  <si>
    <t>Peripheral Artery Disease - Reyon Pharmaceutical Co. Ltd for Korea</t>
  </si>
  <si>
    <t>Diabetic Peripheral Nephropathy - Reyon Pharmaceutical Co. Ltd for Korea</t>
  </si>
  <si>
    <t>ALS - JV with Reyon Pharmaceutical Co. Ltd for WW</t>
  </si>
  <si>
    <t>Coronary Artery Disease - Reyon Pharmaceutical Co. Ltd for Korea</t>
  </si>
  <si>
    <t>Other</t>
  </si>
  <si>
    <t>Q113</t>
  </si>
  <si>
    <t>Q213</t>
  </si>
  <si>
    <t>Q313</t>
  </si>
  <si>
    <t>Q413</t>
  </si>
  <si>
    <t>Q114</t>
  </si>
  <si>
    <t>Q214</t>
  </si>
  <si>
    <t>Q314</t>
  </si>
  <si>
    <t>Q414</t>
  </si>
  <si>
    <t>Total Development Revenues</t>
  </si>
  <si>
    <t>Total Revenue</t>
  </si>
  <si>
    <t>Nutriceutical Revenue</t>
  </si>
  <si>
    <t>COGS</t>
  </si>
  <si>
    <t>Gross Profit</t>
  </si>
  <si>
    <t>SG&amp;A</t>
  </si>
  <si>
    <t>OPEX</t>
  </si>
  <si>
    <t>Operating Income</t>
  </si>
  <si>
    <t>Interest Income</t>
  </si>
  <si>
    <t>Interest Expense</t>
  </si>
  <si>
    <t>Pretax Income</t>
  </si>
  <si>
    <t>Non-operating Losses (Gains)</t>
  </si>
  <si>
    <t>Income Tax</t>
  </si>
  <si>
    <t>Net Income</t>
  </si>
  <si>
    <t>Cash</t>
  </si>
  <si>
    <t>AR</t>
  </si>
  <si>
    <t>Inventories</t>
  </si>
  <si>
    <t>OCA</t>
  </si>
  <si>
    <t>Total Current Assets</t>
  </si>
  <si>
    <t>LT Investments</t>
  </si>
  <si>
    <t>Net Fixed Assets</t>
  </si>
  <si>
    <t>Other Long Term Assets</t>
  </si>
  <si>
    <t>Total LT Assets</t>
  </si>
  <si>
    <t>Total Assets</t>
  </si>
  <si>
    <t>AP</t>
  </si>
  <si>
    <t>Short-term borrowings</t>
  </si>
  <si>
    <t>Other Short-term liability</t>
  </si>
  <si>
    <t>Total Liabilities</t>
  </si>
  <si>
    <t>Preferred Equity</t>
  </si>
  <si>
    <t>Minority Interest</t>
  </si>
  <si>
    <t xml:space="preserve">APIC </t>
  </si>
  <si>
    <t>Retained Earnings</t>
  </si>
  <si>
    <t>Total Equity</t>
  </si>
  <si>
    <t>Total Liabilities + Equity</t>
  </si>
  <si>
    <t>Total Current Liabilities</t>
  </si>
  <si>
    <t>Long-Term Borrowings</t>
  </si>
  <si>
    <t>Other Long-Term Liabilities</t>
  </si>
  <si>
    <t>Total Long-term Liabilities</t>
  </si>
  <si>
    <t>Phase 1/2 n=12 Safety and Efficacy in Chronic Stable Angina</t>
  </si>
  <si>
    <t>Estimated completion date: Jan 2015</t>
  </si>
  <si>
    <t>Efficacy measures include exercise treadmill test, SPECT, Cardiac MRI and change in use of anti-anginal medications</t>
  </si>
  <si>
    <t>cather-based, endocardial injection of either 0.5mg, 1mg or 2mg</t>
  </si>
  <si>
    <t>PMID: 21430785</t>
  </si>
  <si>
    <t>2mg, 4mg, 8mg, 16mg arms; First half of total dose given on day 1, second half on day 15. n= 3 for each cohort; 3 withdrew - 1 no longer met inclusion criteria, 1 unstable angina, 1 ucler healed before baseline injection</t>
  </si>
  <si>
    <t>Median ABI increased from 0.35 to 0.45 (p=0.015) at 3 months, to 0.49 (p=0.014) at 6 months, to 0.52 at the 12 month follow up for all cohorts</t>
  </si>
  <si>
    <t>The median value of TCPO2 showed a positive trend from 38.5 to 42 and 46 mm Hg at 6 and 12 months, but did not reach significance</t>
  </si>
  <si>
    <t>9/11 patients experienced pain reduction at 6 months and median visual analog scale decreased from 57.5 mm at baseline to 38.5 mm at 3 months (p= ns) to 16.0 mm (p=0.03) at 6 months  to 44 mm at 12 months (p = ns)</t>
  </si>
  <si>
    <t>Phase 1 n=12 Safety Study in Lower Leg Ischemia</t>
  </si>
  <si>
    <t xml:space="preserve">13 ulcers were tracked in 8 patients; 9 were completely healed and remained healed to the end of the study (p=0.015); 7 of 8 patients noted a net decrease in ulcer size </t>
  </si>
  <si>
    <t>Cohort 1 = 2mg, Cohort 2 = 4mg, Cohort 3 = 8mg, Cohort 4 = 16mg</t>
  </si>
  <si>
    <t>PAD</t>
  </si>
  <si>
    <t>Press release</t>
  </si>
  <si>
    <t>Patients w/ Rutherford class 4 (rest pain) and class 5 (ischemic ulceration not exceeding ulcer of the digits of the foot)</t>
  </si>
  <si>
    <t>Phase 2 Critical limb ischemia trial</t>
  </si>
  <si>
    <t xml:space="preserve">Chinese trial, no information available </t>
  </si>
  <si>
    <t>DPN</t>
  </si>
  <si>
    <t>Phase 1/2 n=12 Open-label Dose-escalation Study in Patients w/ Painful Diabetic Peripheral Neuropathy</t>
  </si>
  <si>
    <t>PMCID: PMC3677315</t>
  </si>
  <si>
    <t>Intramuscular</t>
  </si>
  <si>
    <t>HGF-X7 cDNA expressed in a pCK vector</t>
  </si>
  <si>
    <t>9 of 12 patients were on concomitant pain medications for the management of DPN</t>
  </si>
  <si>
    <t>Visual Analog Scale for pain (VAS)</t>
  </si>
  <si>
    <t>Short form McGill Pain Questionaires (SF-MPQ)</t>
  </si>
  <si>
    <t>Cohort 1 (4mg), Cohort 2 (8mg) and Cohort 3 (16mg) received 2 sets of VM202 injections 2 weeks apart</t>
  </si>
  <si>
    <t>Phase 2 n=100 Double-Blind, Randomized, Placebo-Controlled Multicenter Sutdy to Assess the Safety and Efficacy of VM202 in Subjects with Painful Diabetic Peripheral Nephropathy</t>
  </si>
  <si>
    <t>Data expected Sept 2014; Study completed March 2014</t>
  </si>
  <si>
    <t>Layla (PG201)</t>
  </si>
  <si>
    <t>3 Cohorts: High dose (32 mg), low dose (16 mg), placebo</t>
  </si>
  <si>
    <t>The difference in the mean change of the 24 hour pain score will be compared between the treatment groups and the placebo arm to determine treatment effect</t>
  </si>
  <si>
    <r>
      <t>Primary Endpoint:</t>
    </r>
    <r>
      <rPr>
        <sz val="10"/>
        <color theme="1"/>
        <rFont val="Arial"/>
        <family val="2"/>
      </rPr>
      <t xml:space="preserve"> average 24 hour pain score between baseline and the 6 month follow up</t>
    </r>
  </si>
  <si>
    <r>
      <t>Secondary Endpoint</t>
    </r>
    <r>
      <rPr>
        <sz val="10"/>
        <color theme="1"/>
        <rFont val="Arial"/>
        <family val="2"/>
      </rPr>
      <t>: VAS score, Daily Pain and Sleep Interference Diary Score, Brief Pain Inventory (BFI-SF), Patient's Global Impression of change, Michigan Neuropathy Screening Instrument (MNSI</t>
    </r>
  </si>
  <si>
    <t>CAD</t>
  </si>
  <si>
    <t>Phase 2 Safety and Efficacy in Ischemic Heart Failure</t>
  </si>
  <si>
    <t>Phase 1 n=9 Safety Study of Gene Therapy for Ischemic Heart Disease in Korea</t>
  </si>
  <si>
    <t>Cohort 1 (0.5mg), Cohort 2 (1mg), Cohort 3 (2mg)</t>
  </si>
  <si>
    <t>NCT01002495</t>
  </si>
  <si>
    <t xml:space="preserve">PMID: 23151518 </t>
  </si>
  <si>
    <t>No statistical change on left ventricular ejection fraction (LVEF) on TTE throughout the 6-month follow up period (p=0.6477)</t>
  </si>
  <si>
    <t>All patients expected to undergo Coronary Artery Bypass Graft before treatment</t>
  </si>
  <si>
    <t>Peripheral Artery Disease (Critical Limb Ischemia), Coronary Artery Disease, Painful Diabetic Peripheral Nephropathy, ALS</t>
  </si>
  <si>
    <t>Indications</t>
  </si>
  <si>
    <t>NCT01475786</t>
  </si>
  <si>
    <t>NCT01002235</t>
  </si>
  <si>
    <t>NCT00696124</t>
  </si>
  <si>
    <t>NCT01064440</t>
  </si>
  <si>
    <t>NCT02039401</t>
  </si>
  <si>
    <t>initiated Feb 2015, Expected completion March 2015</t>
  </si>
  <si>
    <t>Primary Endpoint: number of subjects with serious and non-serious adverse events</t>
  </si>
  <si>
    <t>Secondary Outcome measures: HGF serum levels, copies of VM202 in whole blood</t>
  </si>
  <si>
    <t>Phase 1/2  n=18 Safety study in ALS</t>
  </si>
  <si>
    <t>Other outcome measures:  ALSFR-S, Muscle Circumference, FVC, Muscle strength</t>
  </si>
  <si>
    <t>Planned for 2014 - Reyon Pharma to conduct</t>
  </si>
  <si>
    <t>Seoul, South Korea</t>
  </si>
  <si>
    <t>Shares (mm)</t>
  </si>
  <si>
    <t>in Billions of KRW</t>
  </si>
  <si>
    <t>Price KRW</t>
  </si>
  <si>
    <t>Her2/neu vaccine</t>
  </si>
  <si>
    <t>Her2/neu positive breast cancer</t>
  </si>
  <si>
    <t>Phase 3 in China</t>
  </si>
  <si>
    <t>Neumega</t>
  </si>
  <si>
    <t>MC KRW (mm)</t>
  </si>
  <si>
    <t>Cash KRW (mm)</t>
  </si>
  <si>
    <t>Debt KRW (mm)</t>
  </si>
  <si>
    <t>EV KRW (mm)</t>
  </si>
  <si>
    <t>pCK-HGF-X7</t>
  </si>
  <si>
    <t>Revenue</t>
  </si>
  <si>
    <t>Income before Tax</t>
  </si>
  <si>
    <t>PG102</t>
  </si>
  <si>
    <t>Allergy Therapeutics</t>
  </si>
  <si>
    <t>2/6/14 - FDA grants ODD for VM202 for ALS</t>
  </si>
  <si>
    <t>Collategene - HGF Plasmid in ph3 by AnGes/Vical</t>
  </si>
  <si>
    <t>Chinese trial</t>
  </si>
  <si>
    <t>Phase 1 n=21 in Critical Limb Ischemia</t>
  </si>
  <si>
    <t>-43.1 VAS, +0.14 ABI</t>
  </si>
  <si>
    <t>VM505 License Revenue</t>
  </si>
  <si>
    <t>VM202 License Revenue</t>
  </si>
  <si>
    <t>R&amp;D</t>
  </si>
  <si>
    <t>PG102 License Revenue</t>
  </si>
  <si>
    <t>PG201 License Revenue</t>
  </si>
  <si>
    <t>VM206 License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</si>
</sst>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0000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0" borderId="0" xfId="1"/>
    <xf numFmtId="0" fontId="2" fillId="0" borderId="0" xfId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/>
    <xf numFmtId="3" fontId="1" fillId="0" borderId="0" xfId="0" applyNumberFormat="1" applyFont="1"/>
    <xf numFmtId="164" fontId="0" fillId="0" borderId="0" xfId="0" applyNumberFormat="1" applyFont="1"/>
    <xf numFmtId="3" fontId="0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5" xfId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2" fillId="0" borderId="7" xfId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1" fontId="0" fillId="0" borderId="0" xfId="0" applyNumberFormat="1" applyFont="1"/>
    <xf numFmtId="0" fontId="6" fillId="0" borderId="0" xfId="0" applyFont="1"/>
    <xf numFmtId="2" fontId="0" fillId="0" borderId="0" xfId="0" applyNumberFormat="1"/>
    <xf numFmtId="0" fontId="2" fillId="0" borderId="10" xfId="1" applyBorder="1"/>
    <xf numFmtId="0" fontId="0" fillId="0" borderId="11" xfId="0" applyFont="1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0" borderId="5" xfId="1" applyFill="1" applyBorder="1"/>
    <xf numFmtId="0" fontId="0" fillId="0" borderId="8" xfId="0" applyFont="1" applyFill="1" applyBorder="1"/>
    <xf numFmtId="164" fontId="0" fillId="2" borderId="0" xfId="0" applyNumberFormat="1" applyFill="1"/>
    <xf numFmtId="0" fontId="0" fillId="0" borderId="0" xfId="0" applyFill="1" applyBorder="1"/>
    <xf numFmtId="0" fontId="0" fillId="0" borderId="0" xfId="0" quotePrefix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6" xfId="0" applyFont="1" applyBorder="1"/>
    <xf numFmtId="165" fontId="0" fillId="0" borderId="0" xfId="0" applyNumberFormat="1"/>
    <xf numFmtId="0" fontId="1" fillId="0" borderId="4" xfId="0" applyFont="1" applyBorder="1"/>
    <xf numFmtId="164" fontId="1" fillId="0" borderId="4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0</xdr:rowOff>
    </xdr:from>
    <xdr:to>
      <xdr:col>8</xdr:col>
      <xdr:colOff>47625</xdr:colOff>
      <xdr:row>73</xdr:row>
      <xdr:rowOff>133350</xdr:rowOff>
    </xdr:to>
    <xdr:cxnSp macro="">
      <xdr:nvCxnSpPr>
        <xdr:cNvPr id="3" name="Straight Connector 2"/>
        <xdr:cNvCxnSpPr/>
      </xdr:nvCxnSpPr>
      <xdr:spPr>
        <a:xfrm>
          <a:off x="6591300" y="0"/>
          <a:ext cx="0" cy="1148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144</xdr:row>
      <xdr:rowOff>142875</xdr:rowOff>
    </xdr:from>
    <xdr:to>
      <xdr:col>12</xdr:col>
      <xdr:colOff>284905</xdr:colOff>
      <xdr:row>171</xdr:row>
      <xdr:rowOff>28044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7753350"/>
          <a:ext cx="6761905" cy="4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171</xdr:row>
      <xdr:rowOff>66675</xdr:rowOff>
    </xdr:from>
    <xdr:to>
      <xdr:col>12</xdr:col>
      <xdr:colOff>199202</xdr:colOff>
      <xdr:row>185</xdr:row>
      <xdr:rowOff>123533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12049125"/>
          <a:ext cx="6580952" cy="2323809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144</xdr:row>
      <xdr:rowOff>28575</xdr:rowOff>
    </xdr:from>
    <xdr:to>
      <xdr:col>23</xdr:col>
      <xdr:colOff>246814</xdr:colOff>
      <xdr:row>158</xdr:row>
      <xdr:rowOff>133054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3325" y="7639050"/>
          <a:ext cx="6685714" cy="23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160</xdr:row>
      <xdr:rowOff>38100</xdr:rowOff>
    </xdr:from>
    <xdr:to>
      <xdr:col>18</xdr:col>
      <xdr:colOff>132938</xdr:colOff>
      <xdr:row>182</xdr:row>
      <xdr:rowOff>5620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1925" y="10239375"/>
          <a:ext cx="3295238" cy="3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6</xdr:row>
      <xdr:rowOff>123825</xdr:rowOff>
    </xdr:from>
    <xdr:to>
      <xdr:col>7</xdr:col>
      <xdr:colOff>447234</xdr:colOff>
      <xdr:row>35</xdr:row>
      <xdr:rowOff>66095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1095375"/>
          <a:ext cx="3523809" cy="4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105</xdr:row>
      <xdr:rowOff>9525</xdr:rowOff>
    </xdr:from>
    <xdr:to>
      <xdr:col>13</xdr:col>
      <xdr:colOff>399152</xdr:colOff>
      <xdr:row>130</xdr:row>
      <xdr:rowOff>94733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22679025"/>
          <a:ext cx="7180952" cy="41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523875</xdr:colOff>
      <xdr:row>105</xdr:row>
      <xdr:rowOff>133350</xdr:rowOff>
    </xdr:from>
    <xdr:to>
      <xdr:col>25</xdr:col>
      <xdr:colOff>446770</xdr:colOff>
      <xdr:row>125</xdr:row>
      <xdr:rowOff>66279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91550" y="25231725"/>
          <a:ext cx="7238095" cy="31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198</xdr:row>
      <xdr:rowOff>19050</xdr:rowOff>
    </xdr:from>
    <xdr:to>
      <xdr:col>23</xdr:col>
      <xdr:colOff>389692</xdr:colOff>
      <xdr:row>211</xdr:row>
      <xdr:rowOff>133073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0" y="32727900"/>
          <a:ext cx="6666667" cy="2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847725</xdr:colOff>
      <xdr:row>197</xdr:row>
      <xdr:rowOff>142875</xdr:rowOff>
    </xdr:from>
    <xdr:to>
      <xdr:col>12</xdr:col>
      <xdr:colOff>313501</xdr:colOff>
      <xdr:row>219</xdr:row>
      <xdr:rowOff>18620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1100" y="32689800"/>
          <a:ext cx="6590476" cy="3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847725</xdr:colOff>
      <xdr:row>219</xdr:row>
      <xdr:rowOff>38100</xdr:rowOff>
    </xdr:from>
    <xdr:to>
      <xdr:col>12</xdr:col>
      <xdr:colOff>313501</xdr:colOff>
      <xdr:row>242</xdr:row>
      <xdr:rowOff>66206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81100" y="34528125"/>
          <a:ext cx="6590476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linicaltrials.gov/ct2/show/NCT00696124" TargetMode="External"/><Relationship Id="rId3" Type="http://schemas.openxmlformats.org/officeDocument/2006/relationships/hyperlink" Target="http://www.ncbi.nlm.nih.gov/pmc/articles/PMC3677315/" TargetMode="External"/><Relationship Id="rId7" Type="http://schemas.openxmlformats.org/officeDocument/2006/relationships/hyperlink" Target="https://clinicaltrials.gov/ct2/show/NCT01002235" TargetMode="External"/><Relationship Id="rId2" Type="http://schemas.openxmlformats.org/officeDocument/2006/relationships/hyperlink" Target="http://viromed.co.kr/bbs/bbsView.php?id=63&amp;page=1&amp;code=bbs_pr" TargetMode="External"/><Relationship Id="rId1" Type="http://schemas.openxmlformats.org/officeDocument/2006/relationships/hyperlink" Target="http://www.ncbi.nlm.nih.gov/pubmed/21430785" TargetMode="External"/><Relationship Id="rId6" Type="http://schemas.openxmlformats.org/officeDocument/2006/relationships/hyperlink" Target="http://clinicaltrials.gov/ct2/show/NCT01475786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://www.ncbi.nlm.nih.gov/pubmed/23151518" TargetMode="External"/><Relationship Id="rId10" Type="http://schemas.openxmlformats.org/officeDocument/2006/relationships/hyperlink" Target="https://clinicaltrials.gov/ct2/show/NCT02039401" TargetMode="External"/><Relationship Id="rId4" Type="http://schemas.openxmlformats.org/officeDocument/2006/relationships/hyperlink" Target="http://clinicaltrials.gov/ct2/show/NCT01002495" TargetMode="External"/><Relationship Id="rId9" Type="http://schemas.openxmlformats.org/officeDocument/2006/relationships/hyperlink" Target="https://clinicaltrials.gov/ct2/show/NCT010644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showGridLines="0" workbookViewId="0">
      <selection activeCell="G25" sqref="G25"/>
    </sheetView>
  </sheetViews>
  <sheetFormatPr defaultRowHeight="12.75" x14ac:dyDescent="0.2"/>
  <cols>
    <col min="2" max="2" width="12.85546875" bestFit="1" customWidth="1"/>
    <col min="3" max="3" width="37.42578125" customWidth="1"/>
    <col min="4" max="4" width="16.5703125" customWidth="1"/>
    <col min="5" max="5" width="16.5703125" bestFit="1" customWidth="1"/>
    <col min="6" max="6" width="11.85546875" style="15" customWidth="1"/>
    <col min="7" max="7" width="15.5703125" bestFit="1" customWidth="1"/>
    <col min="8" max="8" width="35" bestFit="1" customWidth="1"/>
    <col min="10" max="10" width="15.28515625" bestFit="1" customWidth="1"/>
    <col min="13" max="13" width="11.7109375" bestFit="1" customWidth="1"/>
  </cols>
  <sheetData>
    <row r="2" spans="2:14" x14ac:dyDescent="0.2">
      <c r="B2" t="s">
        <v>26</v>
      </c>
    </row>
    <row r="3" spans="2:14" x14ac:dyDescent="0.2">
      <c r="B3" s="4" t="s">
        <v>23</v>
      </c>
      <c r="C3" s="5" t="s">
        <v>1</v>
      </c>
      <c r="D3" s="5" t="s">
        <v>3</v>
      </c>
      <c r="E3" s="5" t="s">
        <v>2</v>
      </c>
      <c r="F3" s="16" t="s">
        <v>24</v>
      </c>
      <c r="G3" s="5" t="s">
        <v>5</v>
      </c>
      <c r="H3" s="6" t="s">
        <v>6</v>
      </c>
      <c r="J3" t="s">
        <v>176</v>
      </c>
      <c r="K3" s="17">
        <v>52400</v>
      </c>
      <c r="N3" s="39"/>
    </row>
    <row r="4" spans="2:14" s="2" customFormat="1" x14ac:dyDescent="0.2">
      <c r="B4" s="29" t="s">
        <v>15</v>
      </c>
      <c r="C4" s="30" t="s">
        <v>16</v>
      </c>
      <c r="D4" s="30" t="s">
        <v>21</v>
      </c>
      <c r="E4" s="30" t="s">
        <v>65</v>
      </c>
      <c r="F4" s="31"/>
      <c r="G4" s="30" t="s">
        <v>18</v>
      </c>
      <c r="H4" s="32" t="s">
        <v>61</v>
      </c>
      <c r="J4" s="2" t="s">
        <v>174</v>
      </c>
      <c r="K4" s="37">
        <v>14.2</v>
      </c>
      <c r="L4" s="2" t="s">
        <v>79</v>
      </c>
      <c r="N4" s="37"/>
    </row>
    <row r="5" spans="2:14" x14ac:dyDescent="0.2">
      <c r="B5" s="29" t="s">
        <v>64</v>
      </c>
      <c r="C5" s="30" t="s">
        <v>17</v>
      </c>
      <c r="D5" s="30" t="s">
        <v>21</v>
      </c>
      <c r="E5" s="30"/>
      <c r="F5" s="31"/>
      <c r="G5" s="30" t="s">
        <v>14</v>
      </c>
      <c r="H5" s="32"/>
      <c r="J5" t="s">
        <v>181</v>
      </c>
      <c r="K5" s="17">
        <f>+K3*K4</f>
        <v>744080</v>
      </c>
      <c r="N5" s="17"/>
    </row>
    <row r="6" spans="2:14" x14ac:dyDescent="0.2">
      <c r="B6" s="29" t="s">
        <v>4</v>
      </c>
      <c r="C6" s="30" t="s">
        <v>10</v>
      </c>
      <c r="D6" s="30" t="s">
        <v>22</v>
      </c>
      <c r="E6" s="30" t="s">
        <v>185</v>
      </c>
      <c r="F6" s="31" t="s">
        <v>45</v>
      </c>
      <c r="G6" s="30" t="s">
        <v>12</v>
      </c>
      <c r="H6" s="32" t="s">
        <v>60</v>
      </c>
      <c r="J6" t="s">
        <v>182</v>
      </c>
      <c r="K6" s="17">
        <f>+Model!$H$29*1000</f>
        <v>9900</v>
      </c>
      <c r="L6" s="2" t="s">
        <v>79</v>
      </c>
      <c r="N6" s="17"/>
    </row>
    <row r="7" spans="2:14" x14ac:dyDescent="0.2">
      <c r="B7" s="29" t="s">
        <v>4</v>
      </c>
      <c r="C7" s="30" t="s">
        <v>13</v>
      </c>
      <c r="D7" s="30" t="s">
        <v>22</v>
      </c>
      <c r="E7" s="30" t="s">
        <v>185</v>
      </c>
      <c r="F7" s="31" t="s">
        <v>45</v>
      </c>
      <c r="G7" s="30" t="s">
        <v>14</v>
      </c>
      <c r="H7" s="32" t="s">
        <v>60</v>
      </c>
      <c r="J7" t="s">
        <v>183</v>
      </c>
      <c r="K7" s="17">
        <f>+Model!$H$46*1000</f>
        <v>2000</v>
      </c>
      <c r="L7" s="2" t="s">
        <v>79</v>
      </c>
      <c r="N7" s="17"/>
    </row>
    <row r="8" spans="2:14" x14ac:dyDescent="0.2">
      <c r="B8" s="29" t="s">
        <v>0</v>
      </c>
      <c r="C8" s="30" t="s">
        <v>8</v>
      </c>
      <c r="D8" s="30" t="s">
        <v>7</v>
      </c>
      <c r="E8" s="48" t="s">
        <v>177</v>
      </c>
      <c r="F8" s="31"/>
      <c r="G8" s="30" t="s">
        <v>14</v>
      </c>
      <c r="H8" s="32" t="s">
        <v>63</v>
      </c>
      <c r="J8" t="s">
        <v>184</v>
      </c>
      <c r="K8" s="17">
        <f>+K5-K6+K7</f>
        <v>736180</v>
      </c>
      <c r="N8" s="17"/>
    </row>
    <row r="9" spans="2:14" x14ac:dyDescent="0.2">
      <c r="B9" s="33" t="s">
        <v>4</v>
      </c>
      <c r="C9" s="34" t="s">
        <v>9</v>
      </c>
      <c r="D9" s="34" t="s">
        <v>7</v>
      </c>
      <c r="E9" s="34" t="s">
        <v>185</v>
      </c>
      <c r="F9" s="35"/>
      <c r="G9" s="34" t="s">
        <v>11</v>
      </c>
      <c r="H9" s="36" t="s">
        <v>62</v>
      </c>
    </row>
    <row r="11" spans="2:14" x14ac:dyDescent="0.2">
      <c r="B11" t="s">
        <v>25</v>
      </c>
    </row>
    <row r="12" spans="2:14" x14ac:dyDescent="0.2">
      <c r="B12" s="4" t="s">
        <v>23</v>
      </c>
      <c r="C12" s="5" t="s">
        <v>1</v>
      </c>
      <c r="D12" s="5" t="s">
        <v>3</v>
      </c>
      <c r="E12" s="5" t="s">
        <v>2</v>
      </c>
      <c r="F12" s="16" t="s">
        <v>24</v>
      </c>
      <c r="G12" s="5" t="s">
        <v>5</v>
      </c>
      <c r="H12" s="6" t="s">
        <v>6</v>
      </c>
    </row>
    <row r="13" spans="2:14" x14ac:dyDescent="0.2">
      <c r="B13" s="40" t="s">
        <v>64</v>
      </c>
      <c r="C13" s="41" t="s">
        <v>27</v>
      </c>
      <c r="D13" s="41" t="s">
        <v>20</v>
      </c>
      <c r="E13" s="42"/>
      <c r="F13" s="43"/>
      <c r="G13" s="42" t="s">
        <v>14</v>
      </c>
      <c r="H13" s="44"/>
    </row>
    <row r="14" spans="2:14" x14ac:dyDescent="0.2">
      <c r="B14" s="29" t="s">
        <v>147</v>
      </c>
      <c r="C14" s="50" t="s">
        <v>19</v>
      </c>
      <c r="D14" s="3" t="s">
        <v>20</v>
      </c>
      <c r="E14" s="50"/>
      <c r="F14" s="51"/>
      <c r="G14" s="3" t="s">
        <v>14</v>
      </c>
      <c r="H14" s="52"/>
    </row>
    <row r="15" spans="2:14" x14ac:dyDescent="0.2">
      <c r="B15" s="45" t="s">
        <v>28</v>
      </c>
      <c r="C15" s="3" t="s">
        <v>29</v>
      </c>
      <c r="D15" s="3" t="s">
        <v>20</v>
      </c>
      <c r="E15" s="30"/>
      <c r="F15" s="31"/>
      <c r="G15" s="3" t="s">
        <v>14</v>
      </c>
      <c r="H15" s="32"/>
    </row>
    <row r="16" spans="2:14" x14ac:dyDescent="0.2">
      <c r="B16" s="45" t="s">
        <v>30</v>
      </c>
      <c r="C16" s="3" t="s">
        <v>31</v>
      </c>
      <c r="D16" s="3" t="s">
        <v>20</v>
      </c>
      <c r="E16" s="30"/>
      <c r="F16" s="31"/>
      <c r="G16" s="3" t="s">
        <v>14</v>
      </c>
      <c r="H16" s="32"/>
    </row>
    <row r="17" spans="2:8" x14ac:dyDescent="0.2">
      <c r="B17" s="45" t="s">
        <v>30</v>
      </c>
      <c r="C17" s="3" t="s">
        <v>32</v>
      </c>
      <c r="D17" s="3" t="s">
        <v>20</v>
      </c>
      <c r="E17" s="30"/>
      <c r="F17" s="31"/>
      <c r="G17" s="3" t="s">
        <v>14</v>
      </c>
      <c r="H17" s="32"/>
    </row>
    <row r="18" spans="2:8" x14ac:dyDescent="0.2">
      <c r="B18" s="33" t="s">
        <v>188</v>
      </c>
      <c r="C18" s="46" t="s">
        <v>189</v>
      </c>
      <c r="D18" s="46" t="s">
        <v>21</v>
      </c>
      <c r="E18" s="34"/>
      <c r="F18" s="35"/>
      <c r="G18" s="34" t="s">
        <v>14</v>
      </c>
      <c r="H18" s="36"/>
    </row>
    <row r="19" spans="2:8" x14ac:dyDescent="0.2">
      <c r="B19" s="30"/>
      <c r="C19" s="30"/>
      <c r="D19" s="30"/>
      <c r="E19" s="30"/>
      <c r="F19" s="31"/>
      <c r="G19" s="30"/>
      <c r="H19" s="30"/>
    </row>
    <row r="20" spans="2:8" x14ac:dyDescent="0.2">
      <c r="B20" t="s">
        <v>173</v>
      </c>
    </row>
    <row r="22" spans="2:8" x14ac:dyDescent="0.2">
      <c r="B22" s="49" t="s">
        <v>190</v>
      </c>
    </row>
  </sheetData>
  <hyperlinks>
    <hyperlink ref="B14" location="Layla!A1" display="Layla"/>
    <hyperlink ref="B4" location="'VM501'!A1" display="VM501"/>
    <hyperlink ref="B5" location="Allex!A1" display="Allex"/>
    <hyperlink ref="B6" location="'VM202'!A1" display="VM202"/>
    <hyperlink ref="B7" location="'VM202'!A1" display="VM202"/>
    <hyperlink ref="B9" location="'VM202'!A1" display="VM202"/>
    <hyperlink ref="B8" location="'VM206'!A1" display="VM206"/>
    <hyperlink ref="B15" location="'HX811'!A1" display="HX811"/>
    <hyperlink ref="B16" location="'HX106'!A1" display="HX106"/>
    <hyperlink ref="B17" location="'HX106'!A1" display="HX106"/>
    <hyperlink ref="B13" location="Allex!A1" display="Allex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8" sqref="N28"/>
    </sheetView>
  </sheetViews>
  <sheetFormatPr defaultRowHeight="12.75" x14ac:dyDescent="0.2"/>
  <cols>
    <col min="1" max="1" width="5" bestFit="1" customWidth="1"/>
    <col min="2" max="2" width="38.28515625" bestFit="1" customWidth="1"/>
    <col min="3" max="3" width="9.5703125" bestFit="1" customWidth="1"/>
    <col min="4" max="4" width="11.7109375" bestFit="1" customWidth="1"/>
    <col min="5" max="5" width="10" customWidth="1"/>
  </cols>
  <sheetData>
    <row r="1" spans="1:27" x14ac:dyDescent="0.2">
      <c r="A1" s="8" t="s">
        <v>44</v>
      </c>
    </row>
    <row r="2" spans="1:27" x14ac:dyDescent="0.2">
      <c r="A2" s="9"/>
      <c r="B2" s="38" t="s">
        <v>175</v>
      </c>
      <c r="C2" s="19" t="s">
        <v>73</v>
      </c>
      <c r="D2" s="19" t="s">
        <v>74</v>
      </c>
      <c r="E2" s="19" t="s">
        <v>75</v>
      </c>
      <c r="F2" s="19" t="s">
        <v>76</v>
      </c>
      <c r="G2" s="19" t="s">
        <v>77</v>
      </c>
      <c r="H2" s="19" t="s">
        <v>78</v>
      </c>
      <c r="I2" s="19" t="s">
        <v>79</v>
      </c>
      <c r="J2" s="19" t="s">
        <v>80</v>
      </c>
      <c r="N2">
        <v>2013</v>
      </c>
      <c r="O2">
        <f>+N2+1</f>
        <v>2014</v>
      </c>
      <c r="P2">
        <f>+O2+1</f>
        <v>2015</v>
      </c>
      <c r="Q2">
        <f t="shared" ref="Q2:Z2" si="0">+P2+1</f>
        <v>2016</v>
      </c>
      <c r="R2">
        <f t="shared" si="0"/>
        <v>2017</v>
      </c>
      <c r="S2">
        <f t="shared" si="0"/>
        <v>2018</v>
      </c>
      <c r="T2">
        <f t="shared" si="0"/>
        <v>2019</v>
      </c>
      <c r="U2">
        <f t="shared" si="0"/>
        <v>2020</v>
      </c>
      <c r="V2">
        <f t="shared" si="0"/>
        <v>2021</v>
      </c>
      <c r="W2">
        <f t="shared" si="0"/>
        <v>2022</v>
      </c>
      <c r="X2">
        <f t="shared" si="0"/>
        <v>2023</v>
      </c>
      <c r="Y2">
        <f t="shared" si="0"/>
        <v>2024</v>
      </c>
      <c r="Z2">
        <f t="shared" si="0"/>
        <v>2025</v>
      </c>
    </row>
    <row r="3" spans="1:27" x14ac:dyDescent="0.2">
      <c r="A3" s="9"/>
      <c r="B3" s="38"/>
      <c r="C3" s="19"/>
      <c r="D3" s="19"/>
      <c r="E3" s="19"/>
      <c r="F3" s="19"/>
      <c r="G3" s="19"/>
      <c r="H3" s="19"/>
      <c r="I3" s="19"/>
      <c r="J3" s="19"/>
    </row>
    <row r="4" spans="1:27" x14ac:dyDescent="0.2">
      <c r="A4" s="9"/>
      <c r="B4" s="38"/>
      <c r="C4" s="19"/>
      <c r="D4" s="19"/>
      <c r="E4" s="19"/>
      <c r="F4" s="19"/>
      <c r="G4" s="19"/>
      <c r="H4" s="19"/>
      <c r="I4" s="19"/>
      <c r="J4" s="19"/>
    </row>
    <row r="5" spans="1:27" x14ac:dyDescent="0.2">
      <c r="A5" s="9"/>
      <c r="B5" s="38"/>
      <c r="C5" s="19"/>
      <c r="D5" s="19"/>
      <c r="E5" s="19"/>
      <c r="F5" s="19"/>
      <c r="G5" s="19"/>
      <c r="H5" s="19"/>
      <c r="I5" s="19"/>
      <c r="J5" s="19"/>
    </row>
    <row r="6" spans="1:27" x14ac:dyDescent="0.2">
      <c r="A6" s="9"/>
      <c r="B6" t="s">
        <v>195</v>
      </c>
      <c r="C6" s="18">
        <v>0.54543600000000003</v>
      </c>
      <c r="D6" s="18">
        <f>0.545436-C6</f>
        <v>0</v>
      </c>
      <c r="E6" s="18">
        <f>0.545436-D6-C6</f>
        <v>0</v>
      </c>
      <c r="F6" s="18">
        <f>0.619367-E6-D6-C6</f>
        <v>7.3930999999999969E-2</v>
      </c>
      <c r="G6" s="18">
        <v>0</v>
      </c>
      <c r="H6">
        <v>0.3</v>
      </c>
      <c r="I6" s="47">
        <v>0</v>
      </c>
      <c r="J6" s="47">
        <v>0</v>
      </c>
      <c r="K6" s="17"/>
      <c r="L6" s="17"/>
      <c r="M6" s="17"/>
      <c r="N6" s="18">
        <f t="shared" ref="N6:N13" si="1">+SUM(C6:F6)</f>
        <v>0.619367</v>
      </c>
      <c r="O6" s="18">
        <f t="shared" ref="O6:O13" si="2">+SUM(G6:J6)</f>
        <v>0.3</v>
      </c>
      <c r="P6" s="17"/>
      <c r="Q6" s="17"/>
      <c r="R6" s="17"/>
    </row>
    <row r="7" spans="1:27" x14ac:dyDescent="0.2">
      <c r="A7" s="9"/>
      <c r="B7" t="s">
        <v>196</v>
      </c>
      <c r="C7" s="18">
        <v>0</v>
      </c>
      <c r="D7" s="18">
        <f>0.418501-C7</f>
        <v>0.41850100000000001</v>
      </c>
      <c r="E7" s="18">
        <f>0.634238-D7-C7</f>
        <v>0.21573699999999996</v>
      </c>
      <c r="F7" s="18">
        <f>2.146892-E7-D7-C7</f>
        <v>1.5126539999999999</v>
      </c>
      <c r="G7" s="18">
        <v>0.2</v>
      </c>
      <c r="H7" s="18">
        <v>0.2</v>
      </c>
      <c r="I7" s="47">
        <v>0</v>
      </c>
      <c r="J7" s="47">
        <v>0</v>
      </c>
      <c r="K7" s="17"/>
      <c r="L7" s="17"/>
      <c r="M7" s="17"/>
      <c r="N7" s="18">
        <f t="shared" si="1"/>
        <v>2.1468919999999998</v>
      </c>
      <c r="O7" s="18">
        <f t="shared" si="2"/>
        <v>0.4</v>
      </c>
      <c r="P7" s="17"/>
      <c r="Q7" s="17"/>
      <c r="R7" s="17"/>
    </row>
    <row r="8" spans="1:27" x14ac:dyDescent="0.2">
      <c r="A8" s="9"/>
      <c r="B8" t="s">
        <v>200</v>
      </c>
      <c r="C8" s="18">
        <v>0</v>
      </c>
      <c r="D8" s="18">
        <f>0.143889-C8</f>
        <v>0.14388899999999999</v>
      </c>
      <c r="E8" s="18">
        <f>0.505734-D8-C8</f>
        <v>0.36184500000000003</v>
      </c>
      <c r="F8" s="18">
        <v>0.4</v>
      </c>
      <c r="G8" s="18">
        <v>0</v>
      </c>
      <c r="H8" s="18">
        <v>0.1</v>
      </c>
      <c r="I8" s="47">
        <v>0</v>
      </c>
      <c r="J8" s="47">
        <v>0</v>
      </c>
      <c r="K8" s="17"/>
      <c r="L8" s="17"/>
      <c r="M8" s="17"/>
      <c r="N8" s="18">
        <f t="shared" si="1"/>
        <v>0.90573400000000004</v>
      </c>
      <c r="O8" s="18">
        <f t="shared" si="2"/>
        <v>0.1</v>
      </c>
      <c r="P8" s="17"/>
      <c r="Q8" s="17"/>
      <c r="R8" s="17"/>
    </row>
    <row r="9" spans="1:27" x14ac:dyDescent="0.2">
      <c r="A9" s="9"/>
      <c r="B9" t="s">
        <v>198</v>
      </c>
      <c r="C9" s="18">
        <v>0</v>
      </c>
      <c r="D9" s="18">
        <f>0.11283-C9</f>
        <v>0.11283</v>
      </c>
      <c r="E9" s="18">
        <f>0.112913-D9-C9</f>
        <v>8.2999999999999741E-5</v>
      </c>
      <c r="F9" s="18">
        <v>0</v>
      </c>
      <c r="G9" s="18">
        <v>0</v>
      </c>
      <c r="H9" s="18">
        <v>0</v>
      </c>
      <c r="I9" s="47">
        <v>0</v>
      </c>
      <c r="J9" s="47">
        <v>0</v>
      </c>
      <c r="K9" s="17"/>
      <c r="L9" s="17"/>
      <c r="M9" s="17"/>
      <c r="N9" s="18">
        <f t="shared" si="1"/>
        <v>0.112913</v>
      </c>
      <c r="O9" s="18">
        <f t="shared" si="2"/>
        <v>0</v>
      </c>
      <c r="P9" s="17"/>
      <c r="Q9" s="17"/>
      <c r="R9" s="17"/>
    </row>
    <row r="10" spans="1:27" x14ac:dyDescent="0.2">
      <c r="A10" s="9"/>
      <c r="B10" t="s">
        <v>199</v>
      </c>
      <c r="C10" s="18">
        <v>0</v>
      </c>
      <c r="D10" s="18">
        <f>0.333798-C10</f>
        <v>0.33379799999999998</v>
      </c>
      <c r="E10" s="18">
        <f>0.333798-D10-C10</f>
        <v>0</v>
      </c>
      <c r="F10" s="18">
        <v>0</v>
      </c>
      <c r="G10" s="18">
        <v>0</v>
      </c>
      <c r="H10" s="18">
        <v>0</v>
      </c>
      <c r="I10" s="47">
        <v>0</v>
      </c>
      <c r="J10" s="47">
        <v>0</v>
      </c>
      <c r="K10" s="17"/>
      <c r="L10" s="17"/>
      <c r="M10" s="17"/>
      <c r="N10" s="18">
        <f t="shared" si="1"/>
        <v>0.33379799999999998</v>
      </c>
      <c r="O10" s="18">
        <f t="shared" si="2"/>
        <v>0</v>
      </c>
      <c r="P10" s="17"/>
      <c r="Q10" s="17"/>
      <c r="R10" s="17"/>
    </row>
    <row r="11" spans="1:27" x14ac:dyDescent="0.2">
      <c r="A11" s="9"/>
      <c r="B11" t="s">
        <v>72</v>
      </c>
      <c r="C11" s="18">
        <v>2.2397E-2</v>
      </c>
      <c r="D11" s="18">
        <f>0.023773+0.02248-C11</f>
        <v>2.3856000000000002E-2</v>
      </c>
      <c r="E11" s="18">
        <f>0.47653-D11-C11</f>
        <v>0.43027700000000002</v>
      </c>
      <c r="F11" s="18">
        <v>0.1</v>
      </c>
      <c r="G11" s="18">
        <v>0.1</v>
      </c>
      <c r="H11" s="18">
        <v>0</v>
      </c>
      <c r="I11" s="47">
        <v>0</v>
      </c>
      <c r="J11" s="47">
        <v>0</v>
      </c>
      <c r="K11" s="17"/>
      <c r="L11" s="17"/>
      <c r="M11" s="17"/>
      <c r="N11" s="18">
        <f t="shared" si="1"/>
        <v>0.57652999999999999</v>
      </c>
      <c r="O11" s="18">
        <f t="shared" si="2"/>
        <v>0.1</v>
      </c>
      <c r="P11" s="17"/>
      <c r="Q11" s="17"/>
      <c r="R11" s="17"/>
    </row>
    <row r="12" spans="1:27" s="1" customFormat="1" x14ac:dyDescent="0.2">
      <c r="A12" s="11"/>
      <c r="B12" s="1" t="s">
        <v>81</v>
      </c>
      <c r="C12" s="20">
        <f t="shared" ref="C12:J12" si="3">+SUM(C6:C11)</f>
        <v>0.56783300000000003</v>
      </c>
      <c r="D12" s="20">
        <f t="shared" si="3"/>
        <v>1.0328740000000001</v>
      </c>
      <c r="E12" s="20">
        <f t="shared" si="3"/>
        <v>1.0079420000000001</v>
      </c>
      <c r="F12" s="20">
        <f t="shared" si="3"/>
        <v>2.0865849999999999</v>
      </c>
      <c r="G12" s="20">
        <f t="shared" si="3"/>
        <v>0.30000000000000004</v>
      </c>
      <c r="H12" s="20">
        <f t="shared" si="3"/>
        <v>0.6</v>
      </c>
      <c r="I12" s="20">
        <f t="shared" si="3"/>
        <v>0</v>
      </c>
      <c r="J12" s="20">
        <f t="shared" si="3"/>
        <v>0</v>
      </c>
      <c r="K12" s="21"/>
      <c r="L12" s="21"/>
      <c r="M12" s="21"/>
      <c r="N12" s="18">
        <f>+SUM(N6:N11)</f>
        <v>4.6952339999999992</v>
      </c>
      <c r="O12" s="18">
        <f>+SUM(O6:O11)</f>
        <v>0.89999999999999991</v>
      </c>
      <c r="P12" s="18">
        <f t="shared" ref="P12:AA12" si="4">+SUM(P6:P11)</f>
        <v>0</v>
      </c>
      <c r="Q12" s="18">
        <f t="shared" si="4"/>
        <v>0</v>
      </c>
      <c r="R12" s="18">
        <f t="shared" si="4"/>
        <v>0</v>
      </c>
      <c r="S12" s="18">
        <f t="shared" si="4"/>
        <v>0</v>
      </c>
      <c r="T12" s="18">
        <f t="shared" si="4"/>
        <v>0</v>
      </c>
      <c r="U12" s="18">
        <f t="shared" si="4"/>
        <v>0</v>
      </c>
      <c r="V12" s="18">
        <f t="shared" si="4"/>
        <v>0</v>
      </c>
      <c r="W12" s="18">
        <f t="shared" si="4"/>
        <v>0</v>
      </c>
      <c r="X12" s="18">
        <f t="shared" si="4"/>
        <v>0</v>
      </c>
      <c r="Y12" s="18">
        <f t="shared" si="4"/>
        <v>0</v>
      </c>
      <c r="Z12" s="18">
        <f t="shared" si="4"/>
        <v>0</v>
      </c>
      <c r="AA12" s="18"/>
    </row>
    <row r="13" spans="1:27" s="1" customFormat="1" x14ac:dyDescent="0.2">
      <c r="A13" s="11"/>
      <c r="B13" s="1" t="s">
        <v>83</v>
      </c>
      <c r="C13" s="20">
        <v>0.30931799999999998</v>
      </c>
      <c r="D13" s="20">
        <f>0.538233-C13</f>
        <v>0.22891499999999998</v>
      </c>
      <c r="E13" s="20">
        <f>0.781668-D13-C13</f>
        <v>0.24343500000000007</v>
      </c>
      <c r="F13" s="20">
        <v>0.4</v>
      </c>
      <c r="G13" s="20">
        <v>0.2</v>
      </c>
      <c r="H13" s="20">
        <v>0.4</v>
      </c>
      <c r="I13" s="20"/>
      <c r="J13" s="20"/>
      <c r="K13" s="21"/>
      <c r="L13" s="21"/>
      <c r="M13" s="21"/>
      <c r="N13" s="18">
        <f t="shared" si="1"/>
        <v>1.1816680000000002</v>
      </c>
      <c r="O13" s="18">
        <f t="shared" si="2"/>
        <v>0.60000000000000009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">
      <c r="A14" s="9"/>
      <c r="C14" s="18"/>
      <c r="D14" s="18"/>
      <c r="E14" s="53"/>
      <c r="F14" s="18"/>
      <c r="G14" s="18"/>
      <c r="H14" s="18"/>
      <c r="I14" s="18"/>
      <c r="J14" s="18"/>
      <c r="K14" s="17"/>
      <c r="L14" s="17"/>
      <c r="M14" s="17"/>
      <c r="N14" s="18"/>
      <c r="O14" s="17"/>
      <c r="P14" s="17"/>
      <c r="Q14" s="17"/>
      <c r="R14" s="17"/>
    </row>
    <row r="15" spans="1:27" s="1" customFormat="1" x14ac:dyDescent="0.2">
      <c r="A15" s="9"/>
      <c r="B15" s="1" t="s">
        <v>82</v>
      </c>
      <c r="C15" s="20">
        <f t="shared" ref="C15:H15" si="5">+C12+C13</f>
        <v>0.87715100000000001</v>
      </c>
      <c r="D15" s="20">
        <f t="shared" si="5"/>
        <v>1.261789</v>
      </c>
      <c r="E15" s="20">
        <f t="shared" si="5"/>
        <v>1.2513770000000002</v>
      </c>
      <c r="F15" s="20">
        <f t="shared" si="5"/>
        <v>2.4865849999999998</v>
      </c>
      <c r="G15" s="20">
        <f t="shared" si="5"/>
        <v>0.5</v>
      </c>
      <c r="H15" s="20">
        <f t="shared" si="5"/>
        <v>1</v>
      </c>
      <c r="I15" s="20"/>
      <c r="J15" s="20"/>
      <c r="K15" s="21"/>
      <c r="L15" s="21"/>
      <c r="M15" s="21"/>
      <c r="N15" s="20">
        <f t="shared" ref="N15:Z15" si="6">+N12+N13</f>
        <v>5.8769019999999994</v>
      </c>
      <c r="O15" s="20">
        <f t="shared" si="6"/>
        <v>1.5</v>
      </c>
      <c r="P15" s="20">
        <f t="shared" si="6"/>
        <v>0</v>
      </c>
      <c r="Q15" s="20">
        <f t="shared" si="6"/>
        <v>0</v>
      </c>
      <c r="R15" s="20">
        <f t="shared" si="6"/>
        <v>0</v>
      </c>
      <c r="S15" s="20">
        <f t="shared" si="6"/>
        <v>0</v>
      </c>
      <c r="T15" s="20">
        <f t="shared" si="6"/>
        <v>0</v>
      </c>
      <c r="U15" s="20">
        <f t="shared" si="6"/>
        <v>0</v>
      </c>
      <c r="V15" s="20">
        <f t="shared" si="6"/>
        <v>0</v>
      </c>
      <c r="W15" s="20">
        <f t="shared" si="6"/>
        <v>0</v>
      </c>
      <c r="X15" s="20">
        <f t="shared" si="6"/>
        <v>0</v>
      </c>
      <c r="Y15" s="20">
        <f t="shared" si="6"/>
        <v>0</v>
      </c>
      <c r="Z15" s="20">
        <f t="shared" si="6"/>
        <v>0</v>
      </c>
    </row>
    <row r="16" spans="1:27" x14ac:dyDescent="0.2">
      <c r="A16" s="9"/>
      <c r="B16" t="s">
        <v>84</v>
      </c>
      <c r="C16" s="18">
        <v>0.14964109</v>
      </c>
      <c r="D16" s="18">
        <v>9.8310459000000003E-2</v>
      </c>
      <c r="E16" s="18">
        <v>9.6962515999999999E-2</v>
      </c>
      <c r="F16" s="18">
        <v>0.2</v>
      </c>
      <c r="G16" s="18">
        <v>0.1</v>
      </c>
      <c r="H16" s="18">
        <v>0.2</v>
      </c>
      <c r="I16" s="18"/>
      <c r="J16" s="18"/>
      <c r="K16" s="17"/>
      <c r="L16" s="17"/>
      <c r="M16" s="17"/>
      <c r="N16" s="18">
        <f t="shared" ref="N16" si="7">+SUM(C16:F16)</f>
        <v>0.54491406499999995</v>
      </c>
      <c r="O16" s="18">
        <f t="shared" ref="O16" si="8">+SUM(G16:J16)</f>
        <v>0.30000000000000004</v>
      </c>
      <c r="P16" s="17"/>
      <c r="Q16" s="17"/>
      <c r="R16" s="17"/>
    </row>
    <row r="17" spans="1:26" s="2" customFormat="1" x14ac:dyDescent="0.2">
      <c r="A17" s="14"/>
      <c r="B17" s="2" t="s">
        <v>85</v>
      </c>
      <c r="C17" s="22">
        <f t="shared" ref="C17:D17" si="9">+C15-C16</f>
        <v>0.72750990999999998</v>
      </c>
      <c r="D17" s="22">
        <f t="shared" si="9"/>
        <v>1.1634785410000001</v>
      </c>
      <c r="E17" s="22">
        <f t="shared" ref="E17" si="10">+E15-E16</f>
        <v>1.1544144840000001</v>
      </c>
      <c r="F17" s="22">
        <f t="shared" ref="F17:G17" si="11">+F15-F16</f>
        <v>2.2865849999999996</v>
      </c>
      <c r="G17" s="22">
        <f t="shared" si="11"/>
        <v>0.4</v>
      </c>
      <c r="H17" s="22">
        <f>+H15-H16</f>
        <v>0.8</v>
      </c>
      <c r="I17" s="22"/>
      <c r="J17" s="22"/>
      <c r="K17" s="23"/>
      <c r="L17" s="23"/>
      <c r="M17" s="23"/>
      <c r="N17" s="22">
        <f t="shared" ref="N17:Z17" si="12">+N15-N16</f>
        <v>5.331987934999999</v>
      </c>
      <c r="O17" s="22">
        <f t="shared" si="12"/>
        <v>1.2</v>
      </c>
      <c r="P17" s="22">
        <f t="shared" si="12"/>
        <v>0</v>
      </c>
      <c r="Q17" s="22">
        <f t="shared" si="12"/>
        <v>0</v>
      </c>
      <c r="R17" s="22">
        <f t="shared" si="12"/>
        <v>0</v>
      </c>
      <c r="S17" s="22">
        <f t="shared" si="12"/>
        <v>0</v>
      </c>
      <c r="T17" s="22">
        <f t="shared" si="12"/>
        <v>0</v>
      </c>
      <c r="U17" s="22">
        <f t="shared" si="12"/>
        <v>0</v>
      </c>
      <c r="V17" s="22">
        <f t="shared" si="12"/>
        <v>0</v>
      </c>
      <c r="W17" s="22">
        <f t="shared" si="12"/>
        <v>0</v>
      </c>
      <c r="X17" s="22">
        <f t="shared" si="12"/>
        <v>0</v>
      </c>
      <c r="Y17" s="22">
        <f t="shared" si="12"/>
        <v>0</v>
      </c>
      <c r="Z17" s="22">
        <f t="shared" si="12"/>
        <v>0</v>
      </c>
    </row>
    <row r="18" spans="1:26" s="2" customFormat="1" x14ac:dyDescent="0.2">
      <c r="A18" s="14"/>
      <c r="B18" s="2" t="s">
        <v>197</v>
      </c>
      <c r="C18" s="22">
        <v>0.13672394600000001</v>
      </c>
      <c r="D18" s="22">
        <v>0.20770809200000001</v>
      </c>
      <c r="E18" s="22">
        <v>0.106732908</v>
      </c>
      <c r="F18" s="22"/>
      <c r="G18" s="22"/>
      <c r="H18" s="22"/>
      <c r="I18" s="22"/>
      <c r="J18" s="22"/>
      <c r="K18" s="23"/>
      <c r="L18" s="23"/>
      <c r="M18" s="23"/>
      <c r="N18" s="22">
        <f>+SUM(C18:F18)</f>
        <v>0.45116494600000001</v>
      </c>
      <c r="O18" s="22">
        <f>+SUM(G18:J18)</f>
        <v>0</v>
      </c>
      <c r="P18" s="23"/>
      <c r="Q18" s="23"/>
      <c r="R18" s="23"/>
    </row>
    <row r="19" spans="1:26" x14ac:dyDescent="0.2">
      <c r="A19" s="9"/>
      <c r="B19" s="2" t="s">
        <v>86</v>
      </c>
      <c r="C19" s="18">
        <v>0.1030978867</v>
      </c>
      <c r="D19" s="18">
        <v>1.101978152</v>
      </c>
      <c r="E19" s="18">
        <v>1.03417359</v>
      </c>
      <c r="F19" s="18">
        <v>1.3</v>
      </c>
      <c r="G19" s="18">
        <v>1.3</v>
      </c>
      <c r="H19" s="18">
        <v>1.4</v>
      </c>
      <c r="I19" s="18"/>
      <c r="J19" s="18"/>
      <c r="K19" s="17"/>
      <c r="L19" s="17"/>
      <c r="M19" s="17"/>
      <c r="N19" s="18">
        <f t="shared" ref="N19" si="13">+SUM(C19:F19)</f>
        <v>3.5392496287000004</v>
      </c>
      <c r="O19" s="18">
        <f t="shared" ref="O19" si="14">+SUM(G19:J19)</f>
        <v>2.7</v>
      </c>
      <c r="P19" s="17"/>
      <c r="Q19" s="17"/>
      <c r="R19" s="17"/>
    </row>
    <row r="20" spans="1:26" x14ac:dyDescent="0.2">
      <c r="A20" s="9"/>
      <c r="B20" s="2" t="s">
        <v>87</v>
      </c>
      <c r="C20" s="18">
        <f>+C18+C19</f>
        <v>0.23982183270000001</v>
      </c>
      <c r="D20" s="18">
        <f t="shared" ref="D20:H20" si="15">+D18+D19</f>
        <v>1.3096862440000001</v>
      </c>
      <c r="E20" s="18">
        <f t="shared" si="15"/>
        <v>1.1409064979999999</v>
      </c>
      <c r="F20" s="18">
        <f t="shared" si="15"/>
        <v>1.3</v>
      </c>
      <c r="G20" s="18">
        <f t="shared" si="15"/>
        <v>1.3</v>
      </c>
      <c r="H20" s="18">
        <f t="shared" si="15"/>
        <v>1.4</v>
      </c>
      <c r="I20" s="18"/>
      <c r="J20" s="18"/>
      <c r="K20" s="17"/>
      <c r="L20" s="17"/>
      <c r="M20" s="17"/>
      <c r="N20" s="18">
        <f t="shared" ref="N20:O20" si="16">+N19</f>
        <v>3.5392496287000004</v>
      </c>
      <c r="O20" s="18">
        <f t="shared" si="16"/>
        <v>2.7</v>
      </c>
      <c r="P20" s="18">
        <f t="shared" ref="P20:Z20" si="17">+P19</f>
        <v>0</v>
      </c>
      <c r="Q20" s="18">
        <f t="shared" si="17"/>
        <v>0</v>
      </c>
      <c r="R20" s="18">
        <f t="shared" si="17"/>
        <v>0</v>
      </c>
      <c r="S20" s="18">
        <f t="shared" si="17"/>
        <v>0</v>
      </c>
      <c r="T20" s="18">
        <f t="shared" si="17"/>
        <v>0</v>
      </c>
      <c r="U20" s="18">
        <f t="shared" si="17"/>
        <v>0</v>
      </c>
      <c r="V20" s="18">
        <f t="shared" si="17"/>
        <v>0</v>
      </c>
      <c r="W20" s="18">
        <f t="shared" si="17"/>
        <v>0</v>
      </c>
      <c r="X20" s="18">
        <f t="shared" si="17"/>
        <v>0</v>
      </c>
      <c r="Y20" s="18">
        <f t="shared" si="17"/>
        <v>0</v>
      </c>
      <c r="Z20" s="18">
        <f t="shared" si="17"/>
        <v>0</v>
      </c>
    </row>
    <row r="21" spans="1:26" x14ac:dyDescent="0.2">
      <c r="A21" s="9"/>
      <c r="B21" s="2" t="s">
        <v>88</v>
      </c>
      <c r="C21" s="18">
        <f t="shared" ref="C21" si="18">+C17-C20</f>
        <v>0.48768807729999997</v>
      </c>
      <c r="D21" s="18">
        <f>+D17-D20</f>
        <v>-0.14620770299999997</v>
      </c>
      <c r="E21" s="18">
        <f t="shared" ref="E21" si="19">+E17-E20</f>
        <v>1.3507986000000249E-2</v>
      </c>
      <c r="F21" s="18">
        <f t="shared" ref="F21:G21" si="20">+F17-F20</f>
        <v>0.9865849999999996</v>
      </c>
      <c r="G21" s="18">
        <f t="shared" si="20"/>
        <v>-0.9</v>
      </c>
      <c r="H21" s="18">
        <f>+H17-H20</f>
        <v>-0.59999999999999987</v>
      </c>
      <c r="I21" s="18"/>
      <c r="J21" s="18"/>
      <c r="K21" s="17"/>
      <c r="L21" s="17"/>
      <c r="M21" s="17"/>
      <c r="N21" s="18">
        <f t="shared" ref="N21:O21" si="21">+N17-N20</f>
        <v>1.7927383062999986</v>
      </c>
      <c r="O21" s="18">
        <f t="shared" si="21"/>
        <v>-1.5000000000000002</v>
      </c>
      <c r="P21" s="18">
        <f t="shared" ref="P21:Z21" si="22">+P17-P20</f>
        <v>0</v>
      </c>
      <c r="Q21" s="18">
        <f t="shared" si="22"/>
        <v>0</v>
      </c>
      <c r="R21" s="18">
        <f t="shared" si="22"/>
        <v>0</v>
      </c>
      <c r="S21" s="18">
        <f t="shared" si="22"/>
        <v>0</v>
      </c>
      <c r="T21" s="18">
        <f t="shared" si="22"/>
        <v>0</v>
      </c>
      <c r="U21" s="18">
        <f t="shared" si="22"/>
        <v>0</v>
      </c>
      <c r="V21" s="18">
        <f t="shared" si="22"/>
        <v>0</v>
      </c>
      <c r="W21" s="18">
        <f t="shared" si="22"/>
        <v>0</v>
      </c>
      <c r="X21" s="18">
        <f t="shared" si="22"/>
        <v>0</v>
      </c>
      <c r="Y21" s="18">
        <f t="shared" si="22"/>
        <v>0</v>
      </c>
      <c r="Z21" s="18">
        <f t="shared" si="22"/>
        <v>0</v>
      </c>
    </row>
    <row r="22" spans="1:26" x14ac:dyDescent="0.2">
      <c r="A22" s="9"/>
      <c r="B22" s="2" t="s">
        <v>89</v>
      </c>
      <c r="C22" s="18">
        <v>0</v>
      </c>
      <c r="D22" s="18">
        <v>8.5924449999999999E-2</v>
      </c>
      <c r="E22" s="18">
        <v>0.46850961200000002</v>
      </c>
      <c r="F22" s="18">
        <v>0</v>
      </c>
      <c r="G22" s="18">
        <v>0</v>
      </c>
      <c r="H22" s="18">
        <v>0</v>
      </c>
      <c r="I22" s="18"/>
      <c r="J22" s="18"/>
      <c r="K22" s="17"/>
      <c r="L22" s="17"/>
      <c r="M22" s="17"/>
      <c r="N22" s="18">
        <f t="shared" ref="N22" si="23">+SUM(C22:F22)</f>
        <v>0.55443406200000001</v>
      </c>
      <c r="O22" s="18">
        <f t="shared" ref="O22" si="24">+SUM(G22:J22)</f>
        <v>0</v>
      </c>
      <c r="P22" s="17"/>
      <c r="Q22" s="17"/>
      <c r="R22" s="17"/>
    </row>
    <row r="23" spans="1:26" x14ac:dyDescent="0.2">
      <c r="A23" s="9"/>
      <c r="B23" s="2" t="s">
        <v>90</v>
      </c>
      <c r="C23" s="18">
        <v>0</v>
      </c>
      <c r="D23" s="18">
        <v>0.64837960100000003</v>
      </c>
      <c r="E23" s="18">
        <v>-0.68557913599999998</v>
      </c>
      <c r="F23" s="18">
        <v>0</v>
      </c>
      <c r="G23" s="18">
        <v>0</v>
      </c>
      <c r="H23" s="18">
        <v>0</v>
      </c>
      <c r="I23" s="18"/>
      <c r="J23" s="18"/>
      <c r="K23" s="17"/>
      <c r="L23" s="17"/>
      <c r="M23" s="17"/>
      <c r="N23" s="18">
        <f t="shared" ref="N23" si="25">+SUM(C23:F23)</f>
        <v>-3.719953499999995E-2</v>
      </c>
      <c r="O23" s="18">
        <f t="shared" ref="O23" si="26">+SUM(G23:J23)</f>
        <v>0</v>
      </c>
      <c r="P23" s="17"/>
      <c r="Q23" s="17"/>
      <c r="R23" s="17"/>
    </row>
    <row r="24" spans="1:26" x14ac:dyDescent="0.2">
      <c r="A24" s="9"/>
      <c r="B24" s="2" t="s">
        <v>92</v>
      </c>
      <c r="C24" s="18">
        <v>2.6428628999999981E-2</v>
      </c>
      <c r="D24" s="18">
        <f>0.000999913-1.297337113</f>
        <v>-1.2963372</v>
      </c>
      <c r="E24" s="18">
        <f>-0.000808719+0.074400797</f>
        <v>7.3592078000000005E-2</v>
      </c>
      <c r="F24" s="18">
        <v>1.8</v>
      </c>
      <c r="G24" s="18">
        <v>0</v>
      </c>
      <c r="H24" s="18">
        <v>0</v>
      </c>
      <c r="I24" s="18"/>
      <c r="J24" s="18"/>
      <c r="K24" s="17"/>
      <c r="L24" s="17"/>
      <c r="M24" s="17"/>
      <c r="N24" s="18">
        <f t="shared" ref="N24" si="27">+SUM(C24:F24)</f>
        <v>0.60368350700000017</v>
      </c>
      <c r="O24" s="18">
        <f t="shared" ref="O24" si="28">+SUM(G24:J24)</f>
        <v>0</v>
      </c>
      <c r="P24" s="17"/>
      <c r="Q24" s="17"/>
      <c r="R24" s="17"/>
    </row>
    <row r="25" spans="1:26" x14ac:dyDescent="0.2">
      <c r="A25" s="9"/>
      <c r="B25" s="2" t="s">
        <v>91</v>
      </c>
      <c r="C25" s="18">
        <f>+C21+C22-C23+-C24</f>
        <v>0.46125944829999999</v>
      </c>
      <c r="D25" s="18">
        <f t="shared" ref="D25:G25" si="29">+D21+D22-D23+-D24</f>
        <v>0.58767434600000001</v>
      </c>
      <c r="E25" s="18">
        <f>+E21+E22-E23-E24</f>
        <v>1.0940046560000001</v>
      </c>
      <c r="F25" s="18">
        <f t="shared" si="29"/>
        <v>-0.81341500000000044</v>
      </c>
      <c r="G25" s="18">
        <f t="shared" si="29"/>
        <v>-0.9</v>
      </c>
      <c r="H25" s="18">
        <f>+H21+H22-H23+-H24</f>
        <v>-0.59999999999999987</v>
      </c>
      <c r="I25" s="18"/>
      <c r="J25" s="18"/>
      <c r="K25" s="17"/>
      <c r="L25" s="17"/>
      <c r="M25" s="17"/>
      <c r="N25" s="18">
        <f t="shared" ref="N25:Z25" si="30">+N21+N22-N23+-N24</f>
        <v>1.7806883962999984</v>
      </c>
      <c r="O25" s="18">
        <f t="shared" si="30"/>
        <v>-1.5000000000000002</v>
      </c>
      <c r="P25" s="18">
        <f t="shared" si="30"/>
        <v>0</v>
      </c>
      <c r="Q25" s="18">
        <f t="shared" si="30"/>
        <v>0</v>
      </c>
      <c r="R25" s="18">
        <f t="shared" si="30"/>
        <v>0</v>
      </c>
      <c r="S25" s="18">
        <f t="shared" si="30"/>
        <v>0</v>
      </c>
      <c r="T25" s="18">
        <f t="shared" si="30"/>
        <v>0</v>
      </c>
      <c r="U25" s="18">
        <f t="shared" si="30"/>
        <v>0</v>
      </c>
      <c r="V25" s="18">
        <f t="shared" si="30"/>
        <v>0</v>
      </c>
      <c r="W25" s="18">
        <f t="shared" si="30"/>
        <v>0</v>
      </c>
      <c r="X25" s="18">
        <f t="shared" si="30"/>
        <v>0</v>
      </c>
      <c r="Y25" s="18">
        <f t="shared" si="30"/>
        <v>0</v>
      </c>
      <c r="Z25" s="18">
        <f t="shared" si="30"/>
        <v>0</v>
      </c>
    </row>
    <row r="26" spans="1:26" x14ac:dyDescent="0.2">
      <c r="A26" s="9"/>
      <c r="B26" s="2" t="s">
        <v>93</v>
      </c>
      <c r="C26" s="18">
        <v>0</v>
      </c>
      <c r="D26" s="18">
        <v>2.3863399999999999E-4</v>
      </c>
      <c r="E26" s="18">
        <v>0</v>
      </c>
      <c r="F26" s="18">
        <v>0</v>
      </c>
      <c r="G26" s="18">
        <v>0</v>
      </c>
      <c r="H26" s="18">
        <v>0</v>
      </c>
      <c r="I26" s="18"/>
      <c r="J26" s="18"/>
      <c r="K26" s="17"/>
      <c r="L26" s="17"/>
      <c r="M26" s="17"/>
      <c r="N26" s="18">
        <v>0</v>
      </c>
      <c r="O26" s="18">
        <v>0</v>
      </c>
      <c r="P26" s="17"/>
      <c r="Q26" s="17"/>
      <c r="R26" s="17"/>
    </row>
    <row r="27" spans="1:26" s="1" customFormat="1" ht="13.5" thickBot="1" x14ac:dyDescent="0.25">
      <c r="A27" s="11"/>
      <c r="B27" s="54" t="s">
        <v>94</v>
      </c>
      <c r="C27" s="55">
        <f t="shared" ref="C27:D27" si="31">+C25-C26</f>
        <v>0.46125944829999999</v>
      </c>
      <c r="D27" s="55">
        <f t="shared" si="31"/>
        <v>0.587435712</v>
      </c>
      <c r="E27" s="55">
        <f t="shared" ref="E27" si="32">+E25-E26</f>
        <v>1.0940046560000001</v>
      </c>
      <c r="F27" s="55">
        <f t="shared" ref="F27:G27" si="33">+F25-F26</f>
        <v>-0.81341500000000044</v>
      </c>
      <c r="G27" s="55">
        <f t="shared" si="33"/>
        <v>-0.9</v>
      </c>
      <c r="H27" s="55">
        <f>+H25-H26</f>
        <v>-0.59999999999999987</v>
      </c>
      <c r="I27" s="55"/>
      <c r="J27" s="55"/>
      <c r="K27" s="21"/>
      <c r="L27" s="21"/>
      <c r="M27" s="21"/>
      <c r="N27" s="55">
        <f>+N25-N26</f>
        <v>1.7806883962999984</v>
      </c>
      <c r="O27" s="55">
        <f t="shared" ref="O27:Z27" si="34">+O25-O26</f>
        <v>-1.5000000000000002</v>
      </c>
      <c r="P27" s="55">
        <f t="shared" si="34"/>
        <v>0</v>
      </c>
      <c r="Q27" s="55">
        <f t="shared" si="34"/>
        <v>0</v>
      </c>
      <c r="R27" s="55">
        <f t="shared" si="34"/>
        <v>0</v>
      </c>
      <c r="S27" s="55">
        <f t="shared" si="34"/>
        <v>0</v>
      </c>
      <c r="T27" s="55">
        <f t="shared" si="34"/>
        <v>0</v>
      </c>
      <c r="U27" s="55">
        <f t="shared" si="34"/>
        <v>0</v>
      </c>
      <c r="V27" s="55">
        <f t="shared" si="34"/>
        <v>0</v>
      </c>
      <c r="W27" s="55">
        <f t="shared" si="34"/>
        <v>0</v>
      </c>
      <c r="X27" s="55">
        <f t="shared" si="34"/>
        <v>0</v>
      </c>
      <c r="Y27" s="55">
        <f t="shared" si="34"/>
        <v>0</v>
      </c>
      <c r="Z27" s="55">
        <f t="shared" si="34"/>
        <v>0</v>
      </c>
    </row>
    <row r="28" spans="1:26" ht="13.5" thickTop="1" x14ac:dyDescent="0.2">
      <c r="A28" s="9"/>
      <c r="C28" s="18"/>
      <c r="D28" s="18"/>
      <c r="E28" s="18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</row>
    <row r="29" spans="1:26" x14ac:dyDescent="0.2">
      <c r="B29" t="s">
        <v>95</v>
      </c>
      <c r="C29" s="18">
        <f>1.1+12.6</f>
        <v>13.7</v>
      </c>
      <c r="D29" s="18">
        <f>0.8+13.9</f>
        <v>14.700000000000001</v>
      </c>
      <c r="E29" s="18">
        <f>2+13.9</f>
        <v>15.9</v>
      </c>
      <c r="F29" s="18">
        <f>2+9.7</f>
        <v>11.7</v>
      </c>
      <c r="G29" s="18">
        <f>2.1+9.2</f>
        <v>11.299999999999999</v>
      </c>
      <c r="H29" s="18">
        <f>2+7.9</f>
        <v>9.9</v>
      </c>
      <c r="I29" s="18"/>
      <c r="J29" s="18"/>
      <c r="K29" s="17"/>
      <c r="L29" s="17"/>
      <c r="M29" s="17"/>
      <c r="N29" s="17"/>
      <c r="O29" s="17"/>
      <c r="P29" s="17"/>
      <c r="Q29" s="17"/>
      <c r="R29" s="17"/>
    </row>
    <row r="30" spans="1:26" x14ac:dyDescent="0.2">
      <c r="B30" t="s">
        <v>96</v>
      </c>
      <c r="C30" s="18">
        <v>1.7</v>
      </c>
      <c r="D30" s="18">
        <v>2.2999999999999998</v>
      </c>
      <c r="E30" s="18">
        <v>2.2999999999999998</v>
      </c>
      <c r="F30" s="18">
        <v>3.5</v>
      </c>
      <c r="G30" s="18">
        <v>2.6</v>
      </c>
      <c r="H30" s="18">
        <v>2.2999999999999998</v>
      </c>
      <c r="I30" s="18"/>
      <c r="J30" s="18"/>
      <c r="K30" s="17"/>
      <c r="L30" s="17"/>
      <c r="M30" s="17"/>
      <c r="N30" s="17"/>
      <c r="O30" s="17"/>
      <c r="P30" s="17"/>
      <c r="Q30" s="17"/>
      <c r="R30" s="17"/>
    </row>
    <row r="31" spans="1:26" x14ac:dyDescent="0.2">
      <c r="B31" t="s">
        <v>97</v>
      </c>
      <c r="C31" s="18">
        <v>0.8</v>
      </c>
      <c r="D31" s="18">
        <v>0.8</v>
      </c>
      <c r="E31" s="18">
        <v>0.8</v>
      </c>
      <c r="F31" s="18">
        <v>0.8</v>
      </c>
      <c r="G31" s="18">
        <v>0.8</v>
      </c>
      <c r="H31" s="18">
        <v>0.7</v>
      </c>
      <c r="I31" s="18"/>
      <c r="J31" s="18"/>
      <c r="K31" s="17"/>
      <c r="L31" s="17"/>
      <c r="M31" s="17"/>
      <c r="N31" s="17"/>
      <c r="O31" s="17"/>
      <c r="P31" s="17"/>
      <c r="Q31" s="17"/>
      <c r="R31" s="17"/>
    </row>
    <row r="32" spans="1:26" x14ac:dyDescent="0.2">
      <c r="B32" t="s">
        <v>98</v>
      </c>
      <c r="C32" s="18">
        <v>4.7</v>
      </c>
      <c r="D32" s="18">
        <v>2.8</v>
      </c>
      <c r="E32" s="18">
        <v>1.4</v>
      </c>
      <c r="F32" s="18">
        <v>3.7</v>
      </c>
      <c r="G32" s="18">
        <v>2.8</v>
      </c>
      <c r="H32" s="18">
        <v>4</v>
      </c>
      <c r="I32" s="18"/>
      <c r="J32" s="18"/>
      <c r="K32" s="17"/>
      <c r="L32" s="17"/>
      <c r="M32" s="17"/>
      <c r="N32" s="17"/>
      <c r="O32" s="17"/>
      <c r="P32" s="17"/>
      <c r="Q32" s="17"/>
      <c r="R32" s="17"/>
    </row>
    <row r="33" spans="2:18" x14ac:dyDescent="0.2">
      <c r="B33" t="s">
        <v>99</v>
      </c>
      <c r="C33" s="18">
        <f t="shared" ref="C33:H33" si="35">+SUM(C29:C32)</f>
        <v>20.9</v>
      </c>
      <c r="D33" s="18">
        <f t="shared" si="35"/>
        <v>20.6</v>
      </c>
      <c r="E33" s="18">
        <f t="shared" si="35"/>
        <v>20.399999999999999</v>
      </c>
      <c r="F33" s="18">
        <f t="shared" si="35"/>
        <v>19.7</v>
      </c>
      <c r="G33" s="18">
        <f t="shared" si="35"/>
        <v>17.5</v>
      </c>
      <c r="H33" s="18">
        <f t="shared" si="35"/>
        <v>16.899999999999999</v>
      </c>
      <c r="I33" s="18"/>
      <c r="J33" s="18"/>
      <c r="K33" s="17"/>
      <c r="L33" s="17"/>
      <c r="M33" s="17"/>
      <c r="N33" s="17"/>
      <c r="O33" s="17"/>
      <c r="P33" s="17"/>
      <c r="Q33" s="17"/>
      <c r="R33" s="17"/>
    </row>
    <row r="34" spans="2:18" x14ac:dyDescent="0.2">
      <c r="B34" t="s">
        <v>100</v>
      </c>
      <c r="C34" s="18">
        <v>0.2</v>
      </c>
      <c r="D34" s="18">
        <v>0.2</v>
      </c>
      <c r="E34" s="18">
        <v>0.2</v>
      </c>
      <c r="F34" s="18">
        <v>0.2</v>
      </c>
      <c r="G34" s="18">
        <v>0.2</v>
      </c>
      <c r="H34" s="18">
        <v>0.2</v>
      </c>
      <c r="I34" s="18"/>
      <c r="J34" s="18"/>
      <c r="K34" s="17"/>
      <c r="L34" s="17"/>
      <c r="M34" s="17"/>
      <c r="N34" s="17"/>
      <c r="O34" s="17"/>
      <c r="P34" s="17"/>
      <c r="Q34" s="17"/>
      <c r="R34" s="17"/>
    </row>
    <row r="35" spans="2:18" x14ac:dyDescent="0.2">
      <c r="B35" t="s">
        <v>101</v>
      </c>
      <c r="C35" s="18">
        <v>0.5</v>
      </c>
      <c r="D35" s="18">
        <v>0.6</v>
      </c>
      <c r="E35" s="18">
        <v>0.6</v>
      </c>
      <c r="F35" s="18">
        <v>0.6</v>
      </c>
      <c r="G35" s="18">
        <v>0.6</v>
      </c>
      <c r="H35" s="18">
        <v>0.6</v>
      </c>
      <c r="I35" s="18"/>
      <c r="J35" s="18"/>
      <c r="K35" s="17"/>
      <c r="L35" s="17"/>
      <c r="M35" s="17"/>
      <c r="N35" s="17"/>
      <c r="O35" s="17"/>
      <c r="P35" s="17"/>
      <c r="Q35" s="17"/>
      <c r="R35" s="17"/>
    </row>
    <row r="36" spans="2:18" x14ac:dyDescent="0.2">
      <c r="B36" t="s">
        <v>102</v>
      </c>
      <c r="C36" s="18">
        <v>46.6</v>
      </c>
      <c r="D36" s="18">
        <v>47.6</v>
      </c>
      <c r="E36" s="18">
        <v>48.8</v>
      </c>
      <c r="F36" s="18">
        <v>49.1</v>
      </c>
      <c r="G36" s="18">
        <v>50.3</v>
      </c>
      <c r="H36" s="18">
        <v>51.1</v>
      </c>
      <c r="I36" s="18"/>
      <c r="J36" s="18"/>
      <c r="K36" s="17"/>
      <c r="L36" s="17"/>
      <c r="M36" s="17"/>
      <c r="N36" s="17"/>
      <c r="O36" s="17"/>
      <c r="P36" s="17"/>
      <c r="Q36" s="17"/>
      <c r="R36" s="17"/>
    </row>
    <row r="37" spans="2:18" x14ac:dyDescent="0.2">
      <c r="B37" t="s">
        <v>103</v>
      </c>
      <c r="C37" s="18">
        <f t="shared" ref="C37:E37" si="36">SUM(C34:C36)</f>
        <v>47.300000000000004</v>
      </c>
      <c r="D37" s="18">
        <f t="shared" si="36"/>
        <v>48.4</v>
      </c>
      <c r="E37" s="18">
        <f t="shared" si="36"/>
        <v>49.599999999999994</v>
      </c>
      <c r="F37" s="18">
        <f>SUM(F34:F36)</f>
        <v>49.9</v>
      </c>
      <c r="G37" s="18">
        <f>SUM(G34:G36)</f>
        <v>51.099999999999994</v>
      </c>
      <c r="H37" s="18">
        <f>SUM(H34:H36)</f>
        <v>51.9</v>
      </c>
      <c r="I37" s="18"/>
      <c r="J37" s="18"/>
      <c r="K37" s="17"/>
      <c r="L37" s="17"/>
      <c r="M37" s="17"/>
      <c r="N37" s="17"/>
      <c r="O37" s="17"/>
      <c r="P37" s="17"/>
      <c r="Q37" s="17"/>
      <c r="R37" s="17"/>
    </row>
    <row r="38" spans="2:18" x14ac:dyDescent="0.2">
      <c r="B38" s="1" t="s">
        <v>104</v>
      </c>
      <c r="C38" s="20">
        <f t="shared" ref="C38:D38" si="37">+C33+C37</f>
        <v>68.2</v>
      </c>
      <c r="D38" s="20">
        <f t="shared" si="37"/>
        <v>69</v>
      </c>
      <c r="E38" s="20">
        <f>+E33+E37</f>
        <v>70</v>
      </c>
      <c r="F38" s="20">
        <f>+F33+F37</f>
        <v>69.599999999999994</v>
      </c>
      <c r="G38" s="20">
        <f>+G33+G37</f>
        <v>68.599999999999994</v>
      </c>
      <c r="H38" s="20">
        <f>+H33+H37</f>
        <v>68.8</v>
      </c>
      <c r="I38" s="18"/>
      <c r="J38" s="18"/>
      <c r="K38" s="17"/>
      <c r="L38" s="17"/>
      <c r="M38" s="17"/>
      <c r="N38" s="17"/>
      <c r="O38" s="17"/>
      <c r="P38" s="17"/>
      <c r="Q38" s="17"/>
      <c r="R38" s="17"/>
    </row>
    <row r="39" spans="2:18" x14ac:dyDescent="0.2">
      <c r="C39" s="18"/>
      <c r="D39" s="18"/>
      <c r="E39" s="18"/>
      <c r="F39" s="18"/>
      <c r="G39" s="18"/>
      <c r="H39" s="18"/>
      <c r="I39" s="18"/>
      <c r="J39" s="18"/>
      <c r="K39" s="17"/>
      <c r="L39" s="17"/>
      <c r="M39" s="17"/>
      <c r="N39" s="17"/>
      <c r="O39" s="17"/>
      <c r="P39" s="17"/>
      <c r="Q39" s="17"/>
      <c r="R39" s="17"/>
    </row>
    <row r="40" spans="2:18" x14ac:dyDescent="0.2">
      <c r="B40" t="s">
        <v>105</v>
      </c>
      <c r="C40" s="18">
        <v>0</v>
      </c>
      <c r="D40" s="18">
        <v>0.1</v>
      </c>
      <c r="E40" s="18">
        <v>0</v>
      </c>
      <c r="F40" s="18">
        <v>0</v>
      </c>
      <c r="G40" s="18">
        <v>0</v>
      </c>
      <c r="H40" s="18">
        <v>0</v>
      </c>
      <c r="I40" s="18"/>
      <c r="J40" s="18"/>
      <c r="K40" s="17"/>
      <c r="L40" s="17"/>
      <c r="M40" s="17"/>
      <c r="N40" s="17"/>
      <c r="O40" s="17"/>
      <c r="P40" s="17"/>
      <c r="Q40" s="17"/>
      <c r="R40" s="17"/>
    </row>
    <row r="41" spans="2:18" x14ac:dyDescent="0.2">
      <c r="B41" t="s">
        <v>106</v>
      </c>
      <c r="C41" s="18">
        <v>0</v>
      </c>
      <c r="D41" s="18">
        <v>0.4</v>
      </c>
      <c r="E41" s="18">
        <v>0.4</v>
      </c>
      <c r="F41" s="18">
        <v>0.4</v>
      </c>
      <c r="G41" s="18">
        <v>0.4</v>
      </c>
      <c r="H41" s="18">
        <v>0.4</v>
      </c>
      <c r="I41" s="18"/>
      <c r="J41" s="18"/>
      <c r="K41" s="17"/>
      <c r="L41" s="17"/>
      <c r="M41" s="17"/>
      <c r="N41" s="17"/>
      <c r="O41" s="17"/>
      <c r="P41" s="17"/>
      <c r="Q41" s="17"/>
      <c r="R41" s="17"/>
    </row>
    <row r="42" spans="2:18" x14ac:dyDescent="0.2">
      <c r="B42" t="s">
        <v>107</v>
      </c>
      <c r="C42" s="18">
        <v>0.3</v>
      </c>
      <c r="D42" s="18">
        <v>0.4</v>
      </c>
      <c r="E42" s="18">
        <v>0.4</v>
      </c>
      <c r="F42" s="18">
        <v>0.5</v>
      </c>
      <c r="G42" s="18">
        <v>0.3</v>
      </c>
      <c r="H42" s="18">
        <v>0.6</v>
      </c>
      <c r="I42" s="18"/>
      <c r="J42" s="18"/>
      <c r="K42" s="17"/>
      <c r="L42" s="17"/>
      <c r="M42" s="17"/>
      <c r="N42" s="17"/>
      <c r="O42" s="17"/>
      <c r="P42" s="17"/>
      <c r="Q42" s="17"/>
      <c r="R42" s="17"/>
    </row>
    <row r="43" spans="2:18" x14ac:dyDescent="0.2">
      <c r="B43" t="s">
        <v>115</v>
      </c>
      <c r="C43" s="18">
        <f t="shared" ref="C43:G43" si="38">+SUM(C40:C42)</f>
        <v>0.3</v>
      </c>
      <c r="D43" s="18">
        <f t="shared" si="38"/>
        <v>0.9</v>
      </c>
      <c r="E43" s="18">
        <f t="shared" si="38"/>
        <v>0.8</v>
      </c>
      <c r="F43" s="18">
        <f t="shared" si="38"/>
        <v>0.9</v>
      </c>
      <c r="G43" s="18">
        <f t="shared" si="38"/>
        <v>0.7</v>
      </c>
      <c r="H43" s="18">
        <f>+SUM(H40:H42)</f>
        <v>1</v>
      </c>
      <c r="I43" s="18"/>
      <c r="J43" s="18"/>
      <c r="K43" s="17"/>
      <c r="L43" s="17"/>
      <c r="M43" s="17"/>
      <c r="N43" s="17"/>
      <c r="O43" s="17"/>
      <c r="P43" s="17"/>
      <c r="Q43" s="17"/>
      <c r="R43" s="17"/>
    </row>
    <row r="44" spans="2:18" x14ac:dyDescent="0.2">
      <c r="B44" t="s">
        <v>116</v>
      </c>
      <c r="C44" s="18">
        <v>2.5</v>
      </c>
      <c r="D44" s="18">
        <v>0.5</v>
      </c>
      <c r="E44" s="18">
        <v>0.4</v>
      </c>
      <c r="F44" s="18">
        <v>0.7</v>
      </c>
      <c r="G44" s="18">
        <v>0.7</v>
      </c>
      <c r="H44" s="18">
        <v>0.8</v>
      </c>
      <c r="I44" s="18"/>
      <c r="J44" s="18"/>
      <c r="K44" s="17"/>
      <c r="L44" s="17"/>
      <c r="M44" s="17"/>
      <c r="N44" s="17"/>
      <c r="O44" s="17"/>
      <c r="P44" s="17"/>
      <c r="Q44" s="17"/>
      <c r="R44" s="17"/>
    </row>
    <row r="45" spans="2:18" x14ac:dyDescent="0.2">
      <c r="B45" t="s">
        <v>117</v>
      </c>
      <c r="C45" s="18">
        <v>0.9</v>
      </c>
      <c r="D45" s="18">
        <v>1</v>
      </c>
      <c r="E45" s="18">
        <v>1</v>
      </c>
      <c r="F45" s="18">
        <v>1.1000000000000001</v>
      </c>
      <c r="G45" s="18">
        <v>1.2</v>
      </c>
      <c r="H45" s="18">
        <v>1.2</v>
      </c>
      <c r="I45" s="18"/>
      <c r="J45" s="18"/>
      <c r="K45" s="17"/>
      <c r="L45" s="17"/>
      <c r="M45" s="17"/>
      <c r="N45" s="17"/>
      <c r="O45" s="17"/>
      <c r="P45" s="17"/>
      <c r="Q45" s="17"/>
      <c r="R45" s="17"/>
    </row>
    <row r="46" spans="2:18" x14ac:dyDescent="0.2">
      <c r="B46" t="s">
        <v>118</v>
      </c>
      <c r="C46" s="18">
        <f t="shared" ref="C46:G46" si="39">+SUM(C44:C45)</f>
        <v>3.4</v>
      </c>
      <c r="D46" s="18">
        <v>1.4</v>
      </c>
      <c r="E46" s="18">
        <f t="shared" si="39"/>
        <v>1.4</v>
      </c>
      <c r="F46" s="18">
        <f t="shared" si="39"/>
        <v>1.8</v>
      </c>
      <c r="G46" s="18">
        <f t="shared" si="39"/>
        <v>1.9</v>
      </c>
      <c r="H46" s="18">
        <f>+SUM(H44:H45)</f>
        <v>2</v>
      </c>
      <c r="I46" s="18"/>
      <c r="J46" s="18"/>
      <c r="K46" s="17"/>
      <c r="L46" s="17"/>
      <c r="M46" s="17"/>
      <c r="N46" s="17"/>
      <c r="O46" s="17"/>
      <c r="P46" s="17"/>
      <c r="Q46" s="17"/>
      <c r="R46" s="17"/>
    </row>
    <row r="47" spans="2:18" x14ac:dyDescent="0.2">
      <c r="B47" t="s">
        <v>108</v>
      </c>
      <c r="C47" s="18">
        <f t="shared" ref="C47:F47" si="40">+C46+C43</f>
        <v>3.6999999999999997</v>
      </c>
      <c r="D47" s="18">
        <f t="shared" si="40"/>
        <v>2.2999999999999998</v>
      </c>
      <c r="E47" s="18">
        <f t="shared" si="40"/>
        <v>2.2000000000000002</v>
      </c>
      <c r="F47" s="18">
        <f t="shared" si="40"/>
        <v>2.7</v>
      </c>
      <c r="G47" s="18">
        <f>+G46+G43</f>
        <v>2.5999999999999996</v>
      </c>
      <c r="H47" s="18">
        <v>2.9</v>
      </c>
      <c r="I47" s="18"/>
      <c r="J47" s="18"/>
      <c r="K47" s="17"/>
      <c r="L47" s="17"/>
      <c r="M47" s="17"/>
      <c r="N47" s="17"/>
      <c r="O47" s="17"/>
      <c r="P47" s="17"/>
      <c r="Q47" s="17"/>
      <c r="R47" s="17"/>
    </row>
    <row r="48" spans="2:18" x14ac:dyDescent="0.2">
      <c r="B48" t="s">
        <v>109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7"/>
      <c r="L48" s="17"/>
      <c r="M48" s="17"/>
      <c r="N48" s="17"/>
      <c r="O48" s="17"/>
      <c r="P48" s="17"/>
      <c r="Q48" s="17"/>
      <c r="R48" s="17"/>
    </row>
    <row r="49" spans="2:18" x14ac:dyDescent="0.2">
      <c r="B49" t="s">
        <v>110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7"/>
      <c r="L49" s="17"/>
      <c r="M49" s="17"/>
      <c r="N49" s="17"/>
      <c r="O49" s="17"/>
      <c r="P49" s="17"/>
      <c r="Q49" s="17"/>
      <c r="R49" s="17"/>
    </row>
    <row r="50" spans="2:18" x14ac:dyDescent="0.2">
      <c r="B50" t="s">
        <v>111</v>
      </c>
      <c r="C50" s="18">
        <v>93.2</v>
      </c>
      <c r="D50" s="18">
        <v>95.4</v>
      </c>
      <c r="E50" s="18">
        <v>95.4</v>
      </c>
      <c r="F50" s="18">
        <v>95.4</v>
      </c>
      <c r="G50" s="18">
        <v>95.4</v>
      </c>
      <c r="H50" s="18">
        <v>95.4</v>
      </c>
      <c r="I50" s="18"/>
      <c r="J50" s="18"/>
      <c r="K50" s="17"/>
      <c r="L50" s="17"/>
      <c r="M50" s="17"/>
      <c r="N50" s="17"/>
      <c r="O50" s="17"/>
      <c r="P50" s="17"/>
      <c r="Q50" s="17"/>
      <c r="R50" s="17"/>
    </row>
    <row r="51" spans="2:18" x14ac:dyDescent="0.2">
      <c r="B51" t="s">
        <v>112</v>
      </c>
      <c r="C51" s="18">
        <v>-28.7</v>
      </c>
      <c r="D51" s="18">
        <v>-28.7</v>
      </c>
      <c r="E51" s="18">
        <v>-27.6</v>
      </c>
      <c r="F51" s="18">
        <v>-28.5</v>
      </c>
      <c r="G51" s="18">
        <v>-29.4</v>
      </c>
      <c r="H51" s="18">
        <v>-29.5</v>
      </c>
      <c r="I51" s="18"/>
      <c r="J51" s="18"/>
      <c r="K51" s="17"/>
      <c r="L51" s="17"/>
      <c r="M51" s="17"/>
      <c r="N51" s="17"/>
      <c r="O51" s="17"/>
      <c r="P51" s="17"/>
      <c r="Q51" s="17"/>
      <c r="R51" s="17"/>
    </row>
    <row r="52" spans="2:18" s="1" customFormat="1" x14ac:dyDescent="0.2">
      <c r="B52" s="1" t="s">
        <v>113</v>
      </c>
      <c r="C52" s="20">
        <f t="shared" ref="C52:G52" si="41">+C50+C51</f>
        <v>64.5</v>
      </c>
      <c r="D52" s="20">
        <f t="shared" si="41"/>
        <v>66.7</v>
      </c>
      <c r="E52" s="20">
        <f t="shared" si="41"/>
        <v>67.800000000000011</v>
      </c>
      <c r="F52" s="20">
        <f t="shared" si="41"/>
        <v>66.900000000000006</v>
      </c>
      <c r="G52" s="20">
        <f t="shared" si="41"/>
        <v>66</v>
      </c>
      <c r="H52" s="20">
        <f>+H50+H51</f>
        <v>65.900000000000006</v>
      </c>
      <c r="I52" s="20"/>
      <c r="J52" s="20"/>
      <c r="K52" s="21"/>
      <c r="L52" s="21"/>
      <c r="M52" s="21"/>
      <c r="N52" s="21"/>
      <c r="O52" s="21"/>
      <c r="P52" s="21"/>
      <c r="Q52" s="21"/>
      <c r="R52" s="21"/>
    </row>
    <row r="53" spans="2:18" s="1" customFormat="1" x14ac:dyDescent="0.2">
      <c r="B53" s="1" t="s">
        <v>114</v>
      </c>
      <c r="C53" s="20">
        <f t="shared" ref="C53:G53" si="42">+C52+C47</f>
        <v>68.2</v>
      </c>
      <c r="D53" s="20">
        <f t="shared" si="42"/>
        <v>69</v>
      </c>
      <c r="E53" s="20">
        <f t="shared" si="42"/>
        <v>70.000000000000014</v>
      </c>
      <c r="F53" s="20">
        <f t="shared" si="42"/>
        <v>69.600000000000009</v>
      </c>
      <c r="G53" s="20">
        <f t="shared" si="42"/>
        <v>68.599999999999994</v>
      </c>
      <c r="H53" s="20">
        <f>+H52+H47</f>
        <v>68.800000000000011</v>
      </c>
      <c r="I53" s="20"/>
      <c r="J53" s="20"/>
      <c r="K53" s="21"/>
      <c r="L53" s="21"/>
      <c r="M53" s="21"/>
      <c r="N53" s="21"/>
      <c r="O53" s="21"/>
      <c r="P53" s="21"/>
      <c r="Q53" s="21"/>
      <c r="R53" s="21"/>
    </row>
    <row r="54" spans="2:18" x14ac:dyDescent="0.2">
      <c r="C54" s="18">
        <f t="shared" ref="C54:F54" si="43">+C38-C53</f>
        <v>0</v>
      </c>
      <c r="D54" s="18">
        <f t="shared" si="43"/>
        <v>0</v>
      </c>
      <c r="E54" s="18">
        <f t="shared" si="43"/>
        <v>0</v>
      </c>
      <c r="F54" s="18">
        <f t="shared" si="43"/>
        <v>0</v>
      </c>
      <c r="G54" s="18">
        <f>+G38-G53</f>
        <v>0</v>
      </c>
      <c r="H54" s="18">
        <f>+H38-H53</f>
        <v>0</v>
      </c>
      <c r="I54" s="18"/>
      <c r="J54" s="18"/>
      <c r="K54" s="17"/>
      <c r="L54" s="17"/>
      <c r="M54" s="17"/>
      <c r="N54" s="17"/>
      <c r="O54" s="17"/>
      <c r="P54" s="17"/>
      <c r="Q54" s="17"/>
      <c r="R54" s="17"/>
    </row>
    <row r="55" spans="2:18" x14ac:dyDescent="0.2">
      <c r="C55" s="18"/>
      <c r="D55" s="18"/>
      <c r="E55" s="18"/>
      <c r="F55" s="18"/>
      <c r="G55" s="18"/>
      <c r="H55" s="18"/>
      <c r="I55" s="18"/>
      <c r="J55" s="18"/>
      <c r="K55" s="17"/>
      <c r="L55" s="17"/>
      <c r="M55" s="17"/>
      <c r="N55" s="17"/>
      <c r="O55" s="17"/>
      <c r="P55" s="17"/>
      <c r="Q55" s="17"/>
      <c r="R55" s="17"/>
    </row>
    <row r="56" spans="2:18" x14ac:dyDescent="0.2">
      <c r="C56" s="18"/>
      <c r="D56" s="18"/>
      <c r="E56" s="18"/>
      <c r="F56" s="18"/>
      <c r="G56" s="18"/>
      <c r="H56" s="18"/>
      <c r="I56" s="18"/>
      <c r="J56" s="18"/>
      <c r="K56" s="17"/>
      <c r="L56" s="17"/>
      <c r="M56" s="17"/>
      <c r="N56" s="17"/>
      <c r="O56" s="17"/>
      <c r="P56" s="17"/>
      <c r="Q56" s="17"/>
      <c r="R56" s="17"/>
    </row>
    <row r="57" spans="2:18" x14ac:dyDescent="0.2">
      <c r="C57" s="18"/>
      <c r="D57" s="18"/>
      <c r="E57" s="18"/>
      <c r="F57" s="18"/>
      <c r="G57" s="18"/>
      <c r="H57" s="18"/>
      <c r="I57" s="18"/>
      <c r="J57" s="18"/>
      <c r="K57" s="17"/>
      <c r="L57" s="17"/>
      <c r="M57" s="17"/>
      <c r="N57" s="17"/>
      <c r="O57" s="17"/>
      <c r="P57" s="17"/>
      <c r="Q57" s="17"/>
      <c r="R57" s="17"/>
    </row>
    <row r="58" spans="2:18" x14ac:dyDescent="0.2">
      <c r="C58" s="18"/>
      <c r="D58" s="18"/>
      <c r="E58" s="18"/>
      <c r="F58" s="18"/>
      <c r="G58" s="18"/>
      <c r="H58" s="18"/>
      <c r="I58" s="18"/>
      <c r="J58" s="18"/>
      <c r="K58" s="17"/>
      <c r="L58" s="17"/>
      <c r="M58" s="17"/>
      <c r="N58" s="17"/>
      <c r="O58" s="17"/>
      <c r="P58" s="17"/>
      <c r="Q58" s="17"/>
      <c r="R58" s="17"/>
    </row>
    <row r="59" spans="2:18" x14ac:dyDescent="0.2">
      <c r="C59" s="18"/>
      <c r="D59" s="18"/>
      <c r="E59" s="18"/>
      <c r="F59" s="18"/>
      <c r="G59" s="18"/>
      <c r="H59" s="18"/>
      <c r="I59" s="18"/>
      <c r="J59" s="18"/>
      <c r="K59" s="17"/>
      <c r="L59" s="17"/>
      <c r="M59" s="17"/>
      <c r="N59" s="17"/>
      <c r="O59" s="17"/>
      <c r="P59" s="17"/>
      <c r="Q59" s="17"/>
      <c r="R59" s="17"/>
    </row>
    <row r="60" spans="2:18" x14ac:dyDescent="0.2">
      <c r="C60" s="18"/>
      <c r="D60" s="18"/>
      <c r="E60" s="18"/>
      <c r="F60" s="18"/>
      <c r="G60" s="18"/>
      <c r="H60" s="18"/>
      <c r="I60" s="18"/>
      <c r="J60" s="18"/>
      <c r="K60" s="17"/>
      <c r="L60" s="17"/>
      <c r="M60" s="17"/>
      <c r="N60" s="17"/>
      <c r="O60" s="17"/>
      <c r="P60" s="17"/>
      <c r="Q60" s="17"/>
      <c r="R60" s="17"/>
    </row>
    <row r="61" spans="2:18" x14ac:dyDescent="0.2">
      <c r="C61" s="18"/>
      <c r="D61" s="18"/>
      <c r="E61" s="18"/>
      <c r="F61" s="18"/>
      <c r="G61" s="18"/>
      <c r="H61" s="18"/>
      <c r="I61" s="18"/>
      <c r="J61" s="18"/>
      <c r="K61" s="17"/>
      <c r="L61" s="17"/>
      <c r="M61" s="17"/>
      <c r="N61" s="17"/>
      <c r="O61" s="17"/>
      <c r="P61" s="17"/>
      <c r="Q61" s="17"/>
      <c r="R61" s="17"/>
    </row>
    <row r="62" spans="2:18" x14ac:dyDescent="0.2">
      <c r="C62" s="18"/>
      <c r="D62" s="18"/>
      <c r="E62" s="18"/>
      <c r="F62" s="18"/>
      <c r="G62" s="18"/>
      <c r="H62" s="18"/>
      <c r="I62" s="18"/>
      <c r="J62" s="18"/>
      <c r="K62" s="17"/>
      <c r="L62" s="17"/>
      <c r="M62" s="17"/>
      <c r="N62" s="17"/>
      <c r="O62" s="17"/>
      <c r="P62" s="17"/>
      <c r="Q62" s="17"/>
      <c r="R62" s="17"/>
    </row>
    <row r="63" spans="2:18" x14ac:dyDescent="0.2">
      <c r="C63" s="18"/>
      <c r="D63" s="18"/>
      <c r="E63" s="18"/>
      <c r="F63" s="18"/>
      <c r="G63" s="18"/>
      <c r="H63" s="18"/>
      <c r="I63" s="18"/>
      <c r="J63" s="18"/>
      <c r="K63" s="17"/>
      <c r="L63" s="17"/>
      <c r="M63" s="17"/>
      <c r="N63" s="17"/>
      <c r="O63" s="17"/>
      <c r="P63" s="17"/>
      <c r="Q63" s="17"/>
      <c r="R63" s="17"/>
    </row>
    <row r="64" spans="2:18" x14ac:dyDescent="0.2">
      <c r="C64" s="18"/>
      <c r="D64" s="18"/>
      <c r="E64" s="18"/>
      <c r="F64" s="18"/>
      <c r="G64" s="18"/>
      <c r="H64" s="18"/>
      <c r="I64" s="18"/>
      <c r="J64" s="18"/>
      <c r="K64" s="17"/>
      <c r="L64" s="17"/>
      <c r="M64" s="17"/>
      <c r="N64" s="17"/>
      <c r="O64" s="17"/>
      <c r="P64" s="17"/>
      <c r="Q64" s="17"/>
      <c r="R64" s="17"/>
    </row>
    <row r="65" spans="3:18" x14ac:dyDescent="0.2">
      <c r="C65" s="18"/>
      <c r="D65" s="18"/>
      <c r="E65" s="18"/>
      <c r="F65" s="18"/>
      <c r="G65" s="18"/>
      <c r="H65" s="18"/>
      <c r="I65" s="18"/>
      <c r="J65" s="18"/>
      <c r="K65" s="17"/>
      <c r="L65" s="17"/>
      <c r="M65" s="17"/>
      <c r="N65" s="17"/>
      <c r="O65" s="17"/>
      <c r="P65" s="17"/>
      <c r="Q65" s="17"/>
      <c r="R65" s="17"/>
    </row>
    <row r="66" spans="3:18" x14ac:dyDescent="0.2">
      <c r="C66" s="18"/>
      <c r="D66" s="18"/>
      <c r="E66" s="18"/>
      <c r="F66" s="18"/>
      <c r="G66" s="18"/>
      <c r="H66" s="18"/>
      <c r="I66" s="18"/>
      <c r="J66" s="18"/>
      <c r="K66" s="17"/>
      <c r="L66" s="17"/>
      <c r="M66" s="17"/>
      <c r="N66" s="17"/>
      <c r="O66" s="17"/>
      <c r="P66" s="17"/>
      <c r="Q66" s="17"/>
      <c r="R66" s="17"/>
    </row>
    <row r="67" spans="3:18" x14ac:dyDescent="0.2">
      <c r="C67" s="18"/>
      <c r="D67" s="18"/>
      <c r="E67" s="18"/>
      <c r="F67" s="18"/>
      <c r="G67" s="18"/>
      <c r="H67" s="18"/>
      <c r="I67" s="18"/>
      <c r="J67" s="18"/>
      <c r="K67" s="17"/>
      <c r="L67" s="17"/>
      <c r="M67" s="17"/>
      <c r="N67" s="17"/>
      <c r="O67" s="17"/>
      <c r="P67" s="17"/>
      <c r="Q67" s="17"/>
      <c r="R67" s="17"/>
    </row>
    <row r="68" spans="3:18" x14ac:dyDescent="0.2">
      <c r="C68" s="18"/>
      <c r="D68" s="18"/>
      <c r="E68" s="18"/>
      <c r="F68" s="18"/>
      <c r="G68" s="18"/>
      <c r="H68" s="18"/>
      <c r="I68" s="18"/>
      <c r="J68" s="18"/>
      <c r="K68" s="17"/>
      <c r="L68" s="17"/>
      <c r="M68" s="17"/>
      <c r="N68" s="17"/>
      <c r="O68" s="17"/>
      <c r="P68" s="17"/>
      <c r="Q68" s="17"/>
      <c r="R68" s="17"/>
    </row>
    <row r="69" spans="3:18" x14ac:dyDescent="0.2">
      <c r="C69" s="18"/>
      <c r="D69" s="18"/>
      <c r="E69" s="18"/>
      <c r="F69" s="18"/>
      <c r="G69" s="18"/>
      <c r="H69" s="18"/>
      <c r="I69" s="18"/>
      <c r="J69" s="18"/>
      <c r="K69" s="17"/>
      <c r="L69" s="17"/>
      <c r="M69" s="17"/>
      <c r="N69" s="17"/>
      <c r="O69" s="17"/>
      <c r="P69" s="17"/>
      <c r="Q69" s="17"/>
      <c r="R69" s="17"/>
    </row>
    <row r="70" spans="3:18" x14ac:dyDescent="0.2">
      <c r="C70" s="18"/>
      <c r="D70" s="18"/>
      <c r="E70" s="18"/>
      <c r="F70" s="18"/>
      <c r="G70" s="18"/>
      <c r="H70" s="18"/>
      <c r="I70" s="18"/>
      <c r="J70" s="18"/>
      <c r="K70" s="17"/>
      <c r="L70" s="17"/>
      <c r="M70" s="17"/>
      <c r="N70" s="17"/>
      <c r="O70" s="17"/>
      <c r="P70" s="17"/>
      <c r="Q70" s="17"/>
      <c r="R70" s="17"/>
    </row>
    <row r="71" spans="3:18" x14ac:dyDescent="0.2">
      <c r="C71" s="18"/>
      <c r="D71" s="18"/>
      <c r="E71" s="18"/>
      <c r="F71" s="18"/>
      <c r="G71" s="18"/>
      <c r="H71" s="18"/>
      <c r="I71" s="18"/>
      <c r="J71" s="18"/>
      <c r="K71" s="17"/>
      <c r="L71" s="17"/>
      <c r="M71" s="17"/>
      <c r="N71" s="17"/>
      <c r="O71" s="17"/>
      <c r="P71" s="17"/>
      <c r="Q71" s="17"/>
      <c r="R71" s="17"/>
    </row>
    <row r="72" spans="3:18" x14ac:dyDescent="0.2">
      <c r="C72" s="18"/>
      <c r="D72" s="18"/>
      <c r="E72" s="18"/>
      <c r="F72" s="18"/>
      <c r="G72" s="18"/>
      <c r="H72" s="18"/>
      <c r="I72" s="18"/>
      <c r="J72" s="18"/>
      <c r="K72" s="17"/>
      <c r="L72" s="17"/>
      <c r="M72" s="17"/>
      <c r="N72" s="17"/>
      <c r="O72" s="17"/>
      <c r="P72" s="17"/>
      <c r="Q72" s="17"/>
      <c r="R72" s="17"/>
    </row>
    <row r="73" spans="3:18" x14ac:dyDescent="0.2">
      <c r="C73" s="18"/>
      <c r="D73" s="18"/>
      <c r="E73" s="18"/>
      <c r="F73" s="18"/>
      <c r="G73" s="18"/>
      <c r="H73" s="18"/>
      <c r="I73" s="18"/>
      <c r="J73" s="18"/>
      <c r="K73" s="17"/>
      <c r="L73" s="17"/>
      <c r="M73" s="17"/>
      <c r="N73" s="17"/>
      <c r="O73" s="17"/>
      <c r="P73" s="17"/>
      <c r="Q73" s="17"/>
      <c r="R73" s="17"/>
    </row>
    <row r="74" spans="3:18" x14ac:dyDescent="0.2">
      <c r="C74" s="18"/>
      <c r="D74" s="18"/>
      <c r="E74" s="18"/>
      <c r="F74" s="18"/>
      <c r="G74" s="18"/>
      <c r="H74" s="18"/>
      <c r="I74" s="18"/>
      <c r="J74" s="18"/>
    </row>
    <row r="75" spans="3:18" x14ac:dyDescent="0.2">
      <c r="C75" s="18"/>
      <c r="D75" s="18"/>
      <c r="E75" s="18"/>
      <c r="F75" s="18"/>
      <c r="G75" s="18"/>
      <c r="H75" s="18"/>
      <c r="I75" s="18"/>
      <c r="J75" s="18"/>
    </row>
    <row r="76" spans="3:18" x14ac:dyDescent="0.2">
      <c r="C76" s="18"/>
      <c r="D76" s="18"/>
      <c r="E76" s="18"/>
      <c r="F76" s="18"/>
      <c r="G76" s="18"/>
      <c r="H76" s="18"/>
      <c r="I76" s="18"/>
      <c r="J76" s="18"/>
    </row>
    <row r="77" spans="3:18" x14ac:dyDescent="0.2">
      <c r="C77" s="18"/>
      <c r="D77" s="18"/>
      <c r="E77" s="18"/>
      <c r="F77" s="18"/>
      <c r="G77" s="18"/>
      <c r="H77" s="18"/>
      <c r="I77" s="18"/>
      <c r="J77" s="18"/>
    </row>
    <row r="78" spans="3:18" x14ac:dyDescent="0.2">
      <c r="C78" s="18"/>
      <c r="D78" s="18"/>
      <c r="E78" s="18"/>
      <c r="F78" s="18"/>
      <c r="G78" s="18"/>
      <c r="H78" s="18"/>
      <c r="I78" s="18"/>
      <c r="J78" s="18"/>
    </row>
    <row r="79" spans="3:18" x14ac:dyDescent="0.2">
      <c r="C79" s="18"/>
      <c r="D79" s="18"/>
      <c r="E79" s="18"/>
      <c r="F79" s="18"/>
      <c r="G79" s="18"/>
      <c r="H79" s="18"/>
      <c r="I79" s="18"/>
      <c r="J79" s="18"/>
    </row>
    <row r="80" spans="3:18" x14ac:dyDescent="0.2">
      <c r="C80" s="18"/>
      <c r="D80" s="18"/>
      <c r="E80" s="18"/>
      <c r="F80" s="18"/>
      <c r="G80" s="18"/>
      <c r="H80" s="18"/>
      <c r="I80" s="18"/>
      <c r="J80" s="18"/>
    </row>
    <row r="81" spans="3:10" x14ac:dyDescent="0.2">
      <c r="C81" s="18"/>
      <c r="D81" s="18"/>
      <c r="E81" s="18"/>
      <c r="F81" s="18"/>
      <c r="G81" s="18"/>
      <c r="H81" s="18"/>
      <c r="I81" s="18"/>
      <c r="J81" s="18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6"/>
  <sheetViews>
    <sheetView workbookViewId="0">
      <selection activeCell="D3" sqref="D3"/>
    </sheetView>
  </sheetViews>
  <sheetFormatPr defaultRowHeight="12.75" x14ac:dyDescent="0.2"/>
  <cols>
    <col min="4" max="4" width="14.42578125" bestFit="1" customWidth="1"/>
    <col min="5" max="5" width="12.7109375" bestFit="1" customWidth="1"/>
  </cols>
  <sheetData>
    <row r="2" spans="3:5" x14ac:dyDescent="0.2">
      <c r="D2">
        <v>2012</v>
      </c>
      <c r="E2">
        <v>2013</v>
      </c>
    </row>
    <row r="3" spans="3:5" x14ac:dyDescent="0.2">
      <c r="C3" t="s">
        <v>186</v>
      </c>
      <c r="D3" s="17">
        <v>3888130924</v>
      </c>
      <c r="E3" s="17">
        <v>5745711929</v>
      </c>
    </row>
    <row r="4" spans="3:5" x14ac:dyDescent="0.2">
      <c r="C4" t="s">
        <v>88</v>
      </c>
      <c r="D4" s="17">
        <v>-1676178577</v>
      </c>
      <c r="E4" s="17">
        <v>378665256</v>
      </c>
    </row>
    <row r="5" spans="3:5" x14ac:dyDescent="0.2">
      <c r="C5" t="s">
        <v>187</v>
      </c>
      <c r="D5" s="17">
        <v>-4632300279</v>
      </c>
      <c r="E5" s="17">
        <v>266301470</v>
      </c>
    </row>
    <row r="6" spans="3:5" x14ac:dyDescent="0.2">
      <c r="C6" t="s">
        <v>94</v>
      </c>
      <c r="D6" s="17">
        <v>-4632644117</v>
      </c>
      <c r="E6" s="17">
        <v>265715545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workbookViewId="0">
      <selection activeCell="C13" sqref="C13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8" t="s">
        <v>44</v>
      </c>
      <c r="B1" s="9"/>
      <c r="C1" s="9"/>
    </row>
    <row r="2" spans="1:3" x14ac:dyDescent="0.2">
      <c r="A2" s="9"/>
      <c r="B2" s="9" t="s">
        <v>33</v>
      </c>
      <c r="C2" s="9" t="s">
        <v>15</v>
      </c>
    </row>
    <row r="3" spans="1:3" x14ac:dyDescent="0.2">
      <c r="A3" s="9"/>
      <c r="B3" s="9" t="s">
        <v>34</v>
      </c>
      <c r="C3" s="9"/>
    </row>
    <row r="4" spans="1:3" x14ac:dyDescent="0.2">
      <c r="A4" s="9"/>
      <c r="B4" s="9" t="s">
        <v>1</v>
      </c>
      <c r="C4" s="9" t="s">
        <v>66</v>
      </c>
    </row>
    <row r="5" spans="1:3" x14ac:dyDescent="0.2">
      <c r="A5" s="9"/>
      <c r="B5" s="9" t="s">
        <v>36</v>
      </c>
      <c r="C5" s="9" t="s">
        <v>67</v>
      </c>
    </row>
    <row r="6" spans="1:3" x14ac:dyDescent="0.2">
      <c r="A6" s="9"/>
      <c r="B6" s="9" t="s">
        <v>37</v>
      </c>
      <c r="C6" s="9"/>
    </row>
    <row r="7" spans="1:3" x14ac:dyDescent="0.2">
      <c r="A7" s="9"/>
      <c r="B7" s="9"/>
      <c r="C7" s="9"/>
    </row>
    <row r="8" spans="1:3" x14ac:dyDescent="0.2">
      <c r="A8" s="9"/>
      <c r="B8" s="9" t="s">
        <v>39</v>
      </c>
      <c r="C8" s="9" t="s">
        <v>61</v>
      </c>
    </row>
    <row r="9" spans="1:3" x14ac:dyDescent="0.2">
      <c r="A9" s="9"/>
      <c r="B9" s="10" t="s">
        <v>40</v>
      </c>
      <c r="C9" s="9"/>
    </row>
    <row r="10" spans="1:3" x14ac:dyDescent="0.2">
      <c r="A10" s="9"/>
      <c r="B10" s="9" t="s">
        <v>41</v>
      </c>
      <c r="C10" s="9"/>
    </row>
    <row r="11" spans="1:3" x14ac:dyDescent="0.2">
      <c r="A11" s="9"/>
      <c r="B11" s="9"/>
      <c r="C11" s="9"/>
    </row>
    <row r="12" spans="1:3" x14ac:dyDescent="0.2">
      <c r="A12" s="9"/>
      <c r="B12" s="9" t="s">
        <v>42</v>
      </c>
      <c r="C12" s="9" t="s">
        <v>180</v>
      </c>
    </row>
    <row r="13" spans="1:3" x14ac:dyDescent="0.2">
      <c r="A13" s="9"/>
      <c r="B13" s="9"/>
      <c r="C13" s="9"/>
    </row>
    <row r="14" spans="1:3" x14ac:dyDescent="0.2">
      <c r="A14" s="9"/>
      <c r="B14" s="9"/>
      <c r="C14" s="9"/>
    </row>
    <row r="15" spans="1:3" x14ac:dyDescent="0.2">
      <c r="A15" s="9"/>
      <c r="B15" s="9"/>
      <c r="C15" s="9"/>
    </row>
    <row r="16" spans="1:3" x14ac:dyDescent="0.2">
      <c r="A16" s="9"/>
      <c r="B16" s="9"/>
      <c r="C16" s="9"/>
    </row>
    <row r="17" spans="1:3" x14ac:dyDescent="0.2">
      <c r="A17" s="9"/>
      <c r="B17" s="9" t="s">
        <v>43</v>
      </c>
      <c r="C17" s="9" t="s">
        <v>179</v>
      </c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  <row r="21" spans="1:3" x14ac:dyDescent="0.2">
      <c r="A21" s="9"/>
      <c r="B21" s="9"/>
      <c r="C21" s="9"/>
    </row>
    <row r="22" spans="1:3" x14ac:dyDescent="0.2">
      <c r="A22" s="9"/>
      <c r="B22" s="9"/>
      <c r="C22" s="9"/>
    </row>
    <row r="23" spans="1:3" x14ac:dyDescent="0.2">
      <c r="A23" s="9"/>
      <c r="B23" s="9"/>
      <c r="C23" s="9"/>
    </row>
    <row r="24" spans="1:3" x14ac:dyDescent="0.2">
      <c r="A24" s="9"/>
      <c r="B24" s="9"/>
      <c r="C24" s="9"/>
    </row>
    <row r="25" spans="1:3" x14ac:dyDescent="0.2">
      <c r="A25" s="9"/>
      <c r="B25" s="9"/>
      <c r="C25" s="9"/>
    </row>
  </sheetData>
  <hyperlinks>
    <hyperlink ref="A1" location="Main!A1" display="ma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showGridLines="0" zoomScaleNormal="100" workbookViewId="0">
      <selection activeCell="C191" sqref="C191"/>
    </sheetView>
  </sheetViews>
  <sheetFormatPr defaultRowHeight="12.75" x14ac:dyDescent="0.2"/>
  <cols>
    <col min="1" max="1" width="5" bestFit="1" customWidth="1"/>
    <col min="2" max="2" width="12.85546875" bestFit="1" customWidth="1"/>
    <col min="5" max="6" width="10.42578125" bestFit="1" customWidth="1"/>
  </cols>
  <sheetData>
    <row r="1" spans="1:3" x14ac:dyDescent="0.2">
      <c r="A1" s="8" t="s">
        <v>44</v>
      </c>
      <c r="B1" s="9"/>
      <c r="C1" s="9"/>
    </row>
    <row r="2" spans="1:3" x14ac:dyDescent="0.2">
      <c r="A2" s="9"/>
      <c r="B2" s="9" t="s">
        <v>33</v>
      </c>
      <c r="C2" s="9" t="s">
        <v>4</v>
      </c>
    </row>
    <row r="3" spans="1:3" x14ac:dyDescent="0.2">
      <c r="A3" s="9"/>
      <c r="B3" s="9" t="s">
        <v>34</v>
      </c>
      <c r="C3" s="9"/>
    </row>
    <row r="4" spans="1:3" x14ac:dyDescent="0.2">
      <c r="A4" s="9"/>
      <c r="B4" s="9" t="s">
        <v>161</v>
      </c>
      <c r="C4" s="9" t="s">
        <v>160</v>
      </c>
    </row>
    <row r="5" spans="1:3" x14ac:dyDescent="0.2">
      <c r="A5" s="9"/>
      <c r="B5" s="9" t="s">
        <v>36</v>
      </c>
      <c r="C5" s="9" t="s">
        <v>140</v>
      </c>
    </row>
    <row r="6" spans="1:3" x14ac:dyDescent="0.2">
      <c r="A6" s="9"/>
      <c r="B6" s="9" t="s">
        <v>37</v>
      </c>
      <c r="C6" s="9" t="s">
        <v>46</v>
      </c>
    </row>
    <row r="7" spans="1:3" x14ac:dyDescent="0.2">
      <c r="A7" s="9"/>
      <c r="B7" s="9"/>
      <c r="C7" s="9"/>
    </row>
    <row r="8" spans="1:3" x14ac:dyDescent="0.2">
      <c r="A8" s="9"/>
      <c r="B8" s="9"/>
      <c r="C8" s="9"/>
    </row>
    <row r="9" spans="1:3" x14ac:dyDescent="0.2">
      <c r="A9" s="9"/>
      <c r="B9" s="9"/>
      <c r="C9" s="9"/>
    </row>
    <row r="10" spans="1:3" x14ac:dyDescent="0.2">
      <c r="A10" s="9"/>
      <c r="B10" s="9"/>
      <c r="C10" s="9"/>
    </row>
    <row r="11" spans="1:3" x14ac:dyDescent="0.2">
      <c r="A11" s="9"/>
      <c r="B11" s="9"/>
      <c r="C11" s="9"/>
    </row>
    <row r="12" spans="1:3" x14ac:dyDescent="0.2">
      <c r="A12" s="9"/>
      <c r="B12" s="9"/>
      <c r="C12" s="9"/>
    </row>
    <row r="13" spans="1:3" x14ac:dyDescent="0.2">
      <c r="A13" s="9"/>
      <c r="B13" s="9"/>
      <c r="C13" s="9"/>
    </row>
    <row r="14" spans="1:3" x14ac:dyDescent="0.2">
      <c r="A14" s="9"/>
      <c r="B14" s="9"/>
      <c r="C14" s="9"/>
    </row>
    <row r="15" spans="1:3" x14ac:dyDescent="0.2">
      <c r="A15" s="9"/>
      <c r="B15" s="9"/>
      <c r="C15" s="9"/>
    </row>
    <row r="16" spans="1:3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  <row r="21" spans="1:3" x14ac:dyDescent="0.2">
      <c r="A21" s="9"/>
      <c r="B21" s="9"/>
      <c r="C21" s="9"/>
    </row>
    <row r="22" spans="1:3" x14ac:dyDescent="0.2">
      <c r="A22" s="9"/>
      <c r="B22" s="9"/>
      <c r="C22" s="9"/>
    </row>
    <row r="23" spans="1:3" x14ac:dyDescent="0.2">
      <c r="A23" s="9"/>
      <c r="B23" s="9"/>
      <c r="C23" s="9"/>
    </row>
    <row r="24" spans="1:3" x14ac:dyDescent="0.2">
      <c r="A24" s="9"/>
      <c r="B24" s="9"/>
      <c r="C24" s="9"/>
    </row>
    <row r="25" spans="1:3" x14ac:dyDescent="0.2">
      <c r="A25" s="9"/>
      <c r="B25" s="9"/>
      <c r="C25" s="9"/>
    </row>
    <row r="26" spans="1:3" x14ac:dyDescent="0.2">
      <c r="A26" s="9"/>
      <c r="B26" s="9"/>
      <c r="C26" s="9"/>
    </row>
    <row r="27" spans="1:3" x14ac:dyDescent="0.2">
      <c r="A27" s="9"/>
      <c r="B27" s="9"/>
      <c r="C27" s="9"/>
    </row>
    <row r="28" spans="1:3" x14ac:dyDescent="0.2">
      <c r="A28" s="9"/>
      <c r="B28" s="9"/>
      <c r="C28" s="9"/>
    </row>
    <row r="29" spans="1:3" x14ac:dyDescent="0.2">
      <c r="A29" s="9"/>
      <c r="B29" s="9"/>
      <c r="C29" s="9"/>
    </row>
    <row r="30" spans="1:3" x14ac:dyDescent="0.2">
      <c r="A30" s="9"/>
      <c r="B30" s="9"/>
      <c r="C30" s="9"/>
    </row>
    <row r="31" spans="1:3" x14ac:dyDescent="0.2">
      <c r="A31" s="9"/>
      <c r="B31" s="9"/>
      <c r="C31" s="9"/>
    </row>
    <row r="32" spans="1:3" x14ac:dyDescent="0.2">
      <c r="A32" s="9"/>
      <c r="B32" s="9"/>
      <c r="C32" s="9"/>
    </row>
    <row r="33" spans="1:3" x14ac:dyDescent="0.2">
      <c r="A33" s="9"/>
      <c r="B33" s="9"/>
      <c r="C33" s="9"/>
    </row>
    <row r="34" spans="1:3" x14ac:dyDescent="0.2">
      <c r="A34" s="9"/>
      <c r="B34" s="9"/>
      <c r="C34" s="9"/>
    </row>
    <row r="35" spans="1:3" x14ac:dyDescent="0.2">
      <c r="A35" s="9"/>
      <c r="B35" s="9"/>
      <c r="C35" s="9"/>
    </row>
    <row r="36" spans="1:3" x14ac:dyDescent="0.2">
      <c r="A36" s="9"/>
      <c r="B36" s="9"/>
      <c r="C36" s="9"/>
    </row>
    <row r="37" spans="1:3" x14ac:dyDescent="0.2">
      <c r="A37" s="9"/>
      <c r="B37" s="9"/>
      <c r="C37" s="9"/>
    </row>
    <row r="38" spans="1:3" x14ac:dyDescent="0.2">
      <c r="A38" s="9"/>
      <c r="B38" s="9" t="s">
        <v>38</v>
      </c>
      <c r="C38" s="9" t="s">
        <v>139</v>
      </c>
    </row>
    <row r="39" spans="1:3" x14ac:dyDescent="0.2">
      <c r="A39" s="9"/>
      <c r="B39" s="9" t="s">
        <v>39</v>
      </c>
      <c r="C39" s="9" t="s">
        <v>68</v>
      </c>
    </row>
    <row r="40" spans="1:3" x14ac:dyDescent="0.2">
      <c r="A40" s="9"/>
      <c r="B40" s="9"/>
      <c r="C40" s="9" t="s">
        <v>69</v>
      </c>
    </row>
    <row r="41" spans="1:3" x14ac:dyDescent="0.2">
      <c r="A41" s="9"/>
      <c r="B41" s="9"/>
      <c r="C41" s="9" t="s">
        <v>71</v>
      </c>
    </row>
    <row r="42" spans="1:3" x14ac:dyDescent="0.2">
      <c r="A42" s="9"/>
      <c r="B42" s="9"/>
      <c r="C42" s="9" t="s">
        <v>70</v>
      </c>
    </row>
    <row r="43" spans="1:3" x14ac:dyDescent="0.2">
      <c r="A43" s="9"/>
      <c r="B43" s="9"/>
    </row>
    <row r="44" spans="1:3" x14ac:dyDescent="0.2">
      <c r="A44" s="9"/>
      <c r="B44" s="9"/>
      <c r="C44" s="9"/>
    </row>
    <row r="45" spans="1:3" x14ac:dyDescent="0.2">
      <c r="A45" s="9"/>
      <c r="B45" s="9" t="s">
        <v>41</v>
      </c>
      <c r="C45" s="9" t="s">
        <v>47</v>
      </c>
    </row>
    <row r="46" spans="1:3" x14ac:dyDescent="0.2">
      <c r="A46" s="9"/>
      <c r="B46" s="9"/>
      <c r="C46" s="9"/>
    </row>
    <row r="47" spans="1:3" x14ac:dyDescent="0.2">
      <c r="A47" s="9"/>
      <c r="B47" s="9" t="s">
        <v>42</v>
      </c>
      <c r="C47" s="9" t="s">
        <v>191</v>
      </c>
    </row>
    <row r="48" spans="1:3" x14ac:dyDescent="0.2">
      <c r="A48" s="9"/>
      <c r="B48" s="9"/>
      <c r="C48" s="9"/>
    </row>
    <row r="49" spans="1:7" x14ac:dyDescent="0.2">
      <c r="A49" s="9"/>
      <c r="B49" s="9"/>
      <c r="C49" s="9"/>
    </row>
    <row r="50" spans="1:7" x14ac:dyDescent="0.2">
      <c r="A50" s="9"/>
      <c r="B50" s="9"/>
      <c r="C50" s="9"/>
    </row>
    <row r="51" spans="1:7" x14ac:dyDescent="0.2">
      <c r="A51" s="9"/>
      <c r="B51" s="9"/>
      <c r="C51" s="9"/>
    </row>
    <row r="52" spans="1:7" x14ac:dyDescent="0.2">
      <c r="A52" s="9"/>
      <c r="B52" s="9" t="s">
        <v>43</v>
      </c>
      <c r="C52" s="9"/>
    </row>
    <row r="53" spans="1:7" x14ac:dyDescent="0.2">
      <c r="A53" s="9"/>
      <c r="B53" s="9"/>
      <c r="C53" s="9"/>
    </row>
    <row r="54" spans="1:7" s="2" customFormat="1" x14ac:dyDescent="0.2">
      <c r="B54" s="14" t="s">
        <v>152</v>
      </c>
      <c r="C54" s="24" t="s">
        <v>153</v>
      </c>
      <c r="G54" s="27"/>
    </row>
    <row r="55" spans="1:7" s="2" customFormat="1" x14ac:dyDescent="0.2">
      <c r="B55" s="14"/>
      <c r="C55" s="2" t="s">
        <v>172</v>
      </c>
      <c r="G55" s="27"/>
    </row>
    <row r="56" spans="1:7" x14ac:dyDescent="0.2">
      <c r="A56" s="9"/>
      <c r="B56" s="9"/>
    </row>
    <row r="57" spans="1:7" x14ac:dyDescent="0.2">
      <c r="B57" s="9" t="s">
        <v>9</v>
      </c>
      <c r="C57" s="12" t="s">
        <v>170</v>
      </c>
    </row>
    <row r="58" spans="1:7" x14ac:dyDescent="0.2">
      <c r="B58" s="9"/>
      <c r="C58" s="8" t="s">
        <v>166</v>
      </c>
    </row>
    <row r="59" spans="1:7" x14ac:dyDescent="0.2">
      <c r="B59" s="9"/>
      <c r="C59" s="9" t="s">
        <v>167</v>
      </c>
    </row>
    <row r="60" spans="1:7" x14ac:dyDescent="0.2">
      <c r="B60" s="9"/>
      <c r="C60" s="9" t="s">
        <v>168</v>
      </c>
    </row>
    <row r="61" spans="1:7" x14ac:dyDescent="0.2">
      <c r="C61" s="9" t="s">
        <v>169</v>
      </c>
    </row>
    <row r="62" spans="1:7" x14ac:dyDescent="0.2">
      <c r="C62" s="9" t="s">
        <v>171</v>
      </c>
    </row>
    <row r="63" spans="1:7" x14ac:dyDescent="0.2">
      <c r="C63" s="9"/>
    </row>
    <row r="64" spans="1:7" x14ac:dyDescent="0.2">
      <c r="B64" s="9" t="s">
        <v>152</v>
      </c>
      <c r="C64" s="24" t="s">
        <v>119</v>
      </c>
    </row>
    <row r="65" spans="1:3" x14ac:dyDescent="0.2">
      <c r="B65" s="9"/>
      <c r="C65" s="7" t="s">
        <v>156</v>
      </c>
    </row>
    <row r="66" spans="1:3" x14ac:dyDescent="0.2">
      <c r="B66" s="9"/>
      <c r="C66" s="2" t="s">
        <v>120</v>
      </c>
    </row>
    <row r="67" spans="1:3" x14ac:dyDescent="0.2">
      <c r="B67" s="9"/>
      <c r="C67" s="2" t="s">
        <v>122</v>
      </c>
    </row>
    <row r="68" spans="1:3" x14ac:dyDescent="0.2">
      <c r="B68" s="9"/>
      <c r="C68" s="2" t="s">
        <v>121</v>
      </c>
    </row>
    <row r="70" spans="1:3" x14ac:dyDescent="0.2">
      <c r="B70" s="9" t="s">
        <v>136</v>
      </c>
      <c r="C70" s="24" t="s">
        <v>145</v>
      </c>
    </row>
    <row r="71" spans="1:3" x14ac:dyDescent="0.2">
      <c r="B71" s="9"/>
      <c r="C71" s="7" t="s">
        <v>162</v>
      </c>
    </row>
    <row r="72" spans="1:3" x14ac:dyDescent="0.2">
      <c r="B72" s="9"/>
      <c r="C72" t="s">
        <v>146</v>
      </c>
    </row>
    <row r="73" spans="1:3" x14ac:dyDescent="0.2">
      <c r="B73" s="9"/>
      <c r="C73" t="s">
        <v>148</v>
      </c>
    </row>
    <row r="74" spans="1:3" x14ac:dyDescent="0.2">
      <c r="B74" s="9"/>
      <c r="C74" s="25" t="s">
        <v>150</v>
      </c>
    </row>
    <row r="75" spans="1:3" x14ac:dyDescent="0.2">
      <c r="B75" s="9"/>
      <c r="C75" t="s">
        <v>149</v>
      </c>
    </row>
    <row r="76" spans="1:3" x14ac:dyDescent="0.2">
      <c r="B76" s="9"/>
      <c r="C76" s="25" t="s">
        <v>151</v>
      </c>
    </row>
    <row r="77" spans="1:3" x14ac:dyDescent="0.2">
      <c r="A77" s="9"/>
      <c r="B77" s="9"/>
      <c r="C77" s="9"/>
    </row>
    <row r="78" spans="1:3" x14ac:dyDescent="0.2">
      <c r="A78" s="9"/>
      <c r="B78" s="9" t="s">
        <v>131</v>
      </c>
      <c r="C78" s="12" t="s">
        <v>48</v>
      </c>
    </row>
    <row r="79" spans="1:3" x14ac:dyDescent="0.2">
      <c r="A79" s="9"/>
      <c r="B79" s="9"/>
      <c r="C79" s="8" t="s">
        <v>132</v>
      </c>
    </row>
    <row r="80" spans="1:3" x14ac:dyDescent="0.2">
      <c r="A80" s="9"/>
      <c r="B80" s="9"/>
      <c r="C80" s="8" t="s">
        <v>165</v>
      </c>
    </row>
    <row r="81" spans="2:3" x14ac:dyDescent="0.2">
      <c r="B81" s="9"/>
      <c r="C81" s="14" t="s">
        <v>59</v>
      </c>
    </row>
    <row r="82" spans="2:3" x14ac:dyDescent="0.2">
      <c r="B82" s="9"/>
      <c r="C82" s="14" t="s">
        <v>133</v>
      </c>
    </row>
    <row r="83" spans="2:3" x14ac:dyDescent="0.2">
      <c r="B83" s="9"/>
      <c r="C83" s="9" t="s">
        <v>58</v>
      </c>
    </row>
    <row r="84" spans="2:3" x14ac:dyDescent="0.2">
      <c r="B84" s="9"/>
      <c r="C84" s="9" t="s">
        <v>55</v>
      </c>
    </row>
    <row r="85" spans="2:3" x14ac:dyDescent="0.2">
      <c r="B85" s="9"/>
      <c r="C85" s="13" t="s">
        <v>49</v>
      </c>
    </row>
    <row r="86" spans="2:3" x14ac:dyDescent="0.2">
      <c r="B86" s="9"/>
      <c r="C86" s="9" t="s">
        <v>51</v>
      </c>
    </row>
    <row r="87" spans="2:3" x14ac:dyDescent="0.2">
      <c r="B87" s="9"/>
      <c r="C87" s="9" t="s">
        <v>53</v>
      </c>
    </row>
    <row r="88" spans="2:3" x14ac:dyDescent="0.2">
      <c r="B88" s="9"/>
      <c r="C88" s="9" t="s">
        <v>50</v>
      </c>
    </row>
    <row r="89" spans="2:3" x14ac:dyDescent="0.2">
      <c r="B89" s="9"/>
      <c r="C89" s="9" t="s">
        <v>52</v>
      </c>
    </row>
    <row r="90" spans="2:3" x14ac:dyDescent="0.2">
      <c r="B90" s="9"/>
      <c r="C90" s="13" t="s">
        <v>54</v>
      </c>
    </row>
    <row r="91" spans="2:3" x14ac:dyDescent="0.2">
      <c r="B91" s="9"/>
      <c r="C91" s="14" t="s">
        <v>56</v>
      </c>
    </row>
    <row r="92" spans="2:3" x14ac:dyDescent="0.2">
      <c r="B92" s="9"/>
      <c r="C92" s="14" t="s">
        <v>57</v>
      </c>
    </row>
    <row r="93" spans="2:3" x14ac:dyDescent="0.2">
      <c r="B93" s="9"/>
      <c r="C93" s="9"/>
    </row>
    <row r="94" spans="2:3" x14ac:dyDescent="0.2">
      <c r="B94" s="9" t="s">
        <v>131</v>
      </c>
      <c r="C94" s="12" t="s">
        <v>134</v>
      </c>
    </row>
    <row r="95" spans="2:3" x14ac:dyDescent="0.2">
      <c r="B95" s="9"/>
      <c r="C95" s="9" t="s">
        <v>135</v>
      </c>
    </row>
    <row r="96" spans="2:3" x14ac:dyDescent="0.2">
      <c r="B96" s="9"/>
      <c r="C96" s="9"/>
    </row>
    <row r="97" spans="2:7" x14ac:dyDescent="0.2">
      <c r="B97" s="9" t="s">
        <v>136</v>
      </c>
      <c r="C97" s="24" t="s">
        <v>137</v>
      </c>
    </row>
    <row r="98" spans="2:7" x14ac:dyDescent="0.2">
      <c r="B98" s="9"/>
      <c r="C98" s="7" t="s">
        <v>138</v>
      </c>
    </row>
    <row r="99" spans="2:7" x14ac:dyDescent="0.2">
      <c r="B99" s="9"/>
      <c r="C99" s="7" t="s">
        <v>163</v>
      </c>
    </row>
    <row r="100" spans="2:7" x14ac:dyDescent="0.2">
      <c r="B100" s="9"/>
      <c r="C100" s="2" t="s">
        <v>144</v>
      </c>
    </row>
    <row r="101" spans="2:7" s="2" customFormat="1" x14ac:dyDescent="0.2">
      <c r="B101" s="14"/>
      <c r="C101" s="2" t="s">
        <v>141</v>
      </c>
    </row>
    <row r="102" spans="2:7" s="2" customFormat="1" x14ac:dyDescent="0.2">
      <c r="B102" s="14"/>
      <c r="C102" s="24" t="s">
        <v>49</v>
      </c>
    </row>
    <row r="103" spans="2:7" s="2" customFormat="1" x14ac:dyDescent="0.2">
      <c r="B103" s="14"/>
      <c r="C103" s="2" t="s">
        <v>142</v>
      </c>
    </row>
    <row r="104" spans="2:7" s="2" customFormat="1" x14ac:dyDescent="0.2">
      <c r="B104" s="14"/>
      <c r="C104" s="2" t="s">
        <v>143</v>
      </c>
    </row>
    <row r="105" spans="2:7" s="2" customFormat="1" x14ac:dyDescent="0.2">
      <c r="B105" s="14"/>
      <c r="E105" s="25"/>
      <c r="F105" s="25"/>
      <c r="G105" s="28"/>
    </row>
    <row r="106" spans="2:7" s="2" customFormat="1" x14ac:dyDescent="0.2">
      <c r="B106" s="14"/>
    </row>
    <row r="107" spans="2:7" s="2" customFormat="1" x14ac:dyDescent="0.2">
      <c r="B107" s="14"/>
    </row>
    <row r="108" spans="2:7" s="2" customFormat="1" x14ac:dyDescent="0.2">
      <c r="B108" s="14"/>
      <c r="G108" s="26"/>
    </row>
    <row r="109" spans="2:7" s="2" customFormat="1" x14ac:dyDescent="0.2">
      <c r="B109" s="14"/>
      <c r="G109" s="26"/>
    </row>
    <row r="110" spans="2:7" s="2" customFormat="1" x14ac:dyDescent="0.2">
      <c r="B110" s="14"/>
      <c r="C110" s="25"/>
      <c r="G110" s="26"/>
    </row>
    <row r="111" spans="2:7" s="2" customFormat="1" x14ac:dyDescent="0.2">
      <c r="B111" s="14"/>
      <c r="E111" s="25"/>
      <c r="F111" s="25"/>
      <c r="G111" s="28"/>
    </row>
    <row r="112" spans="2:7" s="2" customFormat="1" x14ac:dyDescent="0.2">
      <c r="B112" s="14"/>
      <c r="G112" s="27"/>
    </row>
    <row r="113" spans="2:7" s="2" customFormat="1" x14ac:dyDescent="0.2">
      <c r="B113" s="14"/>
      <c r="G113" s="27"/>
    </row>
    <row r="114" spans="2:7" s="2" customFormat="1" x14ac:dyDescent="0.2">
      <c r="B114" s="14"/>
      <c r="G114" s="27"/>
    </row>
    <row r="115" spans="2:7" s="2" customFormat="1" x14ac:dyDescent="0.2">
      <c r="B115" s="14"/>
      <c r="G115" s="27"/>
    </row>
    <row r="116" spans="2:7" s="2" customFormat="1" x14ac:dyDescent="0.2">
      <c r="B116" s="14"/>
      <c r="C116" s="25"/>
      <c r="G116" s="27"/>
    </row>
    <row r="117" spans="2:7" s="2" customFormat="1" x14ac:dyDescent="0.2">
      <c r="B117" s="14"/>
      <c r="E117" s="25"/>
      <c r="F117" s="25"/>
      <c r="G117" s="28"/>
    </row>
    <row r="118" spans="2:7" s="2" customFormat="1" x14ac:dyDescent="0.2">
      <c r="B118" s="14"/>
      <c r="G118" s="27"/>
    </row>
    <row r="119" spans="2:7" s="2" customFormat="1" x14ac:dyDescent="0.2">
      <c r="B119" s="14"/>
      <c r="G119" s="27"/>
    </row>
    <row r="120" spans="2:7" s="2" customFormat="1" x14ac:dyDescent="0.2">
      <c r="B120" s="14"/>
      <c r="G120" s="27"/>
    </row>
    <row r="121" spans="2:7" s="2" customFormat="1" x14ac:dyDescent="0.2">
      <c r="B121" s="14"/>
      <c r="G121" s="27"/>
    </row>
    <row r="122" spans="2:7" s="2" customFormat="1" x14ac:dyDescent="0.2">
      <c r="B122" s="14"/>
      <c r="G122" s="27"/>
    </row>
    <row r="123" spans="2:7" s="2" customFormat="1" x14ac:dyDescent="0.2">
      <c r="B123" s="14"/>
      <c r="G123" s="27"/>
    </row>
    <row r="124" spans="2:7" s="2" customFormat="1" x14ac:dyDescent="0.2">
      <c r="B124" s="14"/>
      <c r="G124" s="27"/>
    </row>
    <row r="125" spans="2:7" s="2" customFormat="1" x14ac:dyDescent="0.2">
      <c r="B125" s="14"/>
      <c r="G125" s="27"/>
    </row>
    <row r="126" spans="2:7" s="2" customFormat="1" x14ac:dyDescent="0.2">
      <c r="B126" s="14"/>
      <c r="G126" s="27"/>
    </row>
    <row r="127" spans="2:7" s="2" customFormat="1" x14ac:dyDescent="0.2">
      <c r="B127" s="14"/>
      <c r="G127" s="27"/>
    </row>
    <row r="128" spans="2:7" s="2" customFormat="1" x14ac:dyDescent="0.2">
      <c r="B128" s="14"/>
      <c r="G128" s="27"/>
    </row>
    <row r="129" spans="2:7" s="2" customFormat="1" x14ac:dyDescent="0.2">
      <c r="B129" s="14"/>
      <c r="G129" s="27"/>
    </row>
    <row r="130" spans="2:7" s="2" customFormat="1" x14ac:dyDescent="0.2">
      <c r="B130" s="14"/>
      <c r="G130" s="27"/>
    </row>
    <row r="131" spans="2:7" s="2" customFormat="1" x14ac:dyDescent="0.2">
      <c r="B131" s="14"/>
      <c r="G131" s="27"/>
    </row>
    <row r="132" spans="2:7" x14ac:dyDescent="0.2">
      <c r="B132" s="9"/>
      <c r="C132" s="9"/>
    </row>
    <row r="133" spans="2:7" x14ac:dyDescent="0.2">
      <c r="B133" s="9" t="s">
        <v>131</v>
      </c>
      <c r="C133" s="12" t="s">
        <v>128</v>
      </c>
    </row>
    <row r="134" spans="2:7" x14ac:dyDescent="0.2">
      <c r="B134" s="9"/>
      <c r="C134" s="8" t="s">
        <v>123</v>
      </c>
    </row>
    <row r="135" spans="2:7" x14ac:dyDescent="0.2">
      <c r="B135" s="9"/>
      <c r="C135" s="8" t="s">
        <v>164</v>
      </c>
    </row>
    <row r="136" spans="2:7" x14ac:dyDescent="0.2">
      <c r="B136" s="9"/>
      <c r="C136" s="9" t="s">
        <v>124</v>
      </c>
    </row>
    <row r="137" spans="2:7" x14ac:dyDescent="0.2">
      <c r="B137" s="9"/>
      <c r="C137" s="9" t="s">
        <v>125</v>
      </c>
    </row>
    <row r="138" spans="2:7" x14ac:dyDescent="0.2">
      <c r="B138" s="9"/>
      <c r="C138" s="9" t="s">
        <v>126</v>
      </c>
    </row>
    <row r="139" spans="2:7" x14ac:dyDescent="0.2">
      <c r="B139" s="9"/>
      <c r="C139" s="9" t="s">
        <v>127</v>
      </c>
    </row>
    <row r="140" spans="2:7" x14ac:dyDescent="0.2">
      <c r="B140" s="9"/>
      <c r="C140" s="9" t="s">
        <v>129</v>
      </c>
    </row>
    <row r="141" spans="2:7" x14ac:dyDescent="0.2">
      <c r="B141" s="9"/>
      <c r="C141" s="9"/>
    </row>
    <row r="142" spans="2:7" x14ac:dyDescent="0.2">
      <c r="B142" s="9"/>
      <c r="C142" s="9"/>
    </row>
    <row r="143" spans="2:7" x14ac:dyDescent="0.2">
      <c r="B143" s="9"/>
      <c r="C143" s="9" t="s">
        <v>130</v>
      </c>
    </row>
    <row r="144" spans="2:7" x14ac:dyDescent="0.2">
      <c r="B144" s="9"/>
      <c r="C144" s="9"/>
    </row>
    <row r="145" spans="2:3" x14ac:dyDescent="0.2">
      <c r="B145" s="9"/>
      <c r="C145" s="9"/>
    </row>
    <row r="146" spans="2:3" x14ac:dyDescent="0.2">
      <c r="B146" s="9"/>
      <c r="C146" s="9"/>
    </row>
    <row r="147" spans="2:3" x14ac:dyDescent="0.2">
      <c r="B147" s="9"/>
      <c r="C147" s="9"/>
    </row>
    <row r="148" spans="2:3" x14ac:dyDescent="0.2">
      <c r="B148" s="9"/>
      <c r="C148" s="9"/>
    </row>
    <row r="149" spans="2:3" x14ac:dyDescent="0.2">
      <c r="B149" s="9"/>
      <c r="C149" s="9"/>
    </row>
    <row r="150" spans="2:3" x14ac:dyDescent="0.2">
      <c r="B150" s="9"/>
      <c r="C150" s="9"/>
    </row>
    <row r="151" spans="2:3" x14ac:dyDescent="0.2">
      <c r="B151" s="9"/>
      <c r="C151" s="9"/>
    </row>
    <row r="152" spans="2:3" x14ac:dyDescent="0.2">
      <c r="B152" s="9"/>
      <c r="C152" s="9"/>
    </row>
    <row r="153" spans="2:3" x14ac:dyDescent="0.2">
      <c r="B153" s="9"/>
      <c r="C153" s="9"/>
    </row>
    <row r="154" spans="2:3" x14ac:dyDescent="0.2">
      <c r="B154" s="9"/>
      <c r="C154" s="9"/>
    </row>
    <row r="155" spans="2:3" x14ac:dyDescent="0.2">
      <c r="B155" s="9"/>
      <c r="C155" s="9"/>
    </row>
    <row r="156" spans="2:3" x14ac:dyDescent="0.2">
      <c r="B156" s="9"/>
      <c r="C156" s="9"/>
    </row>
    <row r="157" spans="2:3" x14ac:dyDescent="0.2">
      <c r="B157" s="9"/>
      <c r="C157" s="9"/>
    </row>
    <row r="158" spans="2:3" x14ac:dyDescent="0.2">
      <c r="B158" s="9"/>
      <c r="C158" s="9"/>
    </row>
    <row r="159" spans="2:3" x14ac:dyDescent="0.2">
      <c r="B159" s="9"/>
      <c r="C159" s="9"/>
    </row>
    <row r="160" spans="2:3" x14ac:dyDescent="0.2">
      <c r="B160" s="9"/>
      <c r="C160" s="9"/>
    </row>
    <row r="161" spans="2:3" x14ac:dyDescent="0.2">
      <c r="B161" s="9"/>
      <c r="C161" s="9"/>
    </row>
    <row r="162" spans="2:3" x14ac:dyDescent="0.2">
      <c r="B162" s="9"/>
      <c r="C162" s="9"/>
    </row>
    <row r="163" spans="2:3" x14ac:dyDescent="0.2">
      <c r="B163" s="9"/>
      <c r="C163" s="9"/>
    </row>
    <row r="164" spans="2:3" x14ac:dyDescent="0.2">
      <c r="B164" s="9"/>
      <c r="C164" s="9"/>
    </row>
    <row r="165" spans="2:3" x14ac:dyDescent="0.2">
      <c r="B165" s="9"/>
      <c r="C165" s="9"/>
    </row>
    <row r="166" spans="2:3" x14ac:dyDescent="0.2">
      <c r="B166" s="9"/>
      <c r="C166" s="9"/>
    </row>
    <row r="167" spans="2:3" x14ac:dyDescent="0.2">
      <c r="B167" s="9"/>
      <c r="C167" s="9"/>
    </row>
    <row r="168" spans="2:3" x14ac:dyDescent="0.2">
      <c r="B168" s="9"/>
      <c r="C168" s="9"/>
    </row>
    <row r="169" spans="2:3" x14ac:dyDescent="0.2">
      <c r="B169" s="9"/>
      <c r="C169" s="9"/>
    </row>
    <row r="170" spans="2:3" x14ac:dyDescent="0.2">
      <c r="B170" s="9"/>
    </row>
    <row r="171" spans="2:3" x14ac:dyDescent="0.2">
      <c r="B171" s="9"/>
    </row>
    <row r="172" spans="2:3" x14ac:dyDescent="0.2">
      <c r="B172" s="9"/>
    </row>
    <row r="173" spans="2:3" x14ac:dyDescent="0.2">
      <c r="B173" s="9"/>
    </row>
    <row r="174" spans="2:3" x14ac:dyDescent="0.2">
      <c r="B174" s="9"/>
    </row>
    <row r="175" spans="2:3" x14ac:dyDescent="0.2">
      <c r="B175" s="9"/>
    </row>
    <row r="176" spans="2:3" x14ac:dyDescent="0.2">
      <c r="B176" s="9"/>
    </row>
    <row r="177" spans="2:3" x14ac:dyDescent="0.2">
      <c r="B177" s="9"/>
    </row>
    <row r="178" spans="2:3" x14ac:dyDescent="0.2">
      <c r="B178" s="9"/>
    </row>
    <row r="179" spans="2:3" x14ac:dyDescent="0.2">
      <c r="B179" s="9"/>
    </row>
    <row r="180" spans="2:3" x14ac:dyDescent="0.2">
      <c r="B180" s="9"/>
    </row>
    <row r="181" spans="2:3" x14ac:dyDescent="0.2">
      <c r="B181" s="9"/>
    </row>
    <row r="182" spans="2:3" x14ac:dyDescent="0.2">
      <c r="B182" s="9"/>
    </row>
    <row r="183" spans="2:3" x14ac:dyDescent="0.2">
      <c r="B183" s="9"/>
    </row>
    <row r="184" spans="2:3" x14ac:dyDescent="0.2">
      <c r="B184" s="9"/>
    </row>
    <row r="185" spans="2:3" x14ac:dyDescent="0.2">
      <c r="B185" s="9"/>
    </row>
    <row r="186" spans="2:3" x14ac:dyDescent="0.2">
      <c r="B186" s="9"/>
    </row>
    <row r="187" spans="2:3" x14ac:dyDescent="0.2">
      <c r="B187" s="9"/>
    </row>
    <row r="188" spans="2:3" x14ac:dyDescent="0.2">
      <c r="B188" s="9" t="s">
        <v>131</v>
      </c>
      <c r="C188" s="24" t="s">
        <v>193</v>
      </c>
    </row>
    <row r="189" spans="2:3" x14ac:dyDescent="0.2">
      <c r="B189" s="9"/>
      <c r="C189" t="s">
        <v>192</v>
      </c>
    </row>
    <row r="190" spans="2:3" x14ac:dyDescent="0.2">
      <c r="B190" s="9"/>
      <c r="C190" s="49" t="s">
        <v>194</v>
      </c>
    </row>
    <row r="191" spans="2:3" x14ac:dyDescent="0.2">
      <c r="B191" s="9"/>
    </row>
    <row r="192" spans="2:3" x14ac:dyDescent="0.2">
      <c r="B192" s="9" t="s">
        <v>152</v>
      </c>
      <c r="C192" s="24" t="s">
        <v>154</v>
      </c>
    </row>
    <row r="193" spans="2:3" x14ac:dyDescent="0.2">
      <c r="B193" s="9"/>
      <c r="C193" s="24" t="s">
        <v>154</v>
      </c>
    </row>
    <row r="194" spans="2:3" x14ac:dyDescent="0.2">
      <c r="B194" s="9"/>
      <c r="C194" s="7" t="s">
        <v>157</v>
      </c>
    </row>
    <row r="195" spans="2:3" x14ac:dyDescent="0.2">
      <c r="B195" s="9"/>
      <c r="C195" s="2" t="s">
        <v>155</v>
      </c>
    </row>
    <row r="196" spans="2:3" x14ac:dyDescent="0.2">
      <c r="B196" s="9"/>
      <c r="C196" s="2" t="s">
        <v>159</v>
      </c>
    </row>
    <row r="197" spans="2:3" x14ac:dyDescent="0.2">
      <c r="B197" s="9"/>
      <c r="C197" s="2" t="s">
        <v>158</v>
      </c>
    </row>
    <row r="198" spans="2:3" x14ac:dyDescent="0.2">
      <c r="B198" s="9"/>
      <c r="C198" s="2"/>
    </row>
    <row r="199" spans="2:3" x14ac:dyDescent="0.2">
      <c r="B199" s="9"/>
      <c r="C199" s="2"/>
    </row>
    <row r="200" spans="2:3" x14ac:dyDescent="0.2">
      <c r="B200" s="9"/>
      <c r="C200" s="2"/>
    </row>
    <row r="201" spans="2:3" x14ac:dyDescent="0.2">
      <c r="B201" s="9"/>
      <c r="C201" s="2"/>
    </row>
    <row r="202" spans="2:3" x14ac:dyDescent="0.2">
      <c r="B202" s="9"/>
      <c r="C202" s="2"/>
    </row>
    <row r="203" spans="2:3" x14ac:dyDescent="0.2">
      <c r="B203" s="9"/>
      <c r="C203" s="2"/>
    </row>
    <row r="204" spans="2:3" x14ac:dyDescent="0.2">
      <c r="B204" s="9"/>
      <c r="C204" s="2"/>
    </row>
    <row r="205" spans="2:3" x14ac:dyDescent="0.2">
      <c r="B205" s="9"/>
      <c r="C205" s="2"/>
    </row>
    <row r="206" spans="2:3" x14ac:dyDescent="0.2">
      <c r="B206" s="9"/>
      <c r="C206" s="2"/>
    </row>
    <row r="207" spans="2:3" x14ac:dyDescent="0.2">
      <c r="B207" s="9"/>
      <c r="C207" s="2"/>
    </row>
    <row r="208" spans="2:3" x14ac:dyDescent="0.2">
      <c r="B208" s="9"/>
      <c r="C208" s="2"/>
    </row>
    <row r="209" spans="2:3" x14ac:dyDescent="0.2">
      <c r="B209" s="9"/>
      <c r="C209" s="2"/>
    </row>
    <row r="210" spans="2:3" x14ac:dyDescent="0.2">
      <c r="B210" s="9"/>
      <c r="C210" s="2"/>
    </row>
    <row r="211" spans="2:3" x14ac:dyDescent="0.2">
      <c r="B211" s="9"/>
      <c r="C211" s="2"/>
    </row>
    <row r="212" spans="2:3" x14ac:dyDescent="0.2">
      <c r="B212" s="9"/>
      <c r="C212" s="2"/>
    </row>
    <row r="213" spans="2:3" x14ac:dyDescent="0.2">
      <c r="B213" s="9"/>
      <c r="C213" s="2"/>
    </row>
    <row r="214" spans="2:3" x14ac:dyDescent="0.2">
      <c r="B214" s="9"/>
      <c r="C214" s="2"/>
    </row>
    <row r="215" spans="2:3" x14ac:dyDescent="0.2">
      <c r="B215" s="9"/>
      <c r="C215" s="2"/>
    </row>
    <row r="216" spans="2:3" x14ac:dyDescent="0.2">
      <c r="B216" s="9"/>
      <c r="C216" s="2"/>
    </row>
    <row r="217" spans="2:3" x14ac:dyDescent="0.2">
      <c r="B217" s="9"/>
      <c r="C217" s="2"/>
    </row>
    <row r="218" spans="2:3" x14ac:dyDescent="0.2">
      <c r="B218" s="9"/>
      <c r="C218" s="2"/>
    </row>
    <row r="219" spans="2:3" x14ac:dyDescent="0.2">
      <c r="B219" s="9"/>
      <c r="C219" s="2"/>
    </row>
    <row r="220" spans="2:3" x14ac:dyDescent="0.2">
      <c r="B220" s="9"/>
      <c r="C220" s="2"/>
    </row>
    <row r="221" spans="2:3" x14ac:dyDescent="0.2">
      <c r="B221" s="9"/>
      <c r="C221" s="2"/>
    </row>
    <row r="222" spans="2:3" x14ac:dyDescent="0.2">
      <c r="B222" s="9"/>
      <c r="C222" s="2"/>
    </row>
    <row r="223" spans="2:3" x14ac:dyDescent="0.2">
      <c r="B223" s="9"/>
      <c r="C223" s="2"/>
    </row>
    <row r="224" spans="2:3" x14ac:dyDescent="0.2">
      <c r="B224" s="9"/>
      <c r="C224" s="2"/>
    </row>
    <row r="225" spans="2:3" x14ac:dyDescent="0.2">
      <c r="B225" s="9"/>
      <c r="C225" s="2"/>
    </row>
    <row r="226" spans="2:3" x14ac:dyDescent="0.2">
      <c r="B226" s="9"/>
      <c r="C226" s="2"/>
    </row>
    <row r="227" spans="2:3" x14ac:dyDescent="0.2">
      <c r="B227" s="9"/>
      <c r="C227" s="2"/>
    </row>
    <row r="228" spans="2:3" x14ac:dyDescent="0.2">
      <c r="B228" s="9"/>
      <c r="C228" s="2"/>
    </row>
    <row r="229" spans="2:3" x14ac:dyDescent="0.2">
      <c r="B229" s="9"/>
      <c r="C229" s="2"/>
    </row>
    <row r="230" spans="2:3" x14ac:dyDescent="0.2">
      <c r="B230" s="9"/>
      <c r="C230" s="2"/>
    </row>
    <row r="231" spans="2:3" x14ac:dyDescent="0.2">
      <c r="B231" s="9"/>
      <c r="C231" s="2"/>
    </row>
    <row r="232" spans="2:3" x14ac:dyDescent="0.2">
      <c r="B232" s="9"/>
      <c r="C232" s="2"/>
    </row>
    <row r="233" spans="2:3" x14ac:dyDescent="0.2">
      <c r="B233" s="9"/>
      <c r="C233" s="2"/>
    </row>
    <row r="234" spans="2:3" x14ac:dyDescent="0.2">
      <c r="B234" s="9"/>
      <c r="C234" s="2"/>
    </row>
    <row r="235" spans="2:3" x14ac:dyDescent="0.2">
      <c r="B235" s="9"/>
      <c r="C235" s="2"/>
    </row>
    <row r="236" spans="2:3" x14ac:dyDescent="0.2">
      <c r="B236" s="9"/>
      <c r="C236" s="2"/>
    </row>
    <row r="237" spans="2:3" x14ac:dyDescent="0.2">
      <c r="B237" s="9"/>
      <c r="C237" s="2"/>
    </row>
    <row r="238" spans="2:3" x14ac:dyDescent="0.2">
      <c r="B238" s="9"/>
      <c r="C238" s="2"/>
    </row>
    <row r="239" spans="2:3" x14ac:dyDescent="0.2">
      <c r="B239" s="9"/>
      <c r="C239" s="2"/>
    </row>
    <row r="240" spans="2:3" x14ac:dyDescent="0.2">
      <c r="B240" s="9"/>
      <c r="C240" s="2"/>
    </row>
    <row r="241" spans="2:3" x14ac:dyDescent="0.2">
      <c r="B241" s="9"/>
      <c r="C241" s="2"/>
    </row>
    <row r="242" spans="2:3" x14ac:dyDescent="0.2">
      <c r="B242" s="9"/>
      <c r="C242" s="2"/>
    </row>
    <row r="243" spans="2:3" x14ac:dyDescent="0.2">
      <c r="B243" s="9"/>
      <c r="C243" s="2"/>
    </row>
    <row r="244" spans="2:3" x14ac:dyDescent="0.2">
      <c r="B244" s="9"/>
      <c r="C244" s="2"/>
    </row>
    <row r="245" spans="2:3" x14ac:dyDescent="0.2">
      <c r="B245" s="9"/>
    </row>
  </sheetData>
  <hyperlinks>
    <hyperlink ref="A1" location="Main!A1" display="main"/>
    <hyperlink ref="C134" r:id="rId1"/>
    <hyperlink ref="C79" r:id="rId2"/>
    <hyperlink ref="C98" r:id="rId3"/>
    <hyperlink ref="C65" r:id="rId4"/>
    <hyperlink ref="C194" r:id="rId5"/>
    <hyperlink ref="C71" r:id="rId6" display=" NCT01475786"/>
    <hyperlink ref="C99" r:id="rId7"/>
    <hyperlink ref="C135" r:id="rId8"/>
    <hyperlink ref="C80" r:id="rId9"/>
    <hyperlink ref="C58" r:id="rId10"/>
  </hyperlinks>
  <pageMargins left="0.7" right="0.7" top="0.75" bottom="0.75" header="0.3" footer="0.3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>
      <selection activeCell="C9" sqref="C9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8" t="s">
        <v>44</v>
      </c>
      <c r="B1" s="9"/>
      <c r="C1" s="9"/>
    </row>
    <row r="2" spans="1:3" x14ac:dyDescent="0.2">
      <c r="A2" s="9"/>
      <c r="B2" s="9" t="s">
        <v>33</v>
      </c>
      <c r="C2" s="9" t="s">
        <v>0</v>
      </c>
    </row>
    <row r="3" spans="1:3" x14ac:dyDescent="0.2">
      <c r="A3" s="9"/>
      <c r="B3" s="9" t="s">
        <v>34</v>
      </c>
      <c r="C3" s="9"/>
    </row>
    <row r="4" spans="1:3" x14ac:dyDescent="0.2">
      <c r="A4" s="9"/>
      <c r="B4" s="9" t="s">
        <v>1</v>
      </c>
      <c r="C4" s="9" t="s">
        <v>178</v>
      </c>
    </row>
    <row r="5" spans="1:3" x14ac:dyDescent="0.2">
      <c r="A5" s="9"/>
      <c r="B5" s="9"/>
      <c r="C5" s="9"/>
    </row>
    <row r="6" spans="1:3" x14ac:dyDescent="0.2">
      <c r="A6" s="9"/>
      <c r="B6" s="9" t="s">
        <v>36</v>
      </c>
      <c r="C6" s="48" t="s">
        <v>177</v>
      </c>
    </row>
    <row r="7" spans="1:3" x14ac:dyDescent="0.2">
      <c r="A7" s="9"/>
      <c r="B7" s="9" t="s">
        <v>37</v>
      </c>
      <c r="C7" s="9"/>
    </row>
    <row r="8" spans="1:3" x14ac:dyDescent="0.2">
      <c r="A8" s="9"/>
      <c r="B8" s="9" t="s">
        <v>38</v>
      </c>
      <c r="C8" s="9"/>
    </row>
    <row r="9" spans="1:3" x14ac:dyDescent="0.2">
      <c r="A9" s="9"/>
      <c r="B9" s="9" t="s">
        <v>39</v>
      </c>
      <c r="C9" s="32" t="s">
        <v>63</v>
      </c>
    </row>
    <row r="10" spans="1:3" x14ac:dyDescent="0.2">
      <c r="A10" s="9"/>
      <c r="B10" s="10" t="s">
        <v>40</v>
      </c>
      <c r="C10" s="9"/>
    </row>
    <row r="11" spans="1:3" x14ac:dyDescent="0.2">
      <c r="A11" s="9"/>
      <c r="B11" s="9" t="s">
        <v>41</v>
      </c>
      <c r="C11" s="9"/>
    </row>
    <row r="12" spans="1:3" x14ac:dyDescent="0.2">
      <c r="A12" s="9"/>
      <c r="B12" s="9"/>
      <c r="C12" s="9"/>
    </row>
    <row r="13" spans="1:3" x14ac:dyDescent="0.2">
      <c r="A13" s="9"/>
      <c r="B13" s="9" t="s">
        <v>42</v>
      </c>
      <c r="C13" s="9"/>
    </row>
    <row r="14" spans="1:3" x14ac:dyDescent="0.2">
      <c r="A14" s="9"/>
      <c r="B14" s="9"/>
      <c r="C14" s="9"/>
    </row>
    <row r="15" spans="1:3" x14ac:dyDescent="0.2">
      <c r="A15" s="9"/>
      <c r="B15" s="9"/>
      <c r="C15" s="9"/>
    </row>
    <row r="16" spans="1:3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 t="s">
        <v>43</v>
      </c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  <row r="21" spans="1:3" x14ac:dyDescent="0.2">
      <c r="A21" s="9"/>
      <c r="B21" s="9"/>
      <c r="C21" s="9"/>
    </row>
    <row r="22" spans="1:3" x14ac:dyDescent="0.2">
      <c r="A22" s="9"/>
      <c r="B22" s="9"/>
      <c r="C22" s="9"/>
    </row>
    <row r="23" spans="1:3" x14ac:dyDescent="0.2">
      <c r="A23" s="9"/>
      <c r="B23" s="9"/>
      <c r="C23" s="9"/>
    </row>
    <row r="24" spans="1:3" x14ac:dyDescent="0.2">
      <c r="A24" s="9"/>
      <c r="B24" s="9"/>
      <c r="C24" s="9"/>
    </row>
    <row r="25" spans="1:3" x14ac:dyDescent="0.2">
      <c r="A25" s="9"/>
      <c r="B25" s="9"/>
      <c r="C25" s="9"/>
    </row>
    <row r="26" spans="1:3" x14ac:dyDescent="0.2">
      <c r="B26" s="9"/>
      <c r="C26" s="9"/>
    </row>
  </sheetData>
  <hyperlinks>
    <hyperlink ref="A1" location="Main!A1" display="ma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>
      <selection activeCell="B2" sqref="B2:B18"/>
    </sheetView>
  </sheetViews>
  <sheetFormatPr defaultRowHeight="12.75" x14ac:dyDescent="0.2"/>
  <cols>
    <col min="1" max="1" width="5" bestFit="1" customWidth="1"/>
  </cols>
  <sheetData>
    <row r="1" spans="1:3" x14ac:dyDescent="0.2">
      <c r="A1" s="8" t="s">
        <v>44</v>
      </c>
      <c r="B1" s="9"/>
      <c r="C1" s="9"/>
    </row>
    <row r="2" spans="1:3" x14ac:dyDescent="0.2">
      <c r="A2" s="9"/>
      <c r="B2" s="9" t="s">
        <v>33</v>
      </c>
      <c r="C2" s="9"/>
    </row>
    <row r="3" spans="1:3" x14ac:dyDescent="0.2">
      <c r="A3" s="9"/>
      <c r="B3" s="9" t="s">
        <v>34</v>
      </c>
      <c r="C3" s="9"/>
    </row>
    <row r="4" spans="1:3" x14ac:dyDescent="0.2">
      <c r="A4" s="9"/>
      <c r="B4" s="9" t="s">
        <v>1</v>
      </c>
      <c r="C4" s="9"/>
    </row>
    <row r="5" spans="1:3" x14ac:dyDescent="0.2">
      <c r="A5" s="9"/>
      <c r="B5" s="9" t="s">
        <v>35</v>
      </c>
      <c r="C5" s="9"/>
    </row>
    <row r="6" spans="1:3" x14ac:dyDescent="0.2">
      <c r="A6" s="9"/>
      <c r="B6" s="9" t="s">
        <v>36</v>
      </c>
      <c r="C6" s="9"/>
    </row>
    <row r="7" spans="1:3" x14ac:dyDescent="0.2">
      <c r="A7" s="9"/>
      <c r="B7" s="9" t="s">
        <v>37</v>
      </c>
      <c r="C7" s="9"/>
    </row>
    <row r="8" spans="1:3" x14ac:dyDescent="0.2">
      <c r="A8" s="9"/>
      <c r="B8" s="9" t="s">
        <v>38</v>
      </c>
      <c r="C8" s="9"/>
    </row>
    <row r="9" spans="1:3" x14ac:dyDescent="0.2">
      <c r="A9" s="9"/>
      <c r="B9" s="9" t="s">
        <v>39</v>
      </c>
      <c r="C9" s="9"/>
    </row>
    <row r="10" spans="1:3" x14ac:dyDescent="0.2">
      <c r="A10" s="9"/>
      <c r="B10" s="10" t="s">
        <v>40</v>
      </c>
      <c r="C10" s="9"/>
    </row>
    <row r="11" spans="1:3" x14ac:dyDescent="0.2">
      <c r="A11" s="9"/>
      <c r="B11" s="9" t="s">
        <v>41</v>
      </c>
      <c r="C11" s="9"/>
    </row>
    <row r="12" spans="1:3" x14ac:dyDescent="0.2">
      <c r="A12" s="9"/>
      <c r="B12" s="9"/>
      <c r="C12" s="9"/>
    </row>
    <row r="13" spans="1:3" x14ac:dyDescent="0.2">
      <c r="A13" s="9"/>
      <c r="B13" s="9" t="s">
        <v>42</v>
      </c>
      <c r="C13" s="9"/>
    </row>
    <row r="14" spans="1:3" x14ac:dyDescent="0.2">
      <c r="A14" s="9"/>
      <c r="B14" s="9"/>
      <c r="C14" s="9"/>
    </row>
    <row r="15" spans="1:3" x14ac:dyDescent="0.2">
      <c r="A15" s="9"/>
      <c r="B15" s="9"/>
      <c r="C15" s="9"/>
    </row>
    <row r="16" spans="1:3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 t="s">
        <v>43</v>
      </c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  <row r="21" spans="1:3" x14ac:dyDescent="0.2">
      <c r="A21" s="9"/>
      <c r="B21" s="9"/>
      <c r="C21" s="9"/>
    </row>
    <row r="22" spans="1:3" x14ac:dyDescent="0.2">
      <c r="A22" s="9"/>
      <c r="B22" s="9"/>
      <c r="C22" s="9"/>
    </row>
    <row r="23" spans="1:3" x14ac:dyDescent="0.2">
      <c r="A23" s="9"/>
      <c r="B23" s="9"/>
      <c r="C23" s="9"/>
    </row>
    <row r="24" spans="1:3" x14ac:dyDescent="0.2">
      <c r="A24" s="9"/>
      <c r="B24" s="9"/>
      <c r="C24" s="9"/>
    </row>
    <row r="25" spans="1:3" x14ac:dyDescent="0.2">
      <c r="A25" s="9"/>
      <c r="B25" s="9"/>
      <c r="C25" s="9"/>
    </row>
    <row r="26" spans="1:3" x14ac:dyDescent="0.2">
      <c r="B26" s="9"/>
      <c r="C26" s="9"/>
    </row>
  </sheetData>
  <hyperlinks>
    <hyperlink ref="A1" location="Main!A1" display="main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showGridLines="0" workbookViewId="0">
      <selection activeCell="B3" sqref="B3"/>
    </sheetView>
  </sheetViews>
  <sheetFormatPr defaultRowHeight="12.75" x14ac:dyDescent="0.2"/>
  <cols>
    <col min="1" max="1" width="5" bestFit="1" customWidth="1"/>
  </cols>
  <sheetData>
    <row r="1" spans="1:2" x14ac:dyDescent="0.2">
      <c r="A1" s="8" t="s">
        <v>44</v>
      </c>
    </row>
    <row r="2" spans="1:2" x14ac:dyDescent="0.2">
      <c r="A2" s="8"/>
    </row>
    <row r="3" spans="1:2" x14ac:dyDescent="0.2">
      <c r="A3" s="9"/>
      <c r="B3" s="9" t="s">
        <v>33</v>
      </c>
    </row>
    <row r="4" spans="1:2" x14ac:dyDescent="0.2">
      <c r="A4" s="9"/>
      <c r="B4" s="9" t="s">
        <v>34</v>
      </c>
    </row>
    <row r="5" spans="1:2" x14ac:dyDescent="0.2">
      <c r="A5" s="9"/>
      <c r="B5" s="9" t="s">
        <v>1</v>
      </c>
    </row>
    <row r="6" spans="1:2" x14ac:dyDescent="0.2">
      <c r="A6" s="9"/>
      <c r="B6" s="9" t="s">
        <v>35</v>
      </c>
    </row>
    <row r="7" spans="1:2" x14ac:dyDescent="0.2">
      <c r="A7" s="9"/>
      <c r="B7" s="9" t="s">
        <v>36</v>
      </c>
    </row>
    <row r="8" spans="1:2" x14ac:dyDescent="0.2">
      <c r="A8" s="9"/>
      <c r="B8" s="9" t="s">
        <v>37</v>
      </c>
    </row>
    <row r="9" spans="1:2" x14ac:dyDescent="0.2">
      <c r="A9" s="9"/>
      <c r="B9" s="9" t="s">
        <v>38</v>
      </c>
    </row>
    <row r="10" spans="1:2" x14ac:dyDescent="0.2">
      <c r="A10" s="9"/>
      <c r="B10" s="9" t="s">
        <v>39</v>
      </c>
    </row>
    <row r="11" spans="1:2" x14ac:dyDescent="0.2">
      <c r="A11" s="9"/>
      <c r="B11" s="10" t="s">
        <v>40</v>
      </c>
    </row>
    <row r="12" spans="1:2" x14ac:dyDescent="0.2">
      <c r="A12" s="9"/>
      <c r="B12" s="9" t="s">
        <v>41</v>
      </c>
    </row>
    <row r="13" spans="1:2" x14ac:dyDescent="0.2">
      <c r="A13" s="9"/>
      <c r="B13" s="9"/>
    </row>
    <row r="14" spans="1:2" x14ac:dyDescent="0.2">
      <c r="A14" s="9"/>
      <c r="B14" s="9" t="s">
        <v>42</v>
      </c>
    </row>
    <row r="15" spans="1:2" x14ac:dyDescent="0.2">
      <c r="A15" s="9"/>
      <c r="B15" s="9"/>
    </row>
    <row r="16" spans="1:2" x14ac:dyDescent="0.2">
      <c r="A16" s="9"/>
      <c r="B16" s="9"/>
    </row>
    <row r="17" spans="1:2" x14ac:dyDescent="0.2">
      <c r="A17" s="9"/>
      <c r="B17" s="9"/>
    </row>
    <row r="18" spans="1:2" x14ac:dyDescent="0.2">
      <c r="A18" s="9"/>
      <c r="B18" s="9"/>
    </row>
    <row r="19" spans="1:2" x14ac:dyDescent="0.2">
      <c r="A19" s="9"/>
      <c r="B19" s="9" t="s">
        <v>43</v>
      </c>
    </row>
    <row r="20" spans="1:2" x14ac:dyDescent="0.2">
      <c r="A20" s="9"/>
    </row>
    <row r="21" spans="1:2" x14ac:dyDescent="0.2">
      <c r="A21" s="9"/>
    </row>
    <row r="22" spans="1:2" x14ac:dyDescent="0.2">
      <c r="A22" s="9"/>
    </row>
    <row r="23" spans="1:2" x14ac:dyDescent="0.2">
      <c r="A23" s="9"/>
    </row>
    <row r="24" spans="1:2" x14ac:dyDescent="0.2">
      <c r="A24" s="9"/>
    </row>
    <row r="25" spans="1:2" x14ac:dyDescent="0.2">
      <c r="A25" s="9"/>
    </row>
    <row r="26" spans="1:2" x14ac:dyDescent="0.2">
      <c r="A26" s="9"/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Sheet1</vt:lpstr>
      <vt:lpstr>VM501</vt:lpstr>
      <vt:lpstr>VM202</vt:lpstr>
      <vt:lpstr>VM206</vt:lpstr>
      <vt:lpstr>HX106</vt:lpstr>
      <vt:lpstr>HX811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Smith</dc:creator>
  <cp:lastModifiedBy>Michael Smith</cp:lastModifiedBy>
  <dcterms:created xsi:type="dcterms:W3CDTF">2014-12-09T15:03:01Z</dcterms:created>
  <dcterms:modified xsi:type="dcterms:W3CDTF">2014-12-16T21:27:07Z</dcterms:modified>
</cp:coreProperties>
</file>