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035" windowHeight="8700"/>
  </bookViews>
  <sheets>
    <sheet name="Main" sheetId="1" r:id="rId1"/>
    <sheet name="Model" sheetId="2" r:id="rId2"/>
  </sheets>
  <calcPr calcId="125725"/>
</workbook>
</file>

<file path=xl/calcChain.xml><?xml version="1.0" encoding="utf-8"?>
<calcChain xmlns="http://schemas.openxmlformats.org/spreadsheetml/2006/main">
  <c r="P39" i="2"/>
  <c r="P40" s="1"/>
  <c r="N34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BP34" s="1"/>
  <c r="BQ34" s="1"/>
  <c r="BR34" s="1"/>
  <c r="BS34" s="1"/>
  <c r="BT34" s="1"/>
  <c r="BU34" s="1"/>
  <c r="BV34" s="1"/>
  <c r="BW34" s="1"/>
  <c r="BX34" s="1"/>
  <c r="M34"/>
  <c r="L34"/>
  <c r="C32"/>
  <c r="C34" s="1"/>
  <c r="C31"/>
  <c r="D31" s="1"/>
  <c r="E31" s="1"/>
  <c r="C30"/>
  <c r="C29"/>
  <c r="E28"/>
  <c r="C26"/>
  <c r="E25"/>
  <c r="D33"/>
  <c r="E33" s="1"/>
  <c r="D28"/>
  <c r="D27"/>
  <c r="D29" s="1"/>
  <c r="D25"/>
  <c r="D24"/>
  <c r="E24" s="1"/>
  <c r="E26" s="1"/>
  <c r="O3" i="1"/>
  <c r="F24" i="2"/>
  <c r="F26" s="1"/>
  <c r="F30" s="1"/>
  <c r="F23"/>
  <c r="F31"/>
  <c r="F29"/>
  <c r="O5" i="1"/>
  <c r="O4"/>
  <c r="O7" s="1"/>
  <c r="E27" i="2" l="1"/>
  <c r="D26"/>
  <c r="D30" s="1"/>
  <c r="D32" s="1"/>
  <c r="D34" s="1"/>
  <c r="F32"/>
  <c r="F34" s="1"/>
  <c r="E29" l="1"/>
  <c r="E30" s="1"/>
  <c r="E32" s="1"/>
  <c r="E34" s="1"/>
</calcChain>
</file>

<file path=xl/sharedStrings.xml><?xml version="1.0" encoding="utf-8"?>
<sst xmlns="http://schemas.openxmlformats.org/spreadsheetml/2006/main" count="65" uniqueCount="56">
  <si>
    <t>Price JPY</t>
  </si>
  <si>
    <t>Shares</t>
  </si>
  <si>
    <t>MC JPY</t>
  </si>
  <si>
    <t>Cash JPY</t>
  </si>
  <si>
    <t>Debt JPY</t>
  </si>
  <si>
    <t>EV JPY</t>
  </si>
  <si>
    <t>Name</t>
  </si>
  <si>
    <t>Nesp/Espo</t>
  </si>
  <si>
    <t>Indication</t>
  </si>
  <si>
    <t>Anemia</t>
  </si>
  <si>
    <t>Main</t>
  </si>
  <si>
    <t>Allelock</t>
  </si>
  <si>
    <t>Coniel</t>
  </si>
  <si>
    <t>Gran/Neu-up</t>
  </si>
  <si>
    <t>Depakene</t>
  </si>
  <si>
    <t>Adriacin/Farmorubicin</t>
  </si>
  <si>
    <t>Patanol</t>
  </si>
  <si>
    <t>Nauzelin</t>
  </si>
  <si>
    <t>Coversyl</t>
  </si>
  <si>
    <t>Regpara</t>
  </si>
  <si>
    <t>Inovan</t>
  </si>
  <si>
    <t>Celtect</t>
  </si>
  <si>
    <t>5-FU</t>
  </si>
  <si>
    <t>Navelbine</t>
  </si>
  <si>
    <t>Topina</t>
  </si>
  <si>
    <t>Bulk Export</t>
  </si>
  <si>
    <t>Kyowa Hakko Kirin</t>
  </si>
  <si>
    <t>Parkinson's</t>
  </si>
  <si>
    <t>Phase</t>
  </si>
  <si>
    <t>II</t>
  </si>
  <si>
    <t>KW-6002 (lstradefylline)</t>
  </si>
  <si>
    <t>Q110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</si>
  <si>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</si>
  <si>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</si>
  <si>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</si>
  <si>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</si>
  <si>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</si>
  <si>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</si>
  <si>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</si>
  <si>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Other Income</t>
  </si>
  <si>
    <t>Pretax Income</t>
  </si>
  <si>
    <t>Taxes</t>
  </si>
  <si>
    <t>Net Income</t>
  </si>
  <si>
    <t>Pharma</t>
  </si>
  <si>
    <t>Other/Eliminations</t>
  </si>
  <si>
    <t>Chemicals</t>
  </si>
  <si>
    <t>Biochemicals</t>
  </si>
  <si>
    <t>Hyperparathyroidism</t>
  </si>
  <si>
    <t>Allergy</t>
  </si>
  <si>
    <t>KW-2256</t>
  </si>
  <si>
    <t>AMG531</t>
  </si>
  <si>
    <t>Amino Acids, Nucleic Acids, IV liquids.</t>
  </si>
  <si>
    <t>Q409</t>
  </si>
  <si>
    <t>Disc</t>
  </si>
  <si>
    <t>NPV</t>
  </si>
  <si>
    <t>Mat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</si>
</sst>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0" fontId="2" fillId="0" borderId="0" xfId="0" applyFont="1" applyFill="1" applyBorder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14" fontId="2" fillId="0" borderId="0" xfId="0" applyNumberFormat="1" applyFont="1"/>
    <xf numFmtId="14" fontId="0" fillId="0" borderId="0" xfId="0" applyNumberFormat="1"/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14"/>
  <sheetViews>
    <sheetView tabSelected="1" workbookViewId="0"/>
  </sheetViews>
  <sheetFormatPr defaultRowHeight="12.75"/>
  <cols>
    <col min="1" max="1" width="2.42578125" customWidth="1"/>
    <col min="2" max="2" width="22" customWidth="1"/>
    <col min="3" max="3" width="12.5703125" customWidth="1"/>
  </cols>
  <sheetData>
    <row r="2" spans="2:16">
      <c r="B2" s="12" t="s">
        <v>6</v>
      </c>
      <c r="C2" s="13" t="s">
        <v>8</v>
      </c>
      <c r="D2" s="14"/>
      <c r="E2" s="14"/>
      <c r="F2" s="14"/>
      <c r="G2" s="14"/>
      <c r="H2" s="14"/>
      <c r="I2" s="15"/>
      <c r="N2" t="s">
        <v>0</v>
      </c>
      <c r="O2" s="1">
        <v>914</v>
      </c>
    </row>
    <row r="3" spans="2:16">
      <c r="B3" s="4" t="s">
        <v>7</v>
      </c>
      <c r="C3" s="5" t="s">
        <v>9</v>
      </c>
      <c r="D3" s="6"/>
      <c r="E3" s="6"/>
      <c r="F3" s="6"/>
      <c r="G3" s="6"/>
      <c r="H3" s="6"/>
      <c r="I3" s="7"/>
      <c r="N3" t="s">
        <v>1</v>
      </c>
      <c r="O3" s="1">
        <f>576.483555-6.885251</f>
        <v>569.59830399999998</v>
      </c>
      <c r="P3" s="2" t="s">
        <v>31</v>
      </c>
    </row>
    <row r="4" spans="2:16">
      <c r="B4" s="4" t="s">
        <v>19</v>
      </c>
      <c r="C4" s="5" t="s">
        <v>47</v>
      </c>
      <c r="D4" s="6"/>
      <c r="E4" s="6"/>
      <c r="F4" s="6"/>
      <c r="G4" s="6"/>
      <c r="H4" s="6"/>
      <c r="I4" s="7"/>
      <c r="N4" t="s">
        <v>2</v>
      </c>
      <c r="O4" s="1">
        <f>O3*O2</f>
        <v>520612.84985599999</v>
      </c>
    </row>
    <row r="5" spans="2:16">
      <c r="B5" s="4" t="s">
        <v>16</v>
      </c>
      <c r="C5" s="20" t="s">
        <v>48</v>
      </c>
      <c r="D5" s="6"/>
      <c r="E5" s="6"/>
      <c r="F5" s="6"/>
      <c r="G5" s="6"/>
      <c r="H5" s="6"/>
      <c r="I5" s="7"/>
      <c r="N5" t="s">
        <v>3</v>
      </c>
      <c r="O5" s="1">
        <f>29800+34209+66357</f>
        <v>130366</v>
      </c>
      <c r="P5" s="2" t="s">
        <v>31</v>
      </c>
    </row>
    <row r="6" spans="2:16">
      <c r="B6" s="4" t="s">
        <v>11</v>
      </c>
      <c r="C6" s="6"/>
      <c r="D6" s="6"/>
      <c r="E6" s="6"/>
      <c r="F6" s="6"/>
      <c r="G6" s="6"/>
      <c r="H6" s="6"/>
      <c r="I6" s="7"/>
      <c r="N6" t="s">
        <v>4</v>
      </c>
      <c r="O6" s="1">
        <v>12153</v>
      </c>
      <c r="P6" s="2" t="s">
        <v>31</v>
      </c>
    </row>
    <row r="7" spans="2:16">
      <c r="B7" s="12" t="s">
        <v>6</v>
      </c>
      <c r="C7" s="13" t="s">
        <v>8</v>
      </c>
      <c r="D7" s="13" t="s">
        <v>28</v>
      </c>
      <c r="E7" s="14"/>
      <c r="F7" s="14"/>
      <c r="G7" s="14"/>
      <c r="H7" s="14"/>
      <c r="I7" s="15"/>
      <c r="N7" t="s">
        <v>5</v>
      </c>
      <c r="O7" s="1">
        <f>O4-O5+O6</f>
        <v>402399.84985599999</v>
      </c>
    </row>
    <row r="8" spans="2:16">
      <c r="B8" s="4" t="s">
        <v>30</v>
      </c>
      <c r="C8" s="5" t="s">
        <v>27</v>
      </c>
      <c r="D8" s="5" t="s">
        <v>29</v>
      </c>
      <c r="E8" s="6"/>
      <c r="F8" s="6"/>
      <c r="G8" s="6"/>
      <c r="H8" s="6"/>
      <c r="I8" s="7"/>
    </row>
    <row r="9" spans="2:16">
      <c r="B9" s="4" t="s">
        <v>49</v>
      </c>
      <c r="C9" s="6"/>
      <c r="D9" s="6"/>
      <c r="E9" s="6"/>
      <c r="F9" s="6"/>
      <c r="G9" s="6"/>
      <c r="H9" s="6"/>
      <c r="I9" s="7"/>
      <c r="N9" s="3" t="s">
        <v>26</v>
      </c>
    </row>
    <row r="10" spans="2:16">
      <c r="B10" s="4" t="s">
        <v>50</v>
      </c>
      <c r="C10" s="6"/>
      <c r="D10" s="6"/>
      <c r="E10" s="6"/>
      <c r="F10" s="6"/>
      <c r="G10" s="6"/>
      <c r="H10" s="6"/>
      <c r="I10" s="7"/>
    </row>
    <row r="11" spans="2:16">
      <c r="B11" s="8"/>
      <c r="C11" s="6"/>
      <c r="D11" s="6"/>
      <c r="E11" s="6"/>
      <c r="F11" s="6"/>
      <c r="G11" s="6"/>
      <c r="H11" s="6"/>
      <c r="I11" s="7"/>
    </row>
    <row r="12" spans="2:16">
      <c r="B12" s="9"/>
      <c r="C12" s="10"/>
      <c r="D12" s="10"/>
      <c r="E12" s="10"/>
      <c r="F12" s="10"/>
      <c r="G12" s="10"/>
      <c r="H12" s="10"/>
      <c r="I12" s="11"/>
    </row>
    <row r="14" spans="2:16">
      <c r="B14" s="3" t="s">
        <v>51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9" sqref="P39"/>
    </sheetView>
  </sheetViews>
  <sheetFormatPr defaultRowHeight="12.75"/>
  <cols>
    <col min="1" max="1" width="5" bestFit="1" customWidth="1"/>
    <col min="2" max="2" width="19.28515625" bestFit="1" customWidth="1"/>
    <col min="3" max="4" width="9.140625" style="17"/>
    <col min="5" max="5" width="10.140625" style="17" bestFit="1" customWidth="1"/>
    <col min="6" max="6" width="9.140625" style="17"/>
    <col min="11" max="12" width="10.140625" bestFit="1" customWidth="1"/>
    <col min="16" max="16" width="8.85546875" customWidth="1"/>
  </cols>
  <sheetData>
    <row r="1" spans="1:12">
      <c r="A1" s="3" t="s">
        <v>10</v>
      </c>
      <c r="C1" s="16"/>
      <c r="D1" s="16"/>
      <c r="E1" s="16">
        <v>40178</v>
      </c>
      <c r="F1" s="16">
        <v>40268</v>
      </c>
      <c r="K1" s="23"/>
      <c r="L1" s="24">
        <v>40268</v>
      </c>
    </row>
    <row r="2" spans="1:12">
      <c r="C2" s="2"/>
      <c r="D2" s="2"/>
      <c r="E2" s="2" t="s">
        <v>52</v>
      </c>
      <c r="F2" s="2" t="s">
        <v>31</v>
      </c>
      <c r="I2">
        <v>2007</v>
      </c>
      <c r="J2">
        <v>2008</v>
      </c>
      <c r="K2">
        <v>2009</v>
      </c>
      <c r="L2">
        <v>2010</v>
      </c>
    </row>
    <row r="3" spans="1:12">
      <c r="B3" s="3" t="s">
        <v>7</v>
      </c>
      <c r="K3">
        <v>43.7</v>
      </c>
    </row>
    <row r="4" spans="1:12">
      <c r="B4" s="3" t="s">
        <v>11</v>
      </c>
      <c r="K4">
        <v>25</v>
      </c>
    </row>
    <row r="5" spans="1:12">
      <c r="B5" s="3" t="s">
        <v>12</v>
      </c>
      <c r="K5">
        <v>23.1</v>
      </c>
    </row>
    <row r="6" spans="1:12">
      <c r="B6" s="3" t="s">
        <v>13</v>
      </c>
      <c r="K6">
        <v>17.600000000000001</v>
      </c>
    </row>
    <row r="7" spans="1:12">
      <c r="B7" s="3" t="s">
        <v>14</v>
      </c>
      <c r="K7">
        <v>10.7</v>
      </c>
    </row>
    <row r="8" spans="1:12">
      <c r="B8" s="3" t="s">
        <v>15</v>
      </c>
      <c r="K8">
        <v>7.4</v>
      </c>
    </row>
    <row r="9" spans="1:12">
      <c r="B9" s="3" t="s">
        <v>16</v>
      </c>
      <c r="K9">
        <v>6.6</v>
      </c>
    </row>
    <row r="10" spans="1:12">
      <c r="B10" s="3" t="s">
        <v>17</v>
      </c>
      <c r="K10">
        <v>5.5</v>
      </c>
    </row>
    <row r="11" spans="1:12">
      <c r="B11" s="3" t="s">
        <v>18</v>
      </c>
      <c r="K11">
        <v>5</v>
      </c>
    </row>
    <row r="12" spans="1:12">
      <c r="B12" s="3" t="s">
        <v>19</v>
      </c>
      <c r="K12">
        <v>4.5999999999999996</v>
      </c>
    </row>
    <row r="13" spans="1:12">
      <c r="B13" s="3" t="s">
        <v>20</v>
      </c>
      <c r="K13">
        <v>3.7</v>
      </c>
    </row>
    <row r="14" spans="1:12">
      <c r="B14" s="3" t="s">
        <v>21</v>
      </c>
      <c r="K14">
        <v>3.6</v>
      </c>
    </row>
    <row r="15" spans="1:12">
      <c r="B15" s="3" t="s">
        <v>22</v>
      </c>
      <c r="K15">
        <v>3.6</v>
      </c>
    </row>
    <row r="16" spans="1:12">
      <c r="B16" s="3" t="s">
        <v>23</v>
      </c>
      <c r="K16">
        <v>3.1</v>
      </c>
    </row>
    <row r="17" spans="2:11">
      <c r="B17" s="3" t="s">
        <v>24</v>
      </c>
      <c r="K17">
        <v>0.9</v>
      </c>
    </row>
    <row r="18" spans="2:11">
      <c r="B18" s="3" t="s">
        <v>25</v>
      </c>
      <c r="K18">
        <v>29.1</v>
      </c>
    </row>
    <row r="19" spans="2:11">
      <c r="B19" s="3"/>
    </row>
    <row r="20" spans="2:11" s="1" customFormat="1">
      <c r="B20" s="18" t="s">
        <v>43</v>
      </c>
      <c r="C20" s="19"/>
      <c r="D20" s="19"/>
      <c r="E20" s="19"/>
      <c r="F20" s="19">
        <v>49674</v>
      </c>
    </row>
    <row r="21" spans="2:11" s="1" customFormat="1">
      <c r="B21" s="18" t="s">
        <v>46</v>
      </c>
      <c r="C21" s="19"/>
      <c r="D21" s="19"/>
      <c r="E21" s="19"/>
      <c r="F21" s="19">
        <v>22213</v>
      </c>
    </row>
    <row r="22" spans="2:11" s="1" customFormat="1">
      <c r="B22" s="18" t="s">
        <v>45</v>
      </c>
      <c r="C22" s="19"/>
      <c r="D22" s="19"/>
      <c r="E22" s="19"/>
      <c r="F22" s="19">
        <v>30281</v>
      </c>
    </row>
    <row r="23" spans="2:11" s="1" customFormat="1">
      <c r="B23" s="18" t="s">
        <v>44</v>
      </c>
      <c r="C23" s="19"/>
      <c r="D23" s="19"/>
      <c r="E23" s="19"/>
      <c r="F23" s="19">
        <f>2493-5406</f>
        <v>-2913</v>
      </c>
    </row>
    <row r="24" spans="2:11" s="21" customFormat="1">
      <c r="B24" s="21" t="s">
        <v>32</v>
      </c>
      <c r="C24" s="22">
        <v>96816</v>
      </c>
      <c r="D24" s="22">
        <f>194395-C24</f>
        <v>97579</v>
      </c>
      <c r="E24" s="22">
        <f>309111-D24-C24</f>
        <v>114716</v>
      </c>
      <c r="F24" s="22">
        <f>SUM(F20:F23)</f>
        <v>99255</v>
      </c>
    </row>
    <row r="25" spans="2:11" s="1" customFormat="1">
      <c r="B25" s="18" t="s">
        <v>33</v>
      </c>
      <c r="C25" s="19">
        <v>52298</v>
      </c>
      <c r="D25" s="19">
        <f>104551-C25</f>
        <v>52253</v>
      </c>
      <c r="E25" s="19">
        <f>169371-D25-C25</f>
        <v>64820</v>
      </c>
      <c r="F25" s="19">
        <v>55155</v>
      </c>
    </row>
    <row r="26" spans="2:11" s="1" customFormat="1">
      <c r="B26" s="18" t="s">
        <v>34</v>
      </c>
      <c r="C26" s="19">
        <f>+C24-C25</f>
        <v>44518</v>
      </c>
      <c r="D26" s="19">
        <f>+D24-D25</f>
        <v>45326</v>
      </c>
      <c r="E26" s="19">
        <f>+E24-E25</f>
        <v>49896</v>
      </c>
      <c r="F26" s="19">
        <f>+F24-F25</f>
        <v>44100</v>
      </c>
    </row>
    <row r="27" spans="2:11" s="1" customFormat="1">
      <c r="B27" s="18" t="s">
        <v>35</v>
      </c>
      <c r="C27" s="19">
        <v>9332</v>
      </c>
      <c r="D27" s="19">
        <f>19681-C27</f>
        <v>10349</v>
      </c>
      <c r="E27" s="19">
        <f>34795-D27-C27</f>
        <v>15114</v>
      </c>
      <c r="F27" s="19">
        <v>9057</v>
      </c>
    </row>
    <row r="28" spans="2:11" s="1" customFormat="1">
      <c r="B28" s="18" t="s">
        <v>36</v>
      </c>
      <c r="C28" s="19">
        <v>21797</v>
      </c>
      <c r="D28" s="19">
        <f>44714-C28</f>
        <v>22917</v>
      </c>
      <c r="E28" s="19">
        <f>111496-7042-723-E27-D28-C28-D27-C27</f>
        <v>24222</v>
      </c>
      <c r="F28" s="19">
        <v>21189</v>
      </c>
    </row>
    <row r="29" spans="2:11" s="1" customFormat="1">
      <c r="B29" s="18" t="s">
        <v>37</v>
      </c>
      <c r="C29" s="19">
        <f>+C27+C28</f>
        <v>31129</v>
      </c>
      <c r="D29" s="19">
        <f>+D27+D28</f>
        <v>33266</v>
      </c>
      <c r="E29" s="19">
        <f>+E27+E28</f>
        <v>39336</v>
      </c>
      <c r="F29" s="19">
        <f>+F27+F28</f>
        <v>30246</v>
      </c>
    </row>
    <row r="30" spans="2:11" s="1" customFormat="1">
      <c r="B30" s="18" t="s">
        <v>38</v>
      </c>
      <c r="C30" s="19">
        <f>+C26-C29</f>
        <v>13389</v>
      </c>
      <c r="D30" s="19">
        <f>+D26-D29</f>
        <v>12060</v>
      </c>
      <c r="E30" s="19">
        <f>+E26-E29</f>
        <v>10560</v>
      </c>
      <c r="F30" s="19">
        <f>+F26-F29</f>
        <v>13854</v>
      </c>
    </row>
    <row r="31" spans="2:11" s="1" customFormat="1">
      <c r="B31" s="18" t="s">
        <v>39</v>
      </c>
      <c r="C31" s="19">
        <f>2457-952</f>
        <v>1505</v>
      </c>
      <c r="D31" s="19">
        <f>3372-1950-C31</f>
        <v>-83</v>
      </c>
      <c r="E31" s="19">
        <f>4012-2776-D31-C31</f>
        <v>-186</v>
      </c>
      <c r="F31" s="19">
        <f>963-550</f>
        <v>413</v>
      </c>
    </row>
    <row r="32" spans="2:11" s="1" customFormat="1">
      <c r="B32" s="18" t="s">
        <v>40</v>
      </c>
      <c r="C32" s="19">
        <f>C31+C30</f>
        <v>14894</v>
      </c>
      <c r="D32" s="19">
        <f>D31+D30</f>
        <v>11977</v>
      </c>
      <c r="E32" s="19">
        <f>E31+E30</f>
        <v>10374</v>
      </c>
      <c r="F32" s="19">
        <f>F31+F30</f>
        <v>14267</v>
      </c>
    </row>
    <row r="33" spans="2:76" s="1" customFormat="1">
      <c r="B33" s="18" t="s">
        <v>41</v>
      </c>
      <c r="C33" s="19">
        <v>4983</v>
      </c>
      <c r="D33" s="19">
        <f>9423-C33</f>
        <v>4440</v>
      </c>
      <c r="E33" s="19">
        <f>11631-D33-C33</f>
        <v>2208</v>
      </c>
      <c r="F33" s="19">
        <v>5366</v>
      </c>
    </row>
    <row r="34" spans="2:76" s="1" customFormat="1">
      <c r="B34" s="18" t="s">
        <v>42</v>
      </c>
      <c r="C34" s="19">
        <f>+C32-C33</f>
        <v>9911</v>
      </c>
      <c r="D34" s="19">
        <f>+D32-D33</f>
        <v>7537</v>
      </c>
      <c r="E34" s="19">
        <f>+E32-E33</f>
        <v>8166</v>
      </c>
      <c r="F34" s="19">
        <f>+F32-F33</f>
        <v>8901</v>
      </c>
      <c r="L34" s="1">
        <f>SUM(C34:F34)</f>
        <v>34515</v>
      </c>
      <c r="M34" s="1">
        <f>L34*(1+$P$37)</f>
        <v>34169.85</v>
      </c>
      <c r="N34" s="1">
        <f t="shared" ref="N34:BX34" si="0">M34*(1+$P$37)</f>
        <v>33828.1515</v>
      </c>
      <c r="O34" s="1">
        <f t="shared" si="0"/>
        <v>33489.869984999998</v>
      </c>
      <c r="P34" s="1">
        <f t="shared" si="0"/>
        <v>33154.971285150001</v>
      </c>
      <c r="Q34" s="1">
        <f t="shared" si="0"/>
        <v>32823.421572298503</v>
      </c>
      <c r="R34" s="1">
        <f t="shared" si="0"/>
        <v>32495.187356575516</v>
      </c>
      <c r="S34" s="1">
        <f t="shared" si="0"/>
        <v>32170.235483009761</v>
      </c>
      <c r="T34" s="1">
        <f t="shared" si="0"/>
        <v>31848.533128179664</v>
      </c>
      <c r="U34" s="1">
        <f t="shared" si="0"/>
        <v>31530.047796897867</v>
      </c>
      <c r="V34" s="1">
        <f t="shared" si="0"/>
        <v>31214.747318928887</v>
      </c>
      <c r="W34" s="1">
        <f t="shared" si="0"/>
        <v>30902.599845739598</v>
      </c>
      <c r="X34" s="1">
        <f t="shared" si="0"/>
        <v>30593.573847282201</v>
      </c>
      <c r="Y34" s="1">
        <f t="shared" si="0"/>
        <v>30287.63810880938</v>
      </c>
      <c r="Z34" s="1">
        <f t="shared" si="0"/>
        <v>29984.761727721285</v>
      </c>
      <c r="AA34" s="1">
        <f t="shared" si="0"/>
        <v>29684.914110444071</v>
      </c>
      <c r="AB34" s="1">
        <f t="shared" si="0"/>
        <v>29388.06496933963</v>
      </c>
      <c r="AC34" s="1">
        <f t="shared" si="0"/>
        <v>29094.184319646232</v>
      </c>
      <c r="AD34" s="1">
        <f t="shared" si="0"/>
        <v>28803.24247644977</v>
      </c>
      <c r="AE34" s="1">
        <f t="shared" si="0"/>
        <v>28515.210051685273</v>
      </c>
      <c r="AF34" s="1">
        <f t="shared" si="0"/>
        <v>28230.057951168419</v>
      </c>
      <c r="AG34" s="1">
        <f t="shared" si="0"/>
        <v>27947.757371656735</v>
      </c>
      <c r="AH34" s="1">
        <f t="shared" si="0"/>
        <v>27668.279797940166</v>
      </c>
      <c r="AI34" s="1">
        <f t="shared" si="0"/>
        <v>27391.596999960762</v>
      </c>
      <c r="AJ34" s="1">
        <f t="shared" si="0"/>
        <v>27117.681029961153</v>
      </c>
      <c r="AK34" s="1">
        <f t="shared" si="0"/>
        <v>26846.504219661543</v>
      </c>
      <c r="AL34" s="1">
        <f t="shared" si="0"/>
        <v>26578.039177464929</v>
      </c>
      <c r="AM34" s="1">
        <f t="shared" si="0"/>
        <v>26312.258785690279</v>
      </c>
      <c r="AN34" s="1">
        <f t="shared" si="0"/>
        <v>26049.136197833377</v>
      </c>
      <c r="AO34" s="1">
        <f t="shared" si="0"/>
        <v>25788.644835855044</v>
      </c>
      <c r="AP34" s="1">
        <f t="shared" si="0"/>
        <v>25530.758387496495</v>
      </c>
      <c r="AQ34" s="1">
        <f t="shared" si="0"/>
        <v>25275.45080362153</v>
      </c>
      <c r="AR34" s="1">
        <f t="shared" si="0"/>
        <v>25022.696295585316</v>
      </c>
      <c r="AS34" s="1">
        <f t="shared" si="0"/>
        <v>24772.469332629462</v>
      </c>
      <c r="AT34" s="1">
        <f t="shared" si="0"/>
        <v>24524.744639303168</v>
      </c>
      <c r="AU34" s="1">
        <f t="shared" si="0"/>
        <v>24279.497192910138</v>
      </c>
      <c r="AV34" s="1">
        <f t="shared" si="0"/>
        <v>24036.702220981035</v>
      </c>
      <c r="AW34" s="1">
        <f t="shared" si="0"/>
        <v>23796.335198771223</v>
      </c>
      <c r="AX34" s="1">
        <f t="shared" si="0"/>
        <v>23558.37184678351</v>
      </c>
      <c r="AY34" s="1">
        <f t="shared" si="0"/>
        <v>23322.788128315675</v>
      </c>
      <c r="AZ34" s="1">
        <f t="shared" si="0"/>
        <v>23089.560247032518</v>
      </c>
      <c r="BA34" s="1">
        <f t="shared" si="0"/>
        <v>22858.664644562192</v>
      </c>
      <c r="BB34" s="1">
        <f t="shared" si="0"/>
        <v>22630.077998116569</v>
      </c>
      <c r="BC34" s="1">
        <f t="shared" si="0"/>
        <v>22403.777218135401</v>
      </c>
      <c r="BD34" s="1">
        <f t="shared" si="0"/>
        <v>22179.739445954048</v>
      </c>
      <c r="BE34" s="1">
        <f t="shared" si="0"/>
        <v>21957.942051494509</v>
      </c>
      <c r="BF34" s="1">
        <f t="shared" si="0"/>
        <v>21738.362630979562</v>
      </c>
      <c r="BG34" s="1">
        <f t="shared" si="0"/>
        <v>21520.979004669767</v>
      </c>
      <c r="BH34" s="1">
        <f t="shared" si="0"/>
        <v>21305.769214623069</v>
      </c>
      <c r="BI34" s="1">
        <f t="shared" si="0"/>
        <v>21092.711522476839</v>
      </c>
      <c r="BJ34" s="1">
        <f t="shared" si="0"/>
        <v>20881.784407252071</v>
      </c>
      <c r="BK34" s="1">
        <f t="shared" si="0"/>
        <v>20672.966563179551</v>
      </c>
      <c r="BL34" s="1">
        <f t="shared" si="0"/>
        <v>20466.236897547755</v>
      </c>
      <c r="BM34" s="1">
        <f t="shared" si="0"/>
        <v>20261.574528572277</v>
      </c>
      <c r="BN34" s="1">
        <f t="shared" si="0"/>
        <v>20058.958783286555</v>
      </c>
      <c r="BO34" s="1">
        <f t="shared" si="0"/>
        <v>19858.369195453688</v>
      </c>
      <c r="BP34" s="1">
        <f t="shared" si="0"/>
        <v>19659.785503499152</v>
      </c>
      <c r="BQ34" s="1">
        <f t="shared" si="0"/>
        <v>19463.187648464162</v>
      </c>
      <c r="BR34" s="1">
        <f t="shared" si="0"/>
        <v>19268.555771979522</v>
      </c>
      <c r="BS34" s="1">
        <f t="shared" si="0"/>
        <v>19075.870214259725</v>
      </c>
      <c r="BT34" s="1">
        <f t="shared" si="0"/>
        <v>18885.111512117128</v>
      </c>
      <c r="BU34" s="1">
        <f t="shared" si="0"/>
        <v>18696.260396995956</v>
      </c>
      <c r="BV34" s="1">
        <f t="shared" si="0"/>
        <v>18509.297793025995</v>
      </c>
      <c r="BW34" s="1">
        <f t="shared" si="0"/>
        <v>18324.204815095734</v>
      </c>
      <c r="BX34" s="1">
        <f t="shared" si="0"/>
        <v>18140.962766944776</v>
      </c>
    </row>
    <row r="37" spans="2:76">
      <c r="O37" s="3" t="s">
        <v>55</v>
      </c>
      <c r="P37" s="25">
        <v>-0.01</v>
      </c>
    </row>
    <row r="38" spans="2:76">
      <c r="O38" s="18" t="s">
        <v>53</v>
      </c>
      <c r="P38" s="25">
        <v>0.11</v>
      </c>
    </row>
    <row r="39" spans="2:76">
      <c r="O39" s="3" t="s">
        <v>54</v>
      </c>
      <c r="P39" s="1">
        <f>NPV(P38,M34:BY34)+L34+Main!O5-Main!O6</f>
        <v>437288.62624526903</v>
      </c>
    </row>
    <row r="40" spans="2:76">
      <c r="P40" s="26">
        <f>P39/Main!O3</f>
        <v>767.71405949493317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7E3F53-D2F9-4E73-BEB2-ECE44DA64076}"/>
</file>

<file path=customXml/itemProps2.xml><?xml version="1.0" encoding="utf-8"?>
<ds:datastoreItem xmlns:ds="http://schemas.openxmlformats.org/officeDocument/2006/customXml" ds:itemID="{3A1B4A7A-4FE2-485E-B32E-B5EBE40C2C23}"/>
</file>

<file path=customXml/itemProps3.xml><?xml version="1.0" encoding="utf-8"?>
<ds:datastoreItem xmlns:ds="http://schemas.openxmlformats.org/officeDocument/2006/customXml" ds:itemID="{35FF58EF-0490-4EDE-8C34-C346AF465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Elea Capital Management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MSMB</cp:lastModifiedBy>
  <dcterms:created xsi:type="dcterms:W3CDTF">2008-10-05T17:25:33Z</dcterms:created>
  <dcterms:modified xsi:type="dcterms:W3CDTF">2010-07-28T02:36:20Z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