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9510" yWindow="1290" windowWidth="15480" windowHeight="10950" activeTab="1"/>
  </bookViews>
  <sheets>
    <sheet name="Main" sheetId="1" r:id="rId1"/>
    <sheet name="Model" sheetId="2" r:id="rId2"/>
    <sheet name="Prevacid" sheetId="5" r:id="rId3"/>
    <sheet name="Lupron" sheetId="6" r:id="rId4"/>
    <sheet name="Dexilant" sheetId="7" r:id="rId5"/>
    <sheet name="Nesina" sheetId="4" r:id="rId6"/>
    <sheet name="475" sheetId="3" r:id="rId7"/>
    <sheet name="Velcade" sheetId="8" r:id="rId8"/>
    <sheet name="Actos" sheetId="9" r:id="rId9"/>
    <sheet name="literature" sheetId="10" r:id="rId10"/>
  </sheets>
  <calcPr calcId="171027"/>
</workbook>
</file>

<file path=xl/calcChain.xml><?xml version="1.0" encoding="utf-8"?>
<calcChain xmlns="http://schemas.openxmlformats.org/spreadsheetml/2006/main">
  <c r="K6" i="1" l="1"/>
  <c r="K4" i="1"/>
  <c r="K5" i="1"/>
  <c r="BF50" i="2"/>
  <c r="Y65" i="2"/>
  <c r="X65" i="2"/>
  <c r="W65" i="2"/>
  <c r="V65" i="2"/>
  <c r="U65" i="2"/>
  <c r="N72" i="2"/>
  <c r="X31" i="2"/>
  <c r="V31" i="2"/>
  <c r="V25" i="2"/>
  <c r="X10" i="2"/>
  <c r="V10" i="2"/>
  <c r="V8" i="2"/>
  <c r="W8" i="2" s="1"/>
  <c r="X7" i="2"/>
  <c r="V7" i="2"/>
  <c r="X6" i="2"/>
  <c r="V6" i="2"/>
  <c r="X5" i="2"/>
  <c r="V5" i="2"/>
  <c r="X4" i="2"/>
  <c r="W4" i="2"/>
  <c r="V4" i="2"/>
  <c r="T45" i="2"/>
  <c r="T44" i="2"/>
  <c r="T43" i="2"/>
  <c r="T42" i="2"/>
  <c r="U42" i="2"/>
  <c r="V42" i="2" s="1"/>
  <c r="W42" i="2" s="1"/>
  <c r="X42" i="2" s="1"/>
  <c r="Y42" i="2" s="1"/>
  <c r="T65" i="2"/>
  <c r="BE60" i="2"/>
  <c r="BD58" i="2"/>
  <c r="BD56" i="2"/>
  <c r="BD72" i="2"/>
  <c r="BC72" i="2"/>
  <c r="BA72" i="2"/>
  <c r="BD8" i="2"/>
  <c r="BB3" i="2"/>
  <c r="BD36" i="2"/>
  <c r="BE36" i="2" s="1"/>
  <c r="BF36" i="2" s="1"/>
  <c r="BG36" i="2" s="1"/>
  <c r="BH36" i="2" s="1"/>
  <c r="BD32" i="2"/>
  <c r="BE32" i="2" s="1"/>
  <c r="BF32" i="2" s="1"/>
  <c r="BG32" i="2" s="1"/>
  <c r="BH32" i="2" s="1"/>
  <c r="BD27" i="2"/>
  <c r="S65" i="2"/>
  <c r="R65" i="2"/>
  <c r="S57" i="2"/>
  <c r="T57" i="2" s="1"/>
  <c r="S58" i="2"/>
  <c r="S56" i="2"/>
  <c r="S54" i="2"/>
  <c r="T54" i="2" s="1"/>
  <c r="R42" i="2"/>
  <c r="R82" i="2" s="1"/>
  <c r="S42" i="2" s="1"/>
  <c r="S8" i="2"/>
  <c r="S25" i="2"/>
  <c r="S40" i="2"/>
  <c r="S39" i="2"/>
  <c r="S38" i="2"/>
  <c r="S37" i="2"/>
  <c r="S35" i="2"/>
  <c r="S34" i="2"/>
  <c r="S33" i="2"/>
  <c r="BD33" i="2"/>
  <c r="BE33" i="2" s="1"/>
  <c r="BF33" i="2" s="1"/>
  <c r="BG33" i="2" s="1"/>
  <c r="BH33" i="2" s="1"/>
  <c r="S31" i="2"/>
  <c r="W31" i="2" s="1"/>
  <c r="S30" i="2"/>
  <c r="S29" i="2"/>
  <c r="S28" i="2"/>
  <c r="S26" i="2"/>
  <c r="BD26" i="2" s="1"/>
  <c r="S23" i="2"/>
  <c r="BD23" i="2" s="1"/>
  <c r="BE23" i="2" s="1"/>
  <c r="BF23" i="2" s="1"/>
  <c r="BG23" i="2" s="1"/>
  <c r="BH23" i="2" s="1"/>
  <c r="S21" i="2"/>
  <c r="S20" i="2"/>
  <c r="S19" i="2"/>
  <c r="S18" i="2"/>
  <c r="S17" i="2" s="1"/>
  <c r="S16" i="2"/>
  <c r="BE16" i="2" s="1"/>
  <c r="S15" i="2"/>
  <c r="S13" i="2"/>
  <c r="S12" i="2"/>
  <c r="U12" i="2"/>
  <c r="V12" i="2" s="1"/>
  <c r="S11" i="2"/>
  <c r="S10" i="2"/>
  <c r="S7" i="2"/>
  <c r="S3" i="2"/>
  <c r="S6" i="2"/>
  <c r="W6" i="2"/>
  <c r="S5" i="2"/>
  <c r="S4" i="2"/>
  <c r="BH65" i="2"/>
  <c r="BG65" i="2"/>
  <c r="BF65" i="2"/>
  <c r="BE65" i="2"/>
  <c r="C3" i="2"/>
  <c r="G3" i="2"/>
  <c r="H3" i="2" s="1"/>
  <c r="J3" i="2"/>
  <c r="K4" i="2"/>
  <c r="M4" i="2" s="1"/>
  <c r="K5" i="2"/>
  <c r="BC5" i="2" s="1"/>
  <c r="K6" i="2"/>
  <c r="BC6" i="2" s="1"/>
  <c r="M6" i="2"/>
  <c r="K7" i="2"/>
  <c r="K3" i="2" s="1"/>
  <c r="L3" i="2"/>
  <c r="N3" i="2"/>
  <c r="O4" i="2"/>
  <c r="O5" i="2"/>
  <c r="O6" i="2"/>
  <c r="P6" i="2"/>
  <c r="Q6" i="2" s="1"/>
  <c r="O7" i="2"/>
  <c r="P7" i="2" s="1"/>
  <c r="P5" i="2"/>
  <c r="Q5" i="2"/>
  <c r="R3" i="2"/>
  <c r="AZ3" i="2"/>
  <c r="G4" i="2"/>
  <c r="I4" i="2"/>
  <c r="G5" i="2"/>
  <c r="G6" i="2"/>
  <c r="G7" i="2"/>
  <c r="C9" i="2"/>
  <c r="G9" i="2"/>
  <c r="H9" i="2"/>
  <c r="J9" i="2"/>
  <c r="K10" i="2"/>
  <c r="M10" i="2" s="1"/>
  <c r="K9" i="2"/>
  <c r="K11" i="2"/>
  <c r="K12" i="2"/>
  <c r="M12" i="2" s="1"/>
  <c r="K13" i="2"/>
  <c r="M13" i="2" s="1"/>
  <c r="L9" i="2"/>
  <c r="N9" i="2"/>
  <c r="O10" i="2"/>
  <c r="O11" i="2"/>
  <c r="P11" i="2" s="1"/>
  <c r="O12" i="2"/>
  <c r="P12" i="2" s="1"/>
  <c r="Q12" i="2" s="1"/>
  <c r="O13" i="2"/>
  <c r="P13" i="2" s="1"/>
  <c r="Q13" i="2" s="1"/>
  <c r="R9" i="2"/>
  <c r="U13" i="2"/>
  <c r="BE13" i="2"/>
  <c r="AZ9" i="2"/>
  <c r="G10" i="2"/>
  <c r="G11" i="2"/>
  <c r="G12" i="2"/>
  <c r="G13" i="2"/>
  <c r="C14" i="2"/>
  <c r="G14" i="2"/>
  <c r="H14" i="2"/>
  <c r="J14" i="2"/>
  <c r="K15" i="2"/>
  <c r="M15" i="2" s="1"/>
  <c r="M14" i="2" s="1"/>
  <c r="K16" i="2"/>
  <c r="M16" i="2"/>
  <c r="L14" i="2"/>
  <c r="N14" i="2"/>
  <c r="O15" i="2"/>
  <c r="P15" i="2" s="1"/>
  <c r="O16" i="2"/>
  <c r="P16" i="2" s="1"/>
  <c r="Q16" i="2" s="1"/>
  <c r="O14" i="2"/>
  <c r="R14" i="2"/>
  <c r="AZ14" i="2"/>
  <c r="BB14" i="2"/>
  <c r="G15" i="2"/>
  <c r="G16" i="2"/>
  <c r="C17" i="2"/>
  <c r="G17" i="2"/>
  <c r="H17" i="2"/>
  <c r="J17" i="2"/>
  <c r="K18" i="2"/>
  <c r="M18" i="2" s="1"/>
  <c r="M17" i="2" s="1"/>
  <c r="K19" i="2"/>
  <c r="M19" i="2"/>
  <c r="K20" i="2"/>
  <c r="M20" i="2"/>
  <c r="K21" i="2"/>
  <c r="K17" i="2" s="1"/>
  <c r="L17" i="2"/>
  <c r="M21" i="2"/>
  <c r="N17" i="2"/>
  <c r="O18" i="2"/>
  <c r="P18" i="2"/>
  <c r="Q18" i="2"/>
  <c r="O19" i="2"/>
  <c r="P19" i="2"/>
  <c r="Q19" i="2" s="1"/>
  <c r="O20" i="2"/>
  <c r="O21" i="2"/>
  <c r="P21" i="2" s="1"/>
  <c r="R17" i="2"/>
  <c r="AZ17" i="2"/>
  <c r="G18" i="2"/>
  <c r="G19" i="2"/>
  <c r="G20" i="2"/>
  <c r="G21" i="2"/>
  <c r="C25" i="2"/>
  <c r="F25" i="2"/>
  <c r="G25" i="2"/>
  <c r="H25" i="2"/>
  <c r="BB25" i="2" s="1"/>
  <c r="BC25" i="2" s="1"/>
  <c r="J25" i="2"/>
  <c r="K25" i="2"/>
  <c r="L25" i="2"/>
  <c r="N25" i="2"/>
  <c r="O25" i="2" s="1"/>
  <c r="G26" i="2"/>
  <c r="F26" i="2" s="1"/>
  <c r="F42" i="2" s="1"/>
  <c r="G27" i="2"/>
  <c r="F27" i="2"/>
  <c r="F28" i="2"/>
  <c r="H28" i="2"/>
  <c r="K28" i="2"/>
  <c r="M28" i="2"/>
  <c r="O28" i="2"/>
  <c r="P28" i="2" s="1"/>
  <c r="Q28" i="2" s="1"/>
  <c r="U28" i="2" s="1"/>
  <c r="K29" i="2"/>
  <c r="M29" i="2"/>
  <c r="O29" i="2"/>
  <c r="P29" i="2"/>
  <c r="Q29" i="2"/>
  <c r="U29" i="2" s="1"/>
  <c r="K30" i="2"/>
  <c r="M30" i="2"/>
  <c r="O30" i="2"/>
  <c r="P30" i="2"/>
  <c r="Q30" i="2"/>
  <c r="U30" i="2" s="1"/>
  <c r="K31" i="2"/>
  <c r="M31" i="2"/>
  <c r="O31" i="2"/>
  <c r="P31" i="2"/>
  <c r="Q31" i="2"/>
  <c r="U31" i="2" s="1"/>
  <c r="K32" i="2"/>
  <c r="K34" i="2"/>
  <c r="M34" i="2"/>
  <c r="O34" i="2"/>
  <c r="P34" i="2"/>
  <c r="K35" i="2"/>
  <c r="M35" i="2" s="1"/>
  <c r="O35" i="2"/>
  <c r="P35" i="2" s="1"/>
  <c r="Q35" i="2" s="1"/>
  <c r="U35" i="2" s="1"/>
  <c r="K36" i="2"/>
  <c r="M36" i="2"/>
  <c r="O36" i="2"/>
  <c r="K37" i="2"/>
  <c r="M37" i="2" s="1"/>
  <c r="O37" i="2"/>
  <c r="P37" i="2"/>
  <c r="Q37" i="2" s="1"/>
  <c r="U37" i="2" s="1"/>
  <c r="P38" i="2"/>
  <c r="U38" i="2"/>
  <c r="K39" i="2"/>
  <c r="M39" i="2" s="1"/>
  <c r="O39" i="2"/>
  <c r="K40" i="2"/>
  <c r="M40" i="2" s="1"/>
  <c r="O40" i="2"/>
  <c r="P40" i="2"/>
  <c r="Q40" i="2" s="1"/>
  <c r="U40" i="2" s="1"/>
  <c r="BD40" i="2" s="1"/>
  <c r="BE40" i="2" s="1"/>
  <c r="BF40" i="2" s="1"/>
  <c r="BG40" i="2" s="1"/>
  <c r="BH40" i="2" s="1"/>
  <c r="L41" i="2"/>
  <c r="O41" i="2"/>
  <c r="G53" i="2"/>
  <c r="H53" i="2" s="1"/>
  <c r="N42" i="2"/>
  <c r="N43" i="2"/>
  <c r="R43" i="2"/>
  <c r="N44" i="2"/>
  <c r="R44" i="2"/>
  <c r="R84" i="2" s="1"/>
  <c r="S44" i="2" s="1"/>
  <c r="N45" i="2"/>
  <c r="R45" i="2"/>
  <c r="R85" i="2"/>
  <c r="S45" i="2" s="1"/>
  <c r="S85" i="2" s="1"/>
  <c r="R46" i="2"/>
  <c r="S46" i="2"/>
  <c r="R47" i="2"/>
  <c r="BE47" i="2"/>
  <c r="K53" i="2"/>
  <c r="K55" i="2"/>
  <c r="K71" i="2" s="1"/>
  <c r="L53" i="2"/>
  <c r="O53" i="2"/>
  <c r="P53" i="2" s="1"/>
  <c r="O55" i="2"/>
  <c r="O71" i="2" s="1"/>
  <c r="G54" i="2"/>
  <c r="H54" i="2"/>
  <c r="I54" i="2"/>
  <c r="K54" i="2"/>
  <c r="O54" i="2"/>
  <c r="P54" i="2"/>
  <c r="Q54" i="2" s="1"/>
  <c r="BB55" i="2"/>
  <c r="BB59" i="2" s="1"/>
  <c r="BB62" i="2" s="1"/>
  <c r="F55" i="2"/>
  <c r="F59" i="2" s="1"/>
  <c r="J55" i="2"/>
  <c r="J71" i="2" s="1"/>
  <c r="N55" i="2"/>
  <c r="N59" i="2" s="1"/>
  <c r="N61" i="2" s="1"/>
  <c r="BA55" i="2"/>
  <c r="BA71" i="2"/>
  <c r="BC55" i="2"/>
  <c r="BC71" i="2"/>
  <c r="BD55" i="2"/>
  <c r="BD59" i="2" s="1"/>
  <c r="BD61" i="2" s="1"/>
  <c r="G56" i="2"/>
  <c r="H56" i="2"/>
  <c r="K56" i="2"/>
  <c r="L56" i="2" s="1"/>
  <c r="O56" i="2"/>
  <c r="O72" i="2" s="1"/>
  <c r="BB56" i="2"/>
  <c r="BB72" i="2"/>
  <c r="BE56" i="2"/>
  <c r="BF56" i="2"/>
  <c r="BG56" i="2" s="1"/>
  <c r="K57" i="2"/>
  <c r="L57" i="2"/>
  <c r="O57" i="2"/>
  <c r="J58" i="2"/>
  <c r="N58" i="2"/>
  <c r="R58" i="2"/>
  <c r="BA59" i="2"/>
  <c r="BA63" i="2" s="1"/>
  <c r="BB68" i="2" s="1"/>
  <c r="BC59" i="2"/>
  <c r="BC61" i="2" s="1"/>
  <c r="H60" i="2"/>
  <c r="J60" i="2"/>
  <c r="K60" i="2"/>
  <c r="L60" i="2"/>
  <c r="M60" i="2" s="1"/>
  <c r="N60" i="2"/>
  <c r="O60" i="2"/>
  <c r="P60" i="2" s="1"/>
  <c r="Q60" i="2" s="1"/>
  <c r="R60" i="2"/>
  <c r="S60" i="2" s="1"/>
  <c r="T60" i="2" s="1"/>
  <c r="H62" i="2"/>
  <c r="J62" i="2"/>
  <c r="K62" i="2"/>
  <c r="N62" i="2"/>
  <c r="O62" i="2"/>
  <c r="P62" i="2" s="1"/>
  <c r="R62" i="2"/>
  <c r="S62" i="2" s="1"/>
  <c r="Q65" i="2"/>
  <c r="BC65" i="2"/>
  <c r="BD65" i="2"/>
  <c r="N67" i="2"/>
  <c r="BA67" i="2"/>
  <c r="BB67" i="2"/>
  <c r="BC67" i="2"/>
  <c r="BD67" i="2"/>
  <c r="BC78" i="2"/>
  <c r="BD78" i="2"/>
  <c r="K7" i="1"/>
  <c r="U45" i="2"/>
  <c r="V45" i="2" s="1"/>
  <c r="W45" i="2" s="1"/>
  <c r="X45" i="2" s="1"/>
  <c r="Y45" i="2" s="1"/>
  <c r="P36" i="2"/>
  <c r="Q36" i="2" s="1"/>
  <c r="P39" i="2"/>
  <c r="Q39" i="2" s="1"/>
  <c r="U39" i="2" s="1"/>
  <c r="P20" i="2"/>
  <c r="Q20" i="2"/>
  <c r="U20" i="2" s="1"/>
  <c r="U43" i="2"/>
  <c r="V43" i="2" s="1"/>
  <c r="W43" i="2" s="1"/>
  <c r="X43" i="2" s="1"/>
  <c r="Y43" i="2" s="1"/>
  <c r="T14" i="2"/>
  <c r="P57" i="2"/>
  <c r="L54" i="2"/>
  <c r="L55" i="2" s="1"/>
  <c r="M54" i="2"/>
  <c r="Q34" i="2"/>
  <c r="U34" i="2"/>
  <c r="V34" i="2"/>
  <c r="W34" i="2" s="1"/>
  <c r="X34" i="2" s="1"/>
  <c r="Y34" i="2" s="1"/>
  <c r="BD34" i="2"/>
  <c r="BE34" i="2" s="1"/>
  <c r="BF34" i="2" s="1"/>
  <c r="BG34" i="2" s="1"/>
  <c r="BH34" i="2" s="1"/>
  <c r="P4" i="2"/>
  <c r="Q4" i="2" s="1"/>
  <c r="U44" i="2"/>
  <c r="V44" i="2" s="1"/>
  <c r="W44" i="2" s="1"/>
  <c r="X44" i="2" s="1"/>
  <c r="Y44" i="2" s="1"/>
  <c r="BD71" i="2"/>
  <c r="P10" i="2"/>
  <c r="Q10" i="2"/>
  <c r="U10" i="2"/>
  <c r="U9" i="2" s="1"/>
  <c r="M11" i="2"/>
  <c r="T17" i="2"/>
  <c r="U16" i="2"/>
  <c r="V16" i="2" s="1"/>
  <c r="S14" i="2"/>
  <c r="O17" i="2"/>
  <c r="U23" i="2"/>
  <c r="V23" i="2" s="1"/>
  <c r="W23" i="2" s="1"/>
  <c r="X23" i="2" s="1"/>
  <c r="Y23" i="2" s="1"/>
  <c r="U11" i="2"/>
  <c r="BE11" i="2" s="1"/>
  <c r="V11" i="2"/>
  <c r="U18" i="2"/>
  <c r="V18" i="2"/>
  <c r="W18" i="2" s="1"/>
  <c r="T9" i="2"/>
  <c r="T3" i="2"/>
  <c r="U5" i="2"/>
  <c r="Y5" i="2" s="1"/>
  <c r="BD5" i="2"/>
  <c r="BD20" i="2"/>
  <c r="O3" i="2"/>
  <c r="BB17" i="2"/>
  <c r="BB42" i="2" s="1"/>
  <c r="BC42" i="2" s="1"/>
  <c r="O67" i="2"/>
  <c r="K58" i="2"/>
  <c r="R83" i="2"/>
  <c r="S43" i="2"/>
  <c r="W10" i="2"/>
  <c r="W7" i="2"/>
  <c r="P58" i="2"/>
  <c r="Q58" i="2" s="1"/>
  <c r="F71" i="2"/>
  <c r="BD18" i="2"/>
  <c r="M5" i="2"/>
  <c r="L62" i="2"/>
  <c r="S82" i="2"/>
  <c r="O58" i="2"/>
  <c r="G55" i="2"/>
  <c r="G71" i="2" s="1"/>
  <c r="P56" i="2"/>
  <c r="S83" i="2"/>
  <c r="W5" i="2"/>
  <c r="BD38" i="2"/>
  <c r="BE38" i="2"/>
  <c r="BF38" i="2" s="1"/>
  <c r="BG38" i="2" s="1"/>
  <c r="BH38" i="2" s="1"/>
  <c r="V13" i="2"/>
  <c r="T56" i="2"/>
  <c r="W25" i="2"/>
  <c r="T25" i="2"/>
  <c r="M62" i="2"/>
  <c r="W13" i="2"/>
  <c r="X13" i="2" s="1"/>
  <c r="V9" i="2" l="1"/>
  <c r="BD43" i="2"/>
  <c r="BE43" i="2" s="1"/>
  <c r="BF43" i="2" s="1"/>
  <c r="BG43" i="2" s="1"/>
  <c r="BH43" i="2" s="1"/>
  <c r="BE5" i="2"/>
  <c r="N71" i="2"/>
  <c r="K59" i="2"/>
  <c r="K61" i="2" s="1"/>
  <c r="K63" i="2" s="1"/>
  <c r="O59" i="2"/>
  <c r="O61" i="2" s="1"/>
  <c r="O63" i="2" s="1"/>
  <c r="J52" i="2"/>
  <c r="J59" i="2"/>
  <c r="J61" i="2" s="1"/>
  <c r="J63" i="2" s="1"/>
  <c r="R53" i="2"/>
  <c r="R67" i="2" s="1"/>
  <c r="W11" i="2"/>
  <c r="X11" i="2" s="1"/>
  <c r="W3" i="2"/>
  <c r="L52" i="2"/>
  <c r="X3" i="2"/>
  <c r="BF5" i="2"/>
  <c r="G59" i="2"/>
  <c r="G63" i="2" s="1"/>
  <c r="V28" i="2"/>
  <c r="W28" i="2" s="1"/>
  <c r="X28" i="2" s="1"/>
  <c r="Y28" i="2" s="1"/>
  <c r="BD28" i="2"/>
  <c r="BE28" i="2" s="1"/>
  <c r="BF28" i="2" s="1"/>
  <c r="BG28" i="2" s="1"/>
  <c r="BH28" i="2" s="1"/>
  <c r="X8" i="2"/>
  <c r="Y8" i="2" s="1"/>
  <c r="Y31" i="2"/>
  <c r="BD31" i="2"/>
  <c r="BE31" i="2" s="1"/>
  <c r="BF31" i="2" s="1"/>
  <c r="BG31" i="2" s="1"/>
  <c r="BH31" i="2" s="1"/>
  <c r="Q15" i="2"/>
  <c r="U15" i="2" s="1"/>
  <c r="P14" i="2"/>
  <c r="Q3" i="2"/>
  <c r="U4" i="2"/>
  <c r="BD45" i="2"/>
  <c r="BE45" i="2" s="1"/>
  <c r="BF45" i="2" s="1"/>
  <c r="BG45" i="2" s="1"/>
  <c r="BH45" i="2" s="1"/>
  <c r="T58" i="2"/>
  <c r="U57" i="2"/>
  <c r="V57" i="2" s="1"/>
  <c r="W57" i="2" s="1"/>
  <c r="X57" i="2" s="1"/>
  <c r="Y57" i="2" s="1"/>
  <c r="V37" i="2"/>
  <c r="W37" i="2" s="1"/>
  <c r="X37" i="2" s="1"/>
  <c r="Y37" i="2" s="1"/>
  <c r="BD37" i="2"/>
  <c r="BE37" i="2" s="1"/>
  <c r="BF37" i="2" s="1"/>
  <c r="BG37" i="2" s="1"/>
  <c r="BH37" i="2" s="1"/>
  <c r="Q11" i="2"/>
  <c r="P9" i="2"/>
  <c r="R55" i="2"/>
  <c r="V30" i="2"/>
  <c r="W30" i="2" s="1"/>
  <c r="X30" i="2" s="1"/>
  <c r="Y30" i="2" s="1"/>
  <c r="BD30" i="2"/>
  <c r="BE30" i="2" s="1"/>
  <c r="BF30" i="2" s="1"/>
  <c r="BG30" i="2" s="1"/>
  <c r="BH30" i="2" s="1"/>
  <c r="Q21" i="2"/>
  <c r="U21" i="2" s="1"/>
  <c r="P17" i="2"/>
  <c r="BC17" i="2"/>
  <c r="BC4" i="2"/>
  <c r="M3" i="2"/>
  <c r="BC3" i="2" s="1"/>
  <c r="W12" i="2"/>
  <c r="X12" i="2" s="1"/>
  <c r="Y12" i="2" s="1"/>
  <c r="BF16" i="2"/>
  <c r="W16" i="2"/>
  <c r="X16" i="2" s="1"/>
  <c r="Y16" i="2" s="1"/>
  <c r="S84" i="2"/>
  <c r="U19" i="2"/>
  <c r="BD19" i="2"/>
  <c r="K52" i="2"/>
  <c r="K73" i="2"/>
  <c r="BD62" i="2"/>
  <c r="BD63" i="2"/>
  <c r="P72" i="2"/>
  <c r="P67" i="2"/>
  <c r="P55" i="2"/>
  <c r="Q53" i="2"/>
  <c r="H55" i="2"/>
  <c r="I53" i="2"/>
  <c r="I55" i="2" s="1"/>
  <c r="I71" i="2" s="1"/>
  <c r="H42" i="2"/>
  <c r="V35" i="2"/>
  <c r="W35" i="2" s="1"/>
  <c r="X35" i="2" s="1"/>
  <c r="Y35" i="2" s="1"/>
  <c r="BD35" i="2"/>
  <c r="BE35" i="2" s="1"/>
  <c r="BF35" i="2" s="1"/>
  <c r="BG35" i="2" s="1"/>
  <c r="BH35" i="2" s="1"/>
  <c r="L71" i="2"/>
  <c r="V20" i="2"/>
  <c r="BE20" i="2"/>
  <c r="T62" i="2"/>
  <c r="L67" i="2"/>
  <c r="V29" i="2"/>
  <c r="W29" i="2" s="1"/>
  <c r="X29" i="2" s="1"/>
  <c r="Y29" i="2" s="1"/>
  <c r="BD29" i="2"/>
  <c r="BE29" i="2" s="1"/>
  <c r="BF29" i="2" s="1"/>
  <c r="BG29" i="2" s="1"/>
  <c r="BH29" i="2" s="1"/>
  <c r="Q7" i="2"/>
  <c r="U7" i="2" s="1"/>
  <c r="P3" i="2"/>
  <c r="BH56" i="2"/>
  <c r="Y13" i="2"/>
  <c r="BF13" i="2" s="1"/>
  <c r="Q62" i="2"/>
  <c r="U6" i="2"/>
  <c r="BD6" i="2"/>
  <c r="X18" i="2"/>
  <c r="BC62" i="2"/>
  <c r="BC63" i="2" s="1"/>
  <c r="BD39" i="2"/>
  <c r="BE39" i="2" s="1"/>
  <c r="BF39" i="2" s="1"/>
  <c r="BG39" i="2" s="1"/>
  <c r="BH39" i="2" s="1"/>
  <c r="V39" i="2"/>
  <c r="W39" i="2" s="1"/>
  <c r="X39" i="2" s="1"/>
  <c r="Y39" i="2" s="1"/>
  <c r="N63" i="2"/>
  <c r="N73" i="2"/>
  <c r="M9" i="2"/>
  <c r="BC9" i="2" s="1"/>
  <c r="L58" i="2"/>
  <c r="M58" i="2" s="1"/>
  <c r="V3" i="2"/>
  <c r="P25" i="2"/>
  <c r="Q25" i="2" s="1"/>
  <c r="U25" i="2" s="1"/>
  <c r="Y25" i="2" s="1"/>
  <c r="BC7" i="2"/>
  <c r="M25" i="2"/>
  <c r="BD42" i="2"/>
  <c r="BE42" i="2" s="1"/>
  <c r="BF42" i="2" s="1"/>
  <c r="BG42" i="2" s="1"/>
  <c r="BH42" i="2" s="1"/>
  <c r="BD44" i="2"/>
  <c r="BE44" i="2" s="1"/>
  <c r="BF44" i="2" s="1"/>
  <c r="BG44" i="2" s="1"/>
  <c r="BH44" i="2" s="1"/>
  <c r="N52" i="2"/>
  <c r="K14" i="2"/>
  <c r="BC14" i="2" s="1"/>
  <c r="M7" i="2"/>
  <c r="G67" i="2"/>
  <c r="G42" i="2"/>
  <c r="M53" i="2"/>
  <c r="S9" i="2"/>
  <c r="BB54" i="2"/>
  <c r="X25" i="2"/>
  <c r="Y10" i="2"/>
  <c r="BF10" i="2" s="1"/>
  <c r="BE18" i="2"/>
  <c r="BD4" i="2"/>
  <c r="BE10" i="2"/>
  <c r="BE12" i="2"/>
  <c r="O9" i="2"/>
  <c r="O52" i="2" s="1"/>
  <c r="R72" i="2" l="1"/>
  <c r="O73" i="2"/>
  <c r="W9" i="2"/>
  <c r="BF12" i="2"/>
  <c r="BC68" i="2"/>
  <c r="BC64" i="2"/>
  <c r="Q17" i="2"/>
  <c r="BD17" i="2" s="1"/>
  <c r="BE21" i="2"/>
  <c r="V21" i="2"/>
  <c r="BE4" i="2"/>
  <c r="Y4" i="2"/>
  <c r="U3" i="2"/>
  <c r="L59" i="2"/>
  <c r="L61" i="2" s="1"/>
  <c r="Q14" i="2"/>
  <c r="BD14" i="2" s="1"/>
  <c r="BE19" i="2"/>
  <c r="V19" i="2"/>
  <c r="V15" i="2"/>
  <c r="U14" i="2"/>
  <c r="BE15" i="2"/>
  <c r="BE14" i="2" s="1"/>
  <c r="M67" i="2"/>
  <c r="M55" i="2"/>
  <c r="W20" i="2"/>
  <c r="X20" i="2" s="1"/>
  <c r="Y20" i="2" s="1"/>
  <c r="BF20" i="2"/>
  <c r="BG20" i="2" s="1"/>
  <c r="BH20" i="2" s="1"/>
  <c r="R71" i="2"/>
  <c r="R59" i="2"/>
  <c r="R61" i="2" s="1"/>
  <c r="Y18" i="2"/>
  <c r="BF18" i="2" s="1"/>
  <c r="Y6" i="2"/>
  <c r="BF6" i="2" s="1"/>
  <c r="BE6" i="2"/>
  <c r="BD25" i="2"/>
  <c r="BE25" i="2" s="1"/>
  <c r="BF25" i="2" s="1"/>
  <c r="BG25" i="2" s="1"/>
  <c r="BH25" i="2" s="1"/>
  <c r="BD3" i="2"/>
  <c r="H59" i="2"/>
  <c r="H61" i="2" s="1"/>
  <c r="H63" i="2" s="1"/>
  <c r="H71" i="2"/>
  <c r="S47" i="2"/>
  <c r="S53" i="2" s="1"/>
  <c r="BE9" i="2"/>
  <c r="Y7" i="2"/>
  <c r="BF7" i="2" s="1"/>
  <c r="BE7" i="2"/>
  <c r="Q67" i="2"/>
  <c r="Q55" i="2"/>
  <c r="BF8" i="2"/>
  <c r="Y11" i="2"/>
  <c r="Y9" i="2" s="1"/>
  <c r="X9" i="2"/>
  <c r="BD7" i="2"/>
  <c r="P59" i="2"/>
  <c r="P61" i="2" s="1"/>
  <c r="P71" i="2"/>
  <c r="Q9" i="2"/>
  <c r="BD9" i="2" s="1"/>
  <c r="BD64" i="2"/>
  <c r="BD68" i="2"/>
  <c r="U17" i="2"/>
  <c r="BE17" i="2"/>
  <c r="BF11" i="2" l="1"/>
  <c r="BF9" i="2" s="1"/>
  <c r="BG9" i="2" s="1"/>
  <c r="BH9" i="2" s="1"/>
  <c r="BG18" i="2"/>
  <c r="BH18" i="2" s="1"/>
  <c r="S67" i="2"/>
  <c r="S72" i="2"/>
  <c r="S55" i="2"/>
  <c r="T53" i="2"/>
  <c r="L73" i="2"/>
  <c r="L63" i="2"/>
  <c r="M59" i="2"/>
  <c r="M61" i="2" s="1"/>
  <c r="M71" i="2"/>
  <c r="R73" i="2"/>
  <c r="R63" i="2"/>
  <c r="R64" i="2" s="1"/>
  <c r="BE3" i="2"/>
  <c r="P63" i="2"/>
  <c r="P64" i="2" s="1"/>
  <c r="P73" i="2"/>
  <c r="Y3" i="2"/>
  <c r="BF4" i="2"/>
  <c r="BF3" i="2" s="1"/>
  <c r="W21" i="2"/>
  <c r="X21" i="2" s="1"/>
  <c r="Y21" i="2" s="1"/>
  <c r="W19" i="2"/>
  <c r="V17" i="2"/>
  <c r="Q71" i="2"/>
  <c r="Q59" i="2"/>
  <c r="Q61" i="2" s="1"/>
  <c r="W15" i="2"/>
  <c r="V14" i="2"/>
  <c r="BF21" i="2" l="1"/>
  <c r="BG21" i="2" s="1"/>
  <c r="BH21" i="2" s="1"/>
  <c r="Q63" i="2"/>
  <c r="Q64" i="2" s="1"/>
  <c r="Q73" i="2"/>
  <c r="S59" i="2"/>
  <c r="S61" i="2" s="1"/>
  <c r="S71" i="2"/>
  <c r="M63" i="2"/>
  <c r="M73" i="2"/>
  <c r="T67" i="2"/>
  <c r="T55" i="2"/>
  <c r="T46" i="2"/>
  <c r="T72" i="2"/>
  <c r="X15" i="2"/>
  <c r="W14" i="2"/>
  <c r="X19" i="2"/>
  <c r="W17" i="2"/>
  <c r="BG3" i="2"/>
  <c r="Y15" i="2" l="1"/>
  <c r="Y14" i="2" s="1"/>
  <c r="X14" i="2"/>
  <c r="BF15" i="2"/>
  <c r="BF14" i="2" s="1"/>
  <c r="T71" i="2"/>
  <c r="T59" i="2"/>
  <c r="T61" i="2" s="1"/>
  <c r="U46" i="2"/>
  <c r="S63" i="2"/>
  <c r="S64" i="2" s="1"/>
  <c r="S73" i="2"/>
  <c r="BH3" i="2"/>
  <c r="Y19" i="2"/>
  <c r="Y17" i="2" s="1"/>
  <c r="X17" i="2"/>
  <c r="BF19" i="2"/>
  <c r="BG14" i="2" l="1"/>
  <c r="T63" i="2"/>
  <c r="T64" i="2" s="1"/>
  <c r="T73" i="2"/>
  <c r="U73" i="2" s="1"/>
  <c r="V73" i="2" s="1"/>
  <c r="W73" i="2" s="1"/>
  <c r="X73" i="2" s="1"/>
  <c r="Y73" i="2" s="1"/>
  <c r="BG19" i="2"/>
  <c r="BH19" i="2" s="1"/>
  <c r="BF17" i="2"/>
  <c r="BG17" i="2" s="1"/>
  <c r="BH17" i="2" s="1"/>
  <c r="V46" i="2"/>
  <c r="U53" i="2"/>
  <c r="BD46" i="2"/>
  <c r="BE46" i="2" s="1"/>
  <c r="U67" i="2" l="1"/>
  <c r="U54" i="2"/>
  <c r="U55" i="2" s="1"/>
  <c r="U56" i="2"/>
  <c r="U58" i="2" s="1"/>
  <c r="BF46" i="2"/>
  <c r="BG46" i="2" s="1"/>
  <c r="BH46" i="2" s="1"/>
  <c r="BE53" i="2"/>
  <c r="BF53" i="2"/>
  <c r="W46" i="2"/>
  <c r="V53" i="2"/>
  <c r="BH14" i="2"/>
  <c r="BH53" i="2" s="1"/>
  <c r="BG53" i="2"/>
  <c r="U59" i="2" l="1"/>
  <c r="U61" i="2" s="1"/>
  <c r="U62" i="2" s="1"/>
  <c r="U63" i="2" s="1"/>
  <c r="U64" i="2" s="1"/>
  <c r="BH67" i="2"/>
  <c r="BH55" i="2"/>
  <c r="BH59" i="2" s="1"/>
  <c r="BH72" i="2"/>
  <c r="X46" i="2"/>
  <c r="W53" i="2"/>
  <c r="BF72" i="2"/>
  <c r="BF67" i="2"/>
  <c r="BF55" i="2"/>
  <c r="BF59" i="2" s="1"/>
  <c r="V67" i="2"/>
  <c r="V54" i="2"/>
  <c r="V55" i="2" s="1"/>
  <c r="V56" i="2"/>
  <c r="V58" i="2" s="1"/>
  <c r="BE55" i="2"/>
  <c r="BE59" i="2" s="1"/>
  <c r="BE61" i="2" s="1"/>
  <c r="BE67" i="2"/>
  <c r="BE72" i="2"/>
  <c r="BG67" i="2"/>
  <c r="BG55" i="2"/>
  <c r="BG59" i="2" s="1"/>
  <c r="BG72" i="2"/>
  <c r="BG54" i="2" l="1"/>
  <c r="BE54" i="2"/>
  <c r="V59" i="2"/>
  <c r="V61" i="2" s="1"/>
  <c r="V62" i="2" s="1"/>
  <c r="V63" i="2" s="1"/>
  <c r="V64" i="2" s="1"/>
  <c r="W56" i="2"/>
  <c r="W58" i="2" s="1"/>
  <c r="W54" i="2"/>
  <c r="W55" i="2" s="1"/>
  <c r="W67" i="2"/>
  <c r="BH54" i="2"/>
  <c r="BF54" i="2"/>
  <c r="Y46" i="2"/>
  <c r="Y53" i="2" s="1"/>
  <c r="X53" i="2"/>
  <c r="BE62" i="2"/>
  <c r="BE63" i="2" s="1"/>
  <c r="W59" i="2" l="1"/>
  <c r="W61" i="2" s="1"/>
  <c r="W62" i="2" s="1"/>
  <c r="W63" i="2" s="1"/>
  <c r="W64" i="2" s="1"/>
  <c r="Y54" i="2"/>
  <c r="Y55" i="2" s="1"/>
  <c r="Y67" i="2"/>
  <c r="Y56" i="2"/>
  <c r="Y58" i="2" s="1"/>
  <c r="BE64" i="2"/>
  <c r="BE74" i="2"/>
  <c r="BE68" i="2"/>
  <c r="X56" i="2"/>
  <c r="X58" i="2" s="1"/>
  <c r="X54" i="2"/>
  <c r="X55" i="2" s="1"/>
  <c r="X67" i="2"/>
  <c r="X59" i="2" l="1"/>
  <c r="X61" i="2" s="1"/>
  <c r="X62" i="2" s="1"/>
  <c r="X63" i="2" s="1"/>
  <c r="X64" i="2" s="1"/>
  <c r="Y59" i="2"/>
  <c r="Y61" i="2" s="1"/>
  <c r="Y62" i="2" s="1"/>
  <c r="Y63" i="2" s="1"/>
  <c r="Y64" i="2" s="1"/>
  <c r="BF60" i="2"/>
  <c r="BF61" i="2" s="1"/>
  <c r="BF62" i="2" l="1"/>
  <c r="BF63" i="2" s="1"/>
  <c r="BF68" i="2" l="1"/>
  <c r="BF64" i="2"/>
  <c r="BF74" i="2"/>
  <c r="BG60" i="2" l="1"/>
  <c r="BG61" i="2" s="1"/>
  <c r="BG62" i="2" l="1"/>
  <c r="BG63" i="2" s="1"/>
  <c r="BG68" i="2" l="1"/>
  <c r="BG64" i="2"/>
  <c r="BG74" i="2"/>
  <c r="BH60" i="2" l="1"/>
  <c r="BH61" i="2" s="1"/>
  <c r="BH62" i="2" l="1"/>
  <c r="BH63" i="2" s="1"/>
  <c r="BH64" i="2" l="1"/>
  <c r="BH68" i="2"/>
  <c r="BI63" i="2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BH74" i="2"/>
  <c r="BK68" i="2" l="1"/>
  <c r="BK69" i="2" s="1"/>
</calcChain>
</file>

<file path=xl/comments1.xml><?xml version="1.0" encoding="utf-8"?>
<comments xmlns="http://schemas.openxmlformats.org/spreadsheetml/2006/main">
  <authors>
    <author>Martin</author>
    <author>MSMB</author>
    <author>Caroline Stewart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2400 Q1+Q2</t>
        </r>
      </text>
    </comment>
    <comment ref="BG17" authorId="1" shapeId="0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August 2012 generics</t>
        </r>
      </text>
    </comment>
    <comment ref="U19" authorId="2" shapeId="0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1/17/11 US Actos patent expiry</t>
        </r>
      </text>
    </comment>
    <comment ref="BG19" authorId="2" shapeId="0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Actos generic launch on 8/17/12, US ActoplusMet generic launch on 12/14/12</t>
        </r>
      </text>
    </comment>
    <comment ref="BF48" authorId="2" shapeId="0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2011/2012 alogliptin add'l cv study result and US re-filing</t>
        </r>
      </text>
    </comment>
    <comment ref="V50" authorId="2" shapeId="0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filing (only for dialysis)</t>
        </r>
      </text>
    </comment>
    <comment ref="N53" authorId="1" shapeId="0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378977 reported</t>
        </r>
      </text>
    </comment>
    <comment ref="R53" authorId="1" shapeId="0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354698 reported</t>
        </r>
      </text>
    </comment>
    <comment ref="S53" authorId="1" shapeId="0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690m 1H guidance</t>
        </r>
      </text>
    </comment>
    <comment ref="BE53" authorId="1" shapeId="0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1400 guidance for FY10
Q409: 1400 guidance for 
FY10</t>
        </r>
      </text>
    </comment>
    <comment ref="BG53" authorId="1" shapeId="0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Q409: 1330Y</t>
        </r>
      </text>
    </comment>
    <comment ref="BI53" authorId="0" shapeId="0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Q309: 2TY guidance</t>
        </r>
      </text>
    </comment>
    <comment ref="BB54" authorId="0" shapeId="0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disputed as 278600</t>
        </r>
      </text>
    </comment>
    <comment ref="BE59" authorId="0" shapeId="0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FYQ210: 350 guidance</t>
        </r>
      </text>
    </comment>
  </commentList>
</comments>
</file>

<file path=xl/sharedStrings.xml><?xml version="1.0" encoding="utf-8"?>
<sst xmlns="http://schemas.openxmlformats.org/spreadsheetml/2006/main" count="469" uniqueCount="363">
  <si>
    <t>Name</t>
  </si>
  <si>
    <t>Indication</t>
  </si>
  <si>
    <t>Economics</t>
  </si>
  <si>
    <t>Competition</t>
  </si>
  <si>
    <t>Ulcer</t>
  </si>
  <si>
    <t>Phase</t>
  </si>
  <si>
    <t>Prevacid/Takepron</t>
  </si>
  <si>
    <t>IP</t>
  </si>
  <si>
    <t>Nexium, generic PPIs</t>
  </si>
  <si>
    <t>Hematide</t>
  </si>
  <si>
    <t>Anemia</t>
  </si>
  <si>
    <t>TAK-475</t>
  </si>
  <si>
    <t>Main</t>
  </si>
  <si>
    <t>Brand Name</t>
  </si>
  <si>
    <t>Generic Name</t>
  </si>
  <si>
    <t>Mechanism</t>
  </si>
  <si>
    <t>Squalene Synthase inhibitor</t>
  </si>
  <si>
    <t>Clinical Data</t>
  </si>
  <si>
    <t>Phase 2 comparable to Zetia</t>
  </si>
  <si>
    <t>Blopress</t>
  </si>
  <si>
    <t>Actos</t>
  </si>
  <si>
    <t>Lupron</t>
  </si>
  <si>
    <t>1500 sales people in Japan</t>
  </si>
  <si>
    <t>Enbrel</t>
  </si>
  <si>
    <t>Rheumatoid Arthrits</t>
  </si>
  <si>
    <t>Actos (pioglitazone)</t>
  </si>
  <si>
    <t>Type 2 Diabetes</t>
  </si>
  <si>
    <t>Approved</t>
  </si>
  <si>
    <t>LLY 5%</t>
  </si>
  <si>
    <t>Avandia</t>
  </si>
  <si>
    <t>Eligard</t>
  </si>
  <si>
    <t>Insomnia</t>
  </si>
  <si>
    <t>Lunesta</t>
  </si>
  <si>
    <t>Class</t>
  </si>
  <si>
    <t>MT-1/MT-2 agonist</t>
  </si>
  <si>
    <t>TAK-013</t>
  </si>
  <si>
    <t>Endometriosis</t>
  </si>
  <si>
    <t>LHRH antagonist</t>
  </si>
  <si>
    <t>MCC-135</t>
  </si>
  <si>
    <t>CHF</t>
  </si>
  <si>
    <t>Ca++ uptake enhancer</t>
  </si>
  <si>
    <t>TAK-370</t>
  </si>
  <si>
    <t>GERD</t>
  </si>
  <si>
    <t>5-HT4 agonist</t>
  </si>
  <si>
    <t>TAK-428</t>
  </si>
  <si>
    <t>Diabetic neuropathy</t>
  </si>
  <si>
    <t>TAK-654</t>
  </si>
  <si>
    <t>TAK-802</t>
  </si>
  <si>
    <t>Hypoactive bladder</t>
  </si>
  <si>
    <t>Hypertension</t>
  </si>
  <si>
    <t>LHRH agonist</t>
  </si>
  <si>
    <t>PPI</t>
  </si>
  <si>
    <t>PPAR</t>
  </si>
  <si>
    <t>TNF</t>
  </si>
  <si>
    <t>Commenatry</t>
  </si>
  <si>
    <t>"Lipid lowering fairly modest".</t>
  </si>
  <si>
    <t>Price</t>
  </si>
  <si>
    <t>Shares</t>
  </si>
  <si>
    <t>MC</t>
  </si>
  <si>
    <t>Cash</t>
  </si>
  <si>
    <t>Debt</t>
  </si>
  <si>
    <t>EV</t>
  </si>
  <si>
    <t>Net Cash</t>
  </si>
  <si>
    <t>Safety</t>
  </si>
  <si>
    <t>Liver enzyme elevations?</t>
  </si>
  <si>
    <t>Revenue</t>
  </si>
  <si>
    <t>COGS</t>
  </si>
  <si>
    <t>Gross Profit</t>
  </si>
  <si>
    <t>SG&amp;A</t>
  </si>
  <si>
    <t>Taxes</t>
  </si>
  <si>
    <t>Revenue Y/Y</t>
  </si>
  <si>
    <t>Consumer/Other</t>
  </si>
  <si>
    <t>TAK-491</t>
  </si>
  <si>
    <t>III</t>
  </si>
  <si>
    <t>ARB</t>
  </si>
  <si>
    <t>SYR-322</t>
  </si>
  <si>
    <t>DPP4</t>
  </si>
  <si>
    <t>TAK-536 (azilsartan)</t>
  </si>
  <si>
    <t>TAK-583</t>
  </si>
  <si>
    <t>Neuropathic Pain</t>
  </si>
  <si>
    <t>Blopress (candesartan)</t>
  </si>
  <si>
    <t>Amitiza</t>
  </si>
  <si>
    <t>Rozerem</t>
  </si>
  <si>
    <t>Basen Japan</t>
  </si>
  <si>
    <t>Gross Margin</t>
  </si>
  <si>
    <t>alogliptin</t>
  </si>
  <si>
    <t>Have not seen skin toxicity in animals.</t>
  </si>
  <si>
    <t>Other Income</t>
  </si>
  <si>
    <t>Operating Income</t>
  </si>
  <si>
    <t>Pretax Income</t>
  </si>
  <si>
    <t>1/4/2008: SYR-322 filing in the US.</t>
  </si>
  <si>
    <t>1/4/2008: File TAK390-MR.</t>
  </si>
  <si>
    <t>Depression</t>
  </si>
  <si>
    <t>LUN DC</t>
  </si>
  <si>
    <t>Takepron</t>
  </si>
  <si>
    <t>Leuplin</t>
  </si>
  <si>
    <t>R&amp;D</t>
  </si>
  <si>
    <t>Benet Japan</t>
  </si>
  <si>
    <t>II JP</t>
  </si>
  <si>
    <t>Rozerem (ramelteon)</t>
  </si>
  <si>
    <t>III JP</t>
  </si>
  <si>
    <t>II US/EU</t>
  </si>
  <si>
    <t>II WW</t>
  </si>
  <si>
    <t>TAK-851</t>
  </si>
  <si>
    <t>HPV</t>
  </si>
  <si>
    <t>Topical</t>
  </si>
  <si>
    <t>AMGN</t>
  </si>
  <si>
    <t>Cancer</t>
  </si>
  <si>
    <t>Kinase</t>
  </si>
  <si>
    <t>Net Income</t>
  </si>
  <si>
    <t>lapaquistat</t>
  </si>
  <si>
    <t>Timeline</t>
  </si>
  <si>
    <t>DISCONTINUED 3/28/2008</t>
  </si>
  <si>
    <t>Prevacid</t>
  </si>
  <si>
    <t>TAP, but reverting to Takeda.</t>
  </si>
  <si>
    <t>Peptic Ulcer</t>
  </si>
  <si>
    <t>Erosive esophagitis and non-erosive reflux disease</t>
  </si>
  <si>
    <t>IY-81149</t>
  </si>
  <si>
    <t>Gout</t>
  </si>
  <si>
    <t xml:space="preserve">  Japan</t>
  </si>
  <si>
    <t>Net Income Y/Y</t>
  </si>
  <si>
    <t xml:space="preserve">  Americas</t>
  </si>
  <si>
    <t xml:space="preserve">  Europe</t>
  </si>
  <si>
    <t xml:space="preserve">  Asia</t>
  </si>
  <si>
    <t>Isovorin Japan</t>
  </si>
  <si>
    <t>Seltouch Japan</t>
  </si>
  <si>
    <t>Panspolin Japan</t>
  </si>
  <si>
    <t>Rheumatrex Japan</t>
  </si>
  <si>
    <t>Dasen Japan</t>
  </si>
  <si>
    <t>Firstcin Japan</t>
  </si>
  <si>
    <t>Prostal Japan</t>
  </si>
  <si>
    <t>Clinical Trials</t>
  </si>
  <si>
    <t>Phase 3 trials - 6 conducted</t>
  </si>
  <si>
    <t>Januvia (MRK).  $42m. $87m. $144m. $185m. Q1-Q4 of launch.</t>
  </si>
  <si>
    <t xml:space="preserve">  BMY, NVS (Galvus).</t>
  </si>
  <si>
    <t>3 deaths in studies--2 unrelated and one possibly related.</t>
  </si>
  <si>
    <t>PPDI</t>
  </si>
  <si>
    <t>NDA submitted 1/4/2008. FDA now asking for CV studies, and Takeda is delaying EU filing until 2012.</t>
  </si>
  <si>
    <t>Velcade (bortezomib)</t>
  </si>
  <si>
    <t>Multiple Myeloma</t>
  </si>
  <si>
    <t>bortezomib</t>
  </si>
  <si>
    <t>Papers</t>
  </si>
  <si>
    <t>A Phase 2 Study of Bortezomib in Relapsed, Refractory Myeloma. Richardson et al. NEJM 348;26:2003</t>
  </si>
  <si>
    <t>Molecule</t>
  </si>
  <si>
    <t>Boronic acid dipeptide</t>
  </si>
  <si>
    <t>Proteasome inhibitor</t>
  </si>
  <si>
    <t>Phase II NEJM n=193 evaluable</t>
  </si>
  <si>
    <t>35% response rate. mOS 16 months.</t>
  </si>
  <si>
    <t>Thrombocytopenia, fatigue, neuropathy, neutropenia.</t>
  </si>
  <si>
    <t>Market</t>
  </si>
  <si>
    <t>15,000 new cases of multiple myeloma annually. 10,000 deaths.</t>
  </si>
  <si>
    <t>Velcade, fka PS-341</t>
  </si>
  <si>
    <t>TAK-700</t>
  </si>
  <si>
    <t>Uloric (febuxostat)</t>
  </si>
  <si>
    <t>II WW, III Japan</t>
  </si>
  <si>
    <t>HRPC</t>
  </si>
  <si>
    <t>Glovenin-I</t>
  </si>
  <si>
    <t>Mepact (mifamurtide)</t>
  </si>
  <si>
    <t>Osteosarcoma</t>
  </si>
  <si>
    <t>EU 09</t>
  </si>
  <si>
    <t>AMG706 (motesanib)</t>
  </si>
  <si>
    <t>UC/Crohn's</t>
  </si>
  <si>
    <t>ATL-692 (cetilistat)</t>
  </si>
  <si>
    <t>Obesity</t>
  </si>
  <si>
    <t>Norgine</t>
  </si>
  <si>
    <t>lipase inhibitor</t>
  </si>
  <si>
    <t>TAK-442</t>
  </si>
  <si>
    <t>Thromboembolism</t>
  </si>
  <si>
    <t>Factor Xa</t>
  </si>
  <si>
    <t>TAK-085</t>
  </si>
  <si>
    <t>Hypertriglyceridemia</t>
  </si>
  <si>
    <t>Pronova</t>
  </si>
  <si>
    <t>EPA/DHA</t>
  </si>
  <si>
    <t>SYR-472</t>
  </si>
  <si>
    <t>II</t>
  </si>
  <si>
    <t>MLN0518</t>
  </si>
  <si>
    <t>Glioblastoma</t>
  </si>
  <si>
    <t>FLT3</t>
  </si>
  <si>
    <t>Aurora</t>
  </si>
  <si>
    <t>Lu AA24530</t>
  </si>
  <si>
    <t>CBP501</t>
  </si>
  <si>
    <t>NSCLC</t>
  </si>
  <si>
    <t>CanBas</t>
  </si>
  <si>
    <t>Androgen inhibitor</t>
  </si>
  <si>
    <t>TAK-875</t>
  </si>
  <si>
    <t>AMG665 (conatumumab)</t>
  </si>
  <si>
    <t>I</t>
  </si>
  <si>
    <t>DR5</t>
  </si>
  <si>
    <t>AMG386</t>
  </si>
  <si>
    <t>AMG479</t>
  </si>
  <si>
    <t>Angiopoietin</t>
  </si>
  <si>
    <t>IGF</t>
  </si>
  <si>
    <t>TAK-100</t>
  </si>
  <si>
    <t>TAK-329</t>
  </si>
  <si>
    <t>Glucokinase</t>
  </si>
  <si>
    <t>TAK-591</t>
  </si>
  <si>
    <t>TAK-683</t>
  </si>
  <si>
    <t>TAK-448</t>
  </si>
  <si>
    <t>Metastin analog</t>
  </si>
  <si>
    <t>TAK-285</t>
  </si>
  <si>
    <t>HER2</t>
  </si>
  <si>
    <t>Operating Expenses</t>
  </si>
  <si>
    <t>TAK-438</t>
  </si>
  <si>
    <t>MMR Vaccine</t>
  </si>
  <si>
    <t>Q210</t>
  </si>
  <si>
    <t>Q110</t>
  </si>
  <si>
    <t>Lupron/Leuplin</t>
  </si>
  <si>
    <t>Prostate Cancer</t>
  </si>
  <si>
    <t>EPS</t>
  </si>
  <si>
    <t>dexlansoprazole</t>
  </si>
  <si>
    <t>100%?</t>
  </si>
  <si>
    <t>Galantamine</t>
  </si>
  <si>
    <t>Alzheimer's</t>
  </si>
  <si>
    <t>JNJ</t>
  </si>
  <si>
    <t>Q310</t>
  </si>
  <si>
    <t>Q410</t>
  </si>
  <si>
    <t>2011, Wockhardt</t>
  </si>
  <si>
    <t>NCE</t>
  </si>
  <si>
    <t>Velcade</t>
  </si>
  <si>
    <t>Prevenar Japan</t>
  </si>
  <si>
    <t>Thyradin Japan</t>
  </si>
  <si>
    <t>Other Japan</t>
  </si>
  <si>
    <t>Other US</t>
  </si>
  <si>
    <t>Other Europe</t>
  </si>
  <si>
    <t>Other Asia</t>
  </si>
  <si>
    <t>Other Other</t>
  </si>
  <si>
    <t>Trueup</t>
  </si>
  <si>
    <t>Q409</t>
  </si>
  <si>
    <t>Q309</t>
  </si>
  <si>
    <t>Q209</t>
  </si>
  <si>
    <t>Q109</t>
  </si>
  <si>
    <t>Q108</t>
  </si>
  <si>
    <t>Q208</t>
  </si>
  <si>
    <t>Q308</t>
  </si>
  <si>
    <t>Q408</t>
  </si>
  <si>
    <t>NPV</t>
  </si>
  <si>
    <t>Share</t>
  </si>
  <si>
    <t>CFFO</t>
  </si>
  <si>
    <t>CapEx</t>
  </si>
  <si>
    <t>FCF</t>
  </si>
  <si>
    <t>TAK-379 failure</t>
  </si>
  <si>
    <t>Basen (voglibose)</t>
  </si>
  <si>
    <t>FY2010</t>
  </si>
  <si>
    <t>FY2011</t>
  </si>
  <si>
    <t>FY2012</t>
  </si>
  <si>
    <t>FY2013</t>
  </si>
  <si>
    <t>FY2014</t>
  </si>
  <si>
    <t>FY2015</t>
  </si>
  <si>
    <t>.</t>
  </si>
  <si>
    <t>Bladder cancer risk emerges 9/17/2010.</t>
  </si>
  <si>
    <t>Q407</t>
  </si>
  <si>
    <t>Q307</t>
  </si>
  <si>
    <t>Q207</t>
  </si>
  <si>
    <t>Q107</t>
  </si>
  <si>
    <t>Dexilant</t>
  </si>
  <si>
    <t>Dexilant, fka Kapidex, TAK-390MR</t>
  </si>
  <si>
    <t>Total Japan</t>
  </si>
  <si>
    <t>Total Europe</t>
  </si>
  <si>
    <t>Total Americas</t>
  </si>
  <si>
    <t>FY2009</t>
  </si>
  <si>
    <t>FY2008</t>
  </si>
  <si>
    <t>SG&amp;A %</t>
  </si>
  <si>
    <t>Maturity</t>
  </si>
  <si>
    <t>Discount</t>
  </si>
  <si>
    <t>193,300</t>
  </si>
  <si>
    <t>275,800</t>
  </si>
  <si>
    <t>453,000</t>
  </si>
  <si>
    <t>300,000</t>
  </si>
  <si>
    <t>ROIC</t>
  </si>
  <si>
    <t>Enbrel Japan</t>
  </si>
  <si>
    <t>Q111</t>
  </si>
  <si>
    <t>Q211</t>
  </si>
  <si>
    <t>Q311</t>
  </si>
  <si>
    <t>Q411</t>
  </si>
  <si>
    <t>tax</t>
  </si>
  <si>
    <t>DCCT - Diabetes Control and Complications Trial</t>
  </si>
  <si>
    <t>British Journal of Diabetes and Vascular Disease. 2004;4(1)</t>
  </si>
  <si>
    <t>n=1,441 T1D pts enrolled, n=726 within first five yrs of developing diabetes, n=715 within first fifteen yrs</t>
  </si>
  <si>
    <t>Follow-up was min 4 yrs w avg of 6.5 yrs</t>
  </si>
  <si>
    <t>Of 1,430 alive at end of study, 1,422 evaluable outcomes</t>
  </si>
  <si>
    <t>Results show that intensive tx delays onset &amp; slows progression of diabetic retinopathy, diabetic nephropathy &amp; diabetic neuropathy</t>
  </si>
  <si>
    <t>Macrovascular events (cardiac or peripheral vascular) were not significantly reduced. When episodes of both were combined, there was a 41% risk reduction (p=0.06).</t>
  </si>
  <si>
    <t>For intensive tx group, 3-fold risk of severe hypoglycaemia, incl 3x risk of coma or seizures, and weight gain.</t>
  </si>
  <si>
    <t>ADOPT - A Diabetes Outcome Progression Trial</t>
  </si>
  <si>
    <t>n=4,360 drug-naïve pts w T2D diagnosed w/in past 3 yrs randomized to rosiglitazone, glyburide or metformin, treated for 4-6 yrs</t>
  </si>
  <si>
    <t>edema and weight gain were common adverse events, along with CHF</t>
  </si>
  <si>
    <t>UKPDS - UK Prospective Diabetes Study</t>
  </si>
  <si>
    <t>n=5,102 newly diagnosed T2D pts, follow-up</t>
  </si>
  <si>
    <t>n=1,138 conventional tx (CT) initially w diet alone, then non-intensive tx</t>
  </si>
  <si>
    <t>n=2,729 intensive tx w sulphonylurea or insulin, on sulphonylurea add metformin/move to insulin tx, on insulin transfer to complex regimens</t>
  </si>
  <si>
    <t>diabetes-related death (MI/sudden death, fatal stroke, peripheral vasc disease, renal disease, hyper/hypoglycemia), p=0.34</t>
  </si>
  <si>
    <t>MI (cumulative) b/n intensive vs conventional p=0.052</t>
  </si>
  <si>
    <t xml:space="preserve">Intensive tx was better than conventional therapy on all endpoints except stroke, where RR = 1.1 and p=0.52 </t>
  </si>
  <si>
    <t>no evidence of deleterious effect on MI, sudden death or diabetes-related death</t>
  </si>
  <si>
    <t>no evidence for more atheroma-related disease</t>
  </si>
  <si>
    <t>metformin in overweight pts compared w conventional tx statistically significantly reduced all-cause mortality by 36% (p=0.011) and MI by 39% (p=0.01)</t>
  </si>
  <si>
    <t>PROactive - Prospective Pioglitazone Clinical Trial in Macrovascular Events</t>
  </si>
  <si>
    <t>n=5.238 T2D w history of macrovascular disease</t>
  </si>
  <si>
    <t>Primary endpoint was combination of 7 different macrovascular events of varying clinical important (what were these?)</t>
  </si>
  <si>
    <t>The primary endpoint was reduced by 10% but was not statistically significant (p=0.095). The principal secondary endpoint of life-threatening events showed a reduced risk of MI, strokes and death by 16% (p=0.027)</t>
  </si>
  <si>
    <t>Lipid profile improved: HDL increased by 9% more than placebo (p&lt;0.001) and reduced TG by 13% more than placebo (p&lt;0.001)</t>
  </si>
  <si>
    <t>Side effects incl weight gain, edema, non-serious hypoglycemia and heart failure.</t>
  </si>
  <si>
    <t>Proteasome</t>
  </si>
  <si>
    <t>GPR40</t>
  </si>
  <si>
    <t>panitumumab</t>
  </si>
  <si>
    <t>HL</t>
  </si>
  <si>
    <t>SGEN</t>
  </si>
  <si>
    <t>May 2011: Announces Nycomed acquisition.</t>
  </si>
  <si>
    <t>ABT</t>
  </si>
  <si>
    <t>PFE/AMGN</t>
  </si>
  <si>
    <t>90%, FURX 10%</t>
  </si>
  <si>
    <t>Adcetris (brentuximab vedotin)</t>
  </si>
  <si>
    <t>May 2011: Actos bladder cancer risk.</t>
  </si>
  <si>
    <t>ferumoxytol</t>
  </si>
  <si>
    <t>AMAG</t>
  </si>
  <si>
    <t>MLN8237</t>
  </si>
  <si>
    <t>Q214</t>
  </si>
  <si>
    <t>Nesina (alogliptin)</t>
  </si>
  <si>
    <t>Edarbi (azilsartan)</t>
  </si>
  <si>
    <t>TAK-242 resatorvid for Sepsis (TLR4)</t>
  </si>
  <si>
    <t>Idebenone</t>
  </si>
  <si>
    <t>Entyvio (vedolizumab)</t>
  </si>
  <si>
    <t>Q216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</si>
  <si>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</si>
  <si>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</si>
  <si>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</si>
  <si>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</si>
  <si>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</si>
  <si>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</si>
  <si>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</si>
  <si>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</si>
  <si>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</si>
  <si>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</si>
  <si>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</si>
  <si>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</si>
  <si>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</si>
  <si>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</si>
  <si>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</si>
  <si>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</si>
  <si>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Q316</t>
  </si>
  <si>
    <t>Q416</t>
  </si>
  <si>
    <t>FY2016</t>
  </si>
  <si>
    <t>FY2017</t>
  </si>
  <si>
    <t>FY2018</t>
  </si>
  <si>
    <t>FY2019</t>
  </si>
  <si>
    <t>Ninlaro (ixazomib)</t>
  </si>
  <si>
    <t>SCLC, was NHL</t>
  </si>
  <si>
    <t>TAK-228</t>
  </si>
  <si>
    <t>mTORC1/2 inhibitor</t>
  </si>
  <si>
    <t>BC, RCC, Endometrial</t>
  </si>
  <si>
    <t>Trintellix (vortioxetine), fka Lu AA21004</t>
  </si>
  <si>
    <t>SERT 1.6nM, SSRI 5nM</t>
  </si>
  <si>
    <t>TAK-041</t>
  </si>
  <si>
    <t>CIS</t>
  </si>
  <si>
    <t>GP139 agonist</t>
  </si>
  <si>
    <t>MT-203 (namilumab)</t>
  </si>
  <si>
    <t>GM-CSF mab</t>
  </si>
  <si>
    <t>KBIO</t>
  </si>
  <si>
    <t>RA, Psoriasis</t>
  </si>
  <si>
    <t>Entyvio</t>
  </si>
  <si>
    <t>a4b7 integrin mab</t>
  </si>
  <si>
    <t>Antibody</t>
  </si>
  <si>
    <t>Azilva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</si>
</sst>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0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" fontId="0" fillId="2" borderId="0" xfId="0" applyNumberFormat="1" applyFill="1" applyBorder="1" applyAlignment="1">
      <alignment horizontal="center"/>
    </xf>
    <xf numFmtId="0" fontId="2" fillId="2" borderId="0" xfId="1" applyFill="1" applyAlignment="1" applyProtection="1"/>
    <xf numFmtId="3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0" fontId="4" fillId="2" borderId="0" xfId="0" applyFont="1" applyFill="1"/>
    <xf numFmtId="0" fontId="2" fillId="0" borderId="0" xfId="1" applyAlignment="1" applyProtection="1"/>
    <xf numFmtId="0" fontId="4" fillId="2" borderId="4" xfId="0" applyFont="1" applyFill="1" applyBorder="1"/>
    <xf numFmtId="0" fontId="4" fillId="2" borderId="0" xfId="0" applyFont="1" applyFill="1" applyBorder="1" applyAlignment="1">
      <alignment horizontal="center"/>
    </xf>
    <xf numFmtId="9" fontId="4" fillId="2" borderId="0" xfId="0" applyNumberFormat="1" applyFont="1" applyFill="1" applyBorder="1" applyAlignment="1">
      <alignment horizontal="center"/>
    </xf>
    <xf numFmtId="0" fontId="5" fillId="2" borderId="0" xfId="0" applyFont="1" applyFill="1"/>
    <xf numFmtId="0" fontId="2" fillId="2" borderId="4" xfId="1" applyFill="1" applyBorder="1" applyAlignment="1" applyProtection="1"/>
    <xf numFmtId="0" fontId="6" fillId="2" borderId="0" xfId="0" applyFont="1" applyFill="1"/>
    <xf numFmtId="16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0" xfId="0" applyFont="1" applyFill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7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quotePrefix="1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9" fontId="7" fillId="2" borderId="0" xfId="0" applyNumberFormat="1" applyFont="1" applyFill="1" applyBorder="1" applyAlignment="1">
      <alignment horizontal="center"/>
    </xf>
    <xf numFmtId="17" fontId="4" fillId="2" borderId="0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right"/>
    </xf>
    <xf numFmtId="17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4" fontId="0" fillId="2" borderId="0" xfId="0" applyNumberFormat="1" applyFill="1"/>
    <xf numFmtId="9" fontId="7" fillId="2" borderId="0" xfId="0" applyNumberFormat="1" applyFont="1" applyFill="1" applyAlignment="1">
      <alignment horizontal="right"/>
    </xf>
    <xf numFmtId="3" fontId="7" fillId="2" borderId="0" xfId="0" quotePrefix="1" applyNumberFormat="1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2" applyFont="1" applyFill="1" applyAlignment="1">
      <alignment horizontal="right"/>
    </xf>
    <xf numFmtId="0" fontId="1" fillId="2" borderId="4" xfId="0" applyFont="1" applyFill="1" applyBorder="1"/>
    <xf numFmtId="0" fontId="1" fillId="2" borderId="0" xfId="0" applyFont="1" applyFill="1" applyBorder="1" applyAlignment="1">
      <alignment horizontal="center"/>
    </xf>
    <xf numFmtId="14" fontId="7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185739</xdr:colOff>
      <xdr:row>0</xdr:row>
      <xdr:rowOff>0</xdr:rowOff>
    </xdr:from>
    <xdr:to>
      <xdr:col>43</xdr:col>
      <xdr:colOff>185740</xdr:colOff>
      <xdr:row>81</xdr:row>
      <xdr:rowOff>4</xdr:rowOff>
    </xdr:to>
    <xdr:cxnSp macro="">
      <xdr:nvCxnSpPr>
        <xdr:cNvPr id="3" name="Straight Connector 2"/>
        <xdr:cNvCxnSpPr/>
      </xdr:nvCxnSpPr>
      <xdr:spPr>
        <a:xfrm rot="16200000" flipH="1">
          <a:off x="20354925" y="6396039"/>
          <a:ext cx="1279207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76206</xdr:colOff>
      <xdr:row>0</xdr:row>
      <xdr:rowOff>0</xdr:rowOff>
    </xdr:from>
    <xdr:to>
      <xdr:col>62</xdr:col>
      <xdr:colOff>76207</xdr:colOff>
      <xdr:row>81</xdr:row>
      <xdr:rowOff>4</xdr:rowOff>
    </xdr:to>
    <xdr:cxnSp macro="">
      <xdr:nvCxnSpPr>
        <xdr:cNvPr id="4" name="Straight Connector 3"/>
        <xdr:cNvCxnSpPr/>
      </xdr:nvCxnSpPr>
      <xdr:spPr>
        <a:xfrm rot="16200000" flipH="1">
          <a:off x="26798592" y="6396039"/>
          <a:ext cx="1279207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workbookViewId="0">
      <selection activeCell="B13" sqref="B13"/>
    </sheetView>
  </sheetViews>
  <sheetFormatPr defaultRowHeight="12.75"/>
  <cols>
    <col min="1" max="1" width="3.140625" style="1" customWidth="1"/>
    <col min="2" max="2" width="26" style="1" customWidth="1"/>
    <col min="3" max="3" width="21.140625" style="1" customWidth="1"/>
    <col min="4" max="5" width="17.42578125" style="1" customWidth="1"/>
    <col min="6" max="6" width="10.140625" style="1" bestFit="1" customWidth="1"/>
    <col min="7" max="7" width="17.140625" style="1" customWidth="1"/>
    <col min="8" max="8" width="19.28515625" style="1" bestFit="1" customWidth="1"/>
    <col min="9" max="9" width="4.7109375" style="1" customWidth="1"/>
    <col min="10" max="11" width="9.28515625" style="1" customWidth="1"/>
    <col min="12" max="12" width="7.42578125" style="1" customWidth="1"/>
    <col min="13" max="16384" width="9.140625" style="1"/>
  </cols>
  <sheetData>
    <row r="2" spans="2:12">
      <c r="B2" s="2" t="s">
        <v>0</v>
      </c>
      <c r="C2" s="3" t="s">
        <v>1</v>
      </c>
      <c r="D2" s="3" t="s">
        <v>2</v>
      </c>
      <c r="E2" s="3" t="s">
        <v>33</v>
      </c>
      <c r="F2" s="3" t="s">
        <v>27</v>
      </c>
      <c r="G2" s="3" t="s">
        <v>7</v>
      </c>
      <c r="H2" s="4" t="s">
        <v>3</v>
      </c>
      <c r="J2" s="1" t="s">
        <v>56</v>
      </c>
      <c r="K2" s="15">
        <v>4848</v>
      </c>
    </row>
    <row r="3" spans="2:12">
      <c r="B3" s="24" t="s">
        <v>6</v>
      </c>
      <c r="C3" s="6" t="s">
        <v>4</v>
      </c>
      <c r="D3" s="7">
        <v>1</v>
      </c>
      <c r="E3" s="7" t="s">
        <v>51</v>
      </c>
      <c r="F3" s="6"/>
      <c r="G3" s="13">
        <v>40118</v>
      </c>
      <c r="H3" s="8" t="s">
        <v>8</v>
      </c>
      <c r="J3" s="1" t="s">
        <v>57</v>
      </c>
      <c r="K3" s="17">
        <v>781.82190900000001</v>
      </c>
      <c r="L3" s="28" t="s">
        <v>322</v>
      </c>
    </row>
    <row r="4" spans="2:12">
      <c r="B4" s="5" t="s">
        <v>80</v>
      </c>
      <c r="C4" s="6" t="s">
        <v>49</v>
      </c>
      <c r="D4" s="7">
        <v>1</v>
      </c>
      <c r="E4" s="7" t="s">
        <v>74</v>
      </c>
      <c r="F4" s="6">
        <v>1999</v>
      </c>
      <c r="G4" s="6"/>
      <c r="H4" s="8"/>
      <c r="J4" s="1" t="s">
        <v>58</v>
      </c>
      <c r="K4" s="15">
        <f>K2*K3</f>
        <v>3790272.6148319999</v>
      </c>
    </row>
    <row r="5" spans="2:12">
      <c r="B5" s="29" t="s">
        <v>138</v>
      </c>
      <c r="C5" s="30" t="s">
        <v>139</v>
      </c>
      <c r="D5" s="45" t="s">
        <v>213</v>
      </c>
      <c r="E5" s="61" t="s">
        <v>302</v>
      </c>
      <c r="F5" s="6"/>
      <c r="G5" s="6"/>
      <c r="H5" s="8"/>
      <c r="J5" s="1" t="s">
        <v>59</v>
      </c>
      <c r="K5" s="15">
        <f>121222+581670+151101</f>
        <v>853993</v>
      </c>
      <c r="L5" s="28" t="s">
        <v>322</v>
      </c>
    </row>
    <row r="6" spans="2:12">
      <c r="B6" s="29" t="s">
        <v>153</v>
      </c>
      <c r="C6" s="30" t="s">
        <v>118</v>
      </c>
      <c r="D6" s="7" t="s">
        <v>210</v>
      </c>
      <c r="E6" s="7"/>
      <c r="F6" s="6"/>
      <c r="G6" s="6"/>
      <c r="H6" s="8"/>
      <c r="J6" s="1" t="s">
        <v>60</v>
      </c>
      <c r="K6" s="15">
        <f>739779+214625+36867</f>
        <v>991271</v>
      </c>
      <c r="L6" s="28" t="s">
        <v>322</v>
      </c>
    </row>
    <row r="7" spans="2:12">
      <c r="B7" s="29" t="s">
        <v>157</v>
      </c>
      <c r="C7" s="30" t="s">
        <v>158</v>
      </c>
      <c r="D7" s="7">
        <v>1</v>
      </c>
      <c r="E7" s="7"/>
      <c r="F7" s="30" t="s">
        <v>159</v>
      </c>
      <c r="G7" s="6"/>
      <c r="H7" s="8"/>
      <c r="J7" s="1" t="s">
        <v>61</v>
      </c>
      <c r="K7" s="15">
        <f>K4-K5+K6</f>
        <v>3927550.6148319999</v>
      </c>
    </row>
    <row r="8" spans="2:12">
      <c r="B8" s="24" t="s">
        <v>25</v>
      </c>
      <c r="C8" s="6" t="s">
        <v>26</v>
      </c>
      <c r="D8" s="7" t="s">
        <v>28</v>
      </c>
      <c r="E8" s="7" t="s">
        <v>52</v>
      </c>
      <c r="F8" s="6">
        <v>1999</v>
      </c>
      <c r="G8" s="30" t="s">
        <v>216</v>
      </c>
      <c r="H8" s="8" t="s">
        <v>29</v>
      </c>
      <c r="K8" s="15"/>
    </row>
    <row r="9" spans="2:12">
      <c r="B9" s="24" t="s">
        <v>206</v>
      </c>
      <c r="C9" s="6" t="s">
        <v>207</v>
      </c>
      <c r="D9" s="45" t="s">
        <v>308</v>
      </c>
      <c r="E9" s="7" t="s">
        <v>50</v>
      </c>
      <c r="F9" s="6"/>
      <c r="G9" s="6"/>
      <c r="H9" s="8" t="s">
        <v>30</v>
      </c>
      <c r="K9" s="51"/>
    </row>
    <row r="10" spans="2:12">
      <c r="B10" s="29" t="s">
        <v>241</v>
      </c>
      <c r="C10" s="30" t="s">
        <v>26</v>
      </c>
      <c r="D10" s="7">
        <v>1</v>
      </c>
      <c r="E10" s="7"/>
      <c r="F10" s="6"/>
      <c r="G10" s="6"/>
      <c r="H10" s="8"/>
    </row>
    <row r="11" spans="2:12">
      <c r="B11" s="5" t="s">
        <v>23</v>
      </c>
      <c r="C11" s="6" t="s">
        <v>24</v>
      </c>
      <c r="D11" s="45" t="s">
        <v>309</v>
      </c>
      <c r="E11" s="7" t="s">
        <v>53</v>
      </c>
      <c r="F11" s="6"/>
      <c r="G11" s="6"/>
      <c r="H11" s="8"/>
    </row>
    <row r="12" spans="2:12">
      <c r="B12" s="24" t="s">
        <v>254</v>
      </c>
      <c r="C12" s="21" t="s">
        <v>4</v>
      </c>
      <c r="D12" s="22">
        <v>1</v>
      </c>
      <c r="E12" s="22" t="s">
        <v>51</v>
      </c>
      <c r="F12" s="46">
        <v>39814</v>
      </c>
      <c r="G12" s="6"/>
      <c r="H12" s="8"/>
      <c r="K12" s="16"/>
    </row>
    <row r="13" spans="2:12">
      <c r="B13" s="29" t="s">
        <v>304</v>
      </c>
      <c r="C13" s="21"/>
      <c r="D13" s="45" t="s">
        <v>106</v>
      </c>
      <c r="E13" s="22"/>
      <c r="F13" s="46"/>
      <c r="G13" s="6"/>
      <c r="H13" s="8"/>
      <c r="K13" s="16"/>
    </row>
    <row r="14" spans="2:12">
      <c r="B14" s="29" t="s">
        <v>318</v>
      </c>
      <c r="C14" s="6" t="s">
        <v>49</v>
      </c>
      <c r="D14" s="7">
        <v>1</v>
      </c>
      <c r="E14" s="7" t="s">
        <v>74</v>
      </c>
      <c r="F14" s="30"/>
      <c r="G14" s="6" t="s">
        <v>217</v>
      </c>
      <c r="H14" s="8"/>
    </row>
    <row r="15" spans="2:12">
      <c r="B15" s="29" t="s">
        <v>321</v>
      </c>
      <c r="C15" s="30" t="s">
        <v>161</v>
      </c>
      <c r="D15" s="45">
        <v>1</v>
      </c>
      <c r="E15" s="61" t="s">
        <v>360</v>
      </c>
      <c r="F15" s="30"/>
      <c r="G15" s="59" t="s">
        <v>361</v>
      </c>
      <c r="H15" s="8"/>
    </row>
    <row r="16" spans="2:12">
      <c r="B16" s="58" t="s">
        <v>345</v>
      </c>
      <c r="C16" s="59" t="s">
        <v>139</v>
      </c>
      <c r="D16" s="45">
        <v>1</v>
      </c>
      <c r="E16" s="61" t="s">
        <v>302</v>
      </c>
      <c r="F16" s="60">
        <v>42328</v>
      </c>
      <c r="G16" s="6"/>
      <c r="H16" s="8"/>
    </row>
    <row r="17" spans="2:11">
      <c r="B17" s="58" t="s">
        <v>350</v>
      </c>
      <c r="C17" s="30" t="s">
        <v>92</v>
      </c>
      <c r="D17" s="45" t="s">
        <v>93</v>
      </c>
      <c r="E17" s="61" t="s">
        <v>351</v>
      </c>
      <c r="F17" s="30"/>
      <c r="G17" s="6"/>
      <c r="H17" s="8"/>
    </row>
    <row r="18" spans="2:11">
      <c r="B18" s="29" t="s">
        <v>311</v>
      </c>
      <c r="C18" s="30" t="s">
        <v>305</v>
      </c>
      <c r="D18" s="45" t="s">
        <v>306</v>
      </c>
      <c r="E18" s="45"/>
      <c r="F18" s="30"/>
      <c r="G18" s="6"/>
      <c r="H18" s="8"/>
    </row>
    <row r="19" spans="2:11">
      <c r="B19" s="24" t="s">
        <v>317</v>
      </c>
      <c r="C19" s="21" t="s">
        <v>26</v>
      </c>
      <c r="D19" s="22" t="s">
        <v>310</v>
      </c>
      <c r="E19" s="22" t="s">
        <v>76</v>
      </c>
      <c r="F19" s="21"/>
      <c r="G19" s="6"/>
      <c r="H19" s="8"/>
      <c r="K19" s="15"/>
    </row>
    <row r="20" spans="2:11">
      <c r="B20" s="5" t="s">
        <v>99</v>
      </c>
      <c r="C20" s="6" t="s">
        <v>31</v>
      </c>
      <c r="D20" s="7">
        <v>1</v>
      </c>
      <c r="E20" s="7" t="s">
        <v>34</v>
      </c>
      <c r="F20" s="6"/>
      <c r="G20" s="6"/>
      <c r="H20" s="8" t="s">
        <v>32</v>
      </c>
      <c r="K20" s="15"/>
    </row>
    <row r="21" spans="2:11">
      <c r="B21" s="2"/>
      <c r="C21" s="3"/>
      <c r="D21" s="3"/>
      <c r="E21" s="3"/>
      <c r="F21" s="3" t="s">
        <v>5</v>
      </c>
      <c r="G21" s="3"/>
      <c r="H21" s="4"/>
      <c r="K21" s="15"/>
    </row>
    <row r="22" spans="2:11">
      <c r="B22" s="29" t="s">
        <v>313</v>
      </c>
      <c r="C22" s="30" t="s">
        <v>10</v>
      </c>
      <c r="D22" s="45" t="s">
        <v>314</v>
      </c>
      <c r="E22" s="45"/>
      <c r="F22" s="30" t="s">
        <v>73</v>
      </c>
      <c r="G22" s="6"/>
      <c r="H22" s="8"/>
      <c r="J22" s="1" t="s">
        <v>22</v>
      </c>
    </row>
    <row r="23" spans="2:11">
      <c r="B23" s="29" t="s">
        <v>211</v>
      </c>
      <c r="C23" s="30" t="s">
        <v>212</v>
      </c>
      <c r="D23" s="45" t="s">
        <v>213</v>
      </c>
      <c r="E23" s="45"/>
      <c r="F23" s="30" t="s">
        <v>73</v>
      </c>
      <c r="G23" s="6"/>
      <c r="H23" s="8"/>
      <c r="J23" s="27" t="s">
        <v>240</v>
      </c>
    </row>
    <row r="24" spans="2:11">
      <c r="B24" s="29" t="s">
        <v>160</v>
      </c>
      <c r="C24" s="6" t="s">
        <v>107</v>
      </c>
      <c r="D24" s="7" t="s">
        <v>106</v>
      </c>
      <c r="E24" s="7" t="s">
        <v>108</v>
      </c>
      <c r="F24" s="30" t="s">
        <v>73</v>
      </c>
      <c r="G24" s="6"/>
      <c r="H24" s="8"/>
      <c r="J24" s="1" t="s">
        <v>9</v>
      </c>
    </row>
    <row r="25" spans="2:11">
      <c r="B25" s="5" t="s">
        <v>78</v>
      </c>
      <c r="C25" s="6" t="s">
        <v>79</v>
      </c>
      <c r="D25" s="7"/>
      <c r="E25" s="7"/>
      <c r="F25" s="6" t="s">
        <v>102</v>
      </c>
      <c r="G25" s="6"/>
      <c r="H25" s="8"/>
      <c r="J25" s="1" t="s">
        <v>319</v>
      </c>
    </row>
    <row r="26" spans="2:11">
      <c r="B26" s="5" t="s">
        <v>35</v>
      </c>
      <c r="C26" s="6" t="s">
        <v>36</v>
      </c>
      <c r="D26" s="7"/>
      <c r="E26" s="7" t="s">
        <v>37</v>
      </c>
      <c r="F26" s="6"/>
      <c r="G26" s="6"/>
      <c r="H26" s="8"/>
      <c r="J26" s="1" t="s">
        <v>320</v>
      </c>
    </row>
    <row r="27" spans="2:11">
      <c r="B27" s="29" t="s">
        <v>162</v>
      </c>
      <c r="C27" s="30" t="s">
        <v>163</v>
      </c>
      <c r="D27" s="45" t="s">
        <v>164</v>
      </c>
      <c r="E27" s="45" t="s">
        <v>165</v>
      </c>
      <c r="F27" s="30" t="s">
        <v>100</v>
      </c>
      <c r="G27" s="6"/>
      <c r="H27" s="8"/>
    </row>
    <row r="28" spans="2:11">
      <c r="B28" s="5" t="s">
        <v>38</v>
      </c>
      <c r="C28" s="6" t="s">
        <v>39</v>
      </c>
      <c r="D28" s="7"/>
      <c r="E28" s="7" t="s">
        <v>40</v>
      </c>
      <c r="F28" s="6"/>
      <c r="G28" s="6"/>
      <c r="H28" s="8"/>
    </row>
    <row r="29" spans="2:11">
      <c r="B29" s="5" t="s">
        <v>41</v>
      </c>
      <c r="C29" s="6" t="s">
        <v>42</v>
      </c>
      <c r="D29" s="7"/>
      <c r="E29" s="7" t="s">
        <v>43</v>
      </c>
      <c r="F29" s="6"/>
      <c r="G29" s="6"/>
      <c r="H29" s="8"/>
    </row>
    <row r="30" spans="2:11">
      <c r="B30" s="5" t="s">
        <v>117</v>
      </c>
      <c r="C30" s="6"/>
      <c r="D30" s="7"/>
      <c r="E30" s="7" t="s">
        <v>51</v>
      </c>
      <c r="F30" s="6"/>
      <c r="G30" s="6"/>
      <c r="H30" s="8"/>
    </row>
    <row r="31" spans="2:11">
      <c r="B31" s="5" t="s">
        <v>44</v>
      </c>
      <c r="C31" s="6" t="s">
        <v>45</v>
      </c>
      <c r="D31" s="7">
        <v>1</v>
      </c>
      <c r="E31" s="7"/>
      <c r="F31" s="6" t="s">
        <v>101</v>
      </c>
      <c r="G31" s="6"/>
      <c r="H31" s="8"/>
    </row>
    <row r="32" spans="2:11">
      <c r="B32" s="29" t="s">
        <v>166</v>
      </c>
      <c r="C32" s="30" t="s">
        <v>167</v>
      </c>
      <c r="D32" s="7">
        <v>1</v>
      </c>
      <c r="E32" s="45" t="s">
        <v>168</v>
      </c>
      <c r="F32" s="30" t="s">
        <v>101</v>
      </c>
      <c r="G32" s="6"/>
      <c r="H32" s="8"/>
    </row>
    <row r="33" spans="2:8">
      <c r="B33" s="20" t="s">
        <v>46</v>
      </c>
      <c r="C33" s="21" t="s">
        <v>26</v>
      </c>
      <c r="D33" s="7"/>
      <c r="E33" s="7"/>
      <c r="F33" s="6"/>
      <c r="G33" s="6"/>
      <c r="H33" s="8"/>
    </row>
    <row r="34" spans="2:8">
      <c r="B34" s="29" t="s">
        <v>169</v>
      </c>
      <c r="C34" s="30" t="s">
        <v>170</v>
      </c>
      <c r="D34" s="45" t="s">
        <v>171</v>
      </c>
      <c r="E34" s="45" t="s">
        <v>172</v>
      </c>
      <c r="F34" s="30" t="s">
        <v>98</v>
      </c>
      <c r="G34" s="6"/>
      <c r="H34" s="8"/>
    </row>
    <row r="35" spans="2:8">
      <c r="B35" s="58" t="s">
        <v>352</v>
      </c>
      <c r="C35" s="59" t="s">
        <v>353</v>
      </c>
      <c r="D35" s="45">
        <v>1</v>
      </c>
      <c r="E35" s="61" t="s">
        <v>354</v>
      </c>
      <c r="F35" s="59" t="s">
        <v>186</v>
      </c>
      <c r="G35" s="6"/>
      <c r="H35" s="8"/>
    </row>
    <row r="36" spans="2:8">
      <c r="B36" s="29" t="s">
        <v>173</v>
      </c>
      <c r="C36" s="30" t="s">
        <v>26</v>
      </c>
      <c r="D36" s="45">
        <v>1</v>
      </c>
      <c r="E36" s="45" t="s">
        <v>76</v>
      </c>
      <c r="F36" s="30" t="s">
        <v>174</v>
      </c>
      <c r="G36" s="6"/>
      <c r="H36" s="8"/>
    </row>
    <row r="37" spans="2:8">
      <c r="B37" s="58" t="s">
        <v>355</v>
      </c>
      <c r="C37" s="59" t="s">
        <v>358</v>
      </c>
      <c r="D37" s="45"/>
      <c r="E37" s="61" t="s">
        <v>356</v>
      </c>
      <c r="F37" s="30"/>
      <c r="G37" s="6"/>
      <c r="H37" s="62" t="s">
        <v>357</v>
      </c>
    </row>
    <row r="38" spans="2:8">
      <c r="B38" s="29" t="s">
        <v>152</v>
      </c>
      <c r="C38" s="30" t="s">
        <v>155</v>
      </c>
      <c r="D38" s="7">
        <v>1</v>
      </c>
      <c r="E38" s="45" t="s">
        <v>183</v>
      </c>
      <c r="F38" s="30" t="s">
        <v>174</v>
      </c>
      <c r="G38" s="6"/>
      <c r="H38" s="8"/>
    </row>
    <row r="39" spans="2:8">
      <c r="B39" s="29" t="s">
        <v>175</v>
      </c>
      <c r="C39" s="30" t="s">
        <v>176</v>
      </c>
      <c r="D39" s="7">
        <v>1</v>
      </c>
      <c r="E39" s="45" t="s">
        <v>177</v>
      </c>
      <c r="F39" s="30" t="s">
        <v>174</v>
      </c>
      <c r="G39" s="6"/>
      <c r="H39" s="8"/>
    </row>
    <row r="40" spans="2:8">
      <c r="B40" s="29" t="s">
        <v>179</v>
      </c>
      <c r="C40" s="30" t="s">
        <v>92</v>
      </c>
      <c r="D40" s="45" t="s">
        <v>93</v>
      </c>
      <c r="E40" s="45"/>
      <c r="F40" s="30" t="s">
        <v>174</v>
      </c>
      <c r="G40" s="6"/>
      <c r="H40" s="8"/>
    </row>
    <row r="41" spans="2:8">
      <c r="B41" s="29" t="s">
        <v>315</v>
      </c>
      <c r="C41" s="59" t="s">
        <v>346</v>
      </c>
      <c r="D41" s="7">
        <v>1</v>
      </c>
      <c r="E41" s="45" t="s">
        <v>178</v>
      </c>
      <c r="F41" s="30" t="s">
        <v>174</v>
      </c>
      <c r="G41" s="6"/>
      <c r="H41" s="8"/>
    </row>
    <row r="42" spans="2:8">
      <c r="B42" s="58" t="s">
        <v>347</v>
      </c>
      <c r="C42" s="59" t="s">
        <v>349</v>
      </c>
      <c r="D42" s="7">
        <v>1</v>
      </c>
      <c r="E42" s="59" t="s">
        <v>348</v>
      </c>
      <c r="F42" s="59" t="s">
        <v>174</v>
      </c>
      <c r="G42" s="6"/>
      <c r="H42" s="8"/>
    </row>
    <row r="43" spans="2:8">
      <c r="B43" s="29" t="s">
        <v>180</v>
      </c>
      <c r="C43" s="30" t="s">
        <v>181</v>
      </c>
      <c r="D43" s="45" t="s">
        <v>182</v>
      </c>
      <c r="E43" s="45"/>
      <c r="F43" s="30" t="s">
        <v>174</v>
      </c>
      <c r="G43" s="6"/>
      <c r="H43" s="8"/>
    </row>
    <row r="44" spans="2:8">
      <c r="B44" s="29" t="s">
        <v>185</v>
      </c>
      <c r="C44" s="30" t="s">
        <v>107</v>
      </c>
      <c r="D44" s="45" t="s">
        <v>106</v>
      </c>
      <c r="E44" s="45" t="s">
        <v>187</v>
      </c>
      <c r="F44" s="30" t="s">
        <v>186</v>
      </c>
      <c r="G44" s="6"/>
      <c r="H44" s="8"/>
    </row>
    <row r="45" spans="2:8">
      <c r="B45" s="29" t="s">
        <v>188</v>
      </c>
      <c r="C45" s="30" t="s">
        <v>107</v>
      </c>
      <c r="D45" s="45" t="s">
        <v>106</v>
      </c>
      <c r="E45" s="45" t="s">
        <v>190</v>
      </c>
      <c r="F45" s="30" t="s">
        <v>186</v>
      </c>
      <c r="G45" s="6"/>
      <c r="H45" s="8"/>
    </row>
    <row r="46" spans="2:8">
      <c r="B46" s="29" t="s">
        <v>189</v>
      </c>
      <c r="C46" s="30" t="s">
        <v>107</v>
      </c>
      <c r="D46" s="45" t="s">
        <v>106</v>
      </c>
      <c r="E46" s="45" t="s">
        <v>191</v>
      </c>
      <c r="F46" s="30" t="s">
        <v>186</v>
      </c>
      <c r="G46" s="6"/>
      <c r="H46" s="8"/>
    </row>
    <row r="47" spans="2:8">
      <c r="B47" s="29" t="s">
        <v>202</v>
      </c>
      <c r="C47" s="30" t="s">
        <v>42</v>
      </c>
      <c r="D47" s="45">
        <v>1</v>
      </c>
      <c r="E47" s="45"/>
      <c r="F47" s="30" t="s">
        <v>174</v>
      </c>
      <c r="G47" s="6"/>
      <c r="H47" s="8"/>
    </row>
    <row r="48" spans="2:8">
      <c r="B48" s="29" t="s">
        <v>192</v>
      </c>
      <c r="C48" s="30" t="s">
        <v>26</v>
      </c>
      <c r="D48" s="45">
        <v>1</v>
      </c>
      <c r="E48" s="45" t="s">
        <v>76</v>
      </c>
      <c r="F48" s="30" t="s">
        <v>186</v>
      </c>
      <c r="G48" s="6"/>
      <c r="H48" s="8"/>
    </row>
    <row r="49" spans="2:8">
      <c r="B49" s="29" t="s">
        <v>193</v>
      </c>
      <c r="C49" s="30" t="s">
        <v>194</v>
      </c>
      <c r="D49" s="45">
        <v>1</v>
      </c>
      <c r="E49" s="45" t="s">
        <v>76</v>
      </c>
      <c r="F49" s="30" t="s">
        <v>186</v>
      </c>
      <c r="G49" s="6"/>
      <c r="H49" s="8"/>
    </row>
    <row r="50" spans="2:8">
      <c r="B50" s="29" t="s">
        <v>184</v>
      </c>
      <c r="C50" s="30" t="s">
        <v>26</v>
      </c>
      <c r="D50" s="45">
        <v>1</v>
      </c>
      <c r="E50" s="45" t="s">
        <v>303</v>
      </c>
      <c r="F50" s="30" t="s">
        <v>174</v>
      </c>
      <c r="G50" s="6"/>
      <c r="H50" s="8"/>
    </row>
    <row r="51" spans="2:8">
      <c r="B51" s="5" t="s">
        <v>103</v>
      </c>
      <c r="C51" s="6" t="s">
        <v>104</v>
      </c>
      <c r="D51" s="7">
        <v>1</v>
      </c>
      <c r="E51" s="7"/>
      <c r="F51" s="6" t="s">
        <v>101</v>
      </c>
      <c r="G51" s="6"/>
      <c r="H51" s="8" t="s">
        <v>105</v>
      </c>
    </row>
    <row r="52" spans="2:8">
      <c r="B52" s="29" t="s">
        <v>195</v>
      </c>
      <c r="C52" s="30" t="s">
        <v>49</v>
      </c>
      <c r="D52" s="7">
        <v>1</v>
      </c>
      <c r="E52" s="45" t="s">
        <v>74</v>
      </c>
      <c r="F52" s="30" t="s">
        <v>186</v>
      </c>
      <c r="G52" s="6"/>
      <c r="H52" s="8"/>
    </row>
    <row r="53" spans="2:8">
      <c r="B53" s="29" t="s">
        <v>196</v>
      </c>
      <c r="C53" s="30" t="s">
        <v>155</v>
      </c>
      <c r="D53" s="7">
        <v>1</v>
      </c>
      <c r="E53" s="45" t="s">
        <v>198</v>
      </c>
      <c r="F53" s="30" t="s">
        <v>186</v>
      </c>
      <c r="G53" s="6"/>
      <c r="H53" s="8"/>
    </row>
    <row r="54" spans="2:8">
      <c r="B54" s="29" t="s">
        <v>197</v>
      </c>
      <c r="C54" s="30" t="s">
        <v>155</v>
      </c>
      <c r="D54" s="7">
        <v>1</v>
      </c>
      <c r="E54" s="45" t="s">
        <v>198</v>
      </c>
      <c r="F54" s="30" t="s">
        <v>186</v>
      </c>
      <c r="G54" s="6"/>
      <c r="H54" s="8"/>
    </row>
    <row r="55" spans="2:8">
      <c r="B55" s="29" t="s">
        <v>199</v>
      </c>
      <c r="C55" s="30" t="s">
        <v>107</v>
      </c>
      <c r="D55" s="7">
        <v>1</v>
      </c>
      <c r="E55" s="45" t="s">
        <v>200</v>
      </c>
      <c r="F55" s="30" t="s">
        <v>186</v>
      </c>
      <c r="G55" s="6"/>
      <c r="H55" s="8"/>
    </row>
    <row r="56" spans="2:8">
      <c r="B56" s="5" t="s">
        <v>47</v>
      </c>
      <c r="C56" s="6" t="s">
        <v>48</v>
      </c>
      <c r="D56" s="7"/>
      <c r="E56" s="7"/>
      <c r="F56" s="6"/>
      <c r="G56" s="6"/>
      <c r="H56" s="8"/>
    </row>
    <row r="57" spans="2:8">
      <c r="B57" s="9" t="s">
        <v>77</v>
      </c>
      <c r="C57" s="10" t="s">
        <v>49</v>
      </c>
      <c r="D57" s="11"/>
      <c r="E57" s="11" t="s">
        <v>74</v>
      </c>
      <c r="F57" s="33" t="s">
        <v>154</v>
      </c>
      <c r="G57" s="10"/>
      <c r="H57" s="12"/>
    </row>
    <row r="59" spans="2:8">
      <c r="F59" s="23" t="s">
        <v>90</v>
      </c>
    </row>
    <row r="60" spans="2:8">
      <c r="F60" s="23" t="s">
        <v>91</v>
      </c>
    </row>
    <row r="61" spans="2:8">
      <c r="F61" s="23" t="s">
        <v>307</v>
      </c>
    </row>
    <row r="62" spans="2:8">
      <c r="F62" s="23" t="s">
        <v>312</v>
      </c>
    </row>
  </sheetData>
  <phoneticPr fontId="3" type="noConversion"/>
  <hyperlinks>
    <hyperlink ref="B3" location="Prevacid!A1" display="Prevacid/Takepron"/>
    <hyperlink ref="B9" location="Lupron!A1" display="Lupron"/>
    <hyperlink ref="B12" location="Dexilant!A1" display="Dexilant"/>
    <hyperlink ref="B8" location="Actos!A1" display="Actos (pioglitazone)"/>
    <hyperlink ref="B19" location="Nesina!A1" display="Nesina (alogliptin)"/>
  </hyperlinks>
  <pageMargins left="0.75" right="0.75" top="1" bottom="1" header="0.5" footer="0.5"/>
  <pageSetup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3"/>
  <sheetViews>
    <sheetView workbookViewId="0">
      <selection activeCell="A2" sqref="A2"/>
    </sheetView>
  </sheetViews>
  <sheetFormatPr defaultRowHeight="12.75"/>
  <sheetData>
    <row r="3" spans="2:2">
      <c r="B3" s="32" t="s">
        <v>275</v>
      </c>
    </row>
    <row r="4" spans="2:2">
      <c r="B4" t="s">
        <v>276</v>
      </c>
    </row>
    <row r="5" spans="2:2">
      <c r="B5" s="31" t="s">
        <v>277</v>
      </c>
    </row>
    <row r="6" spans="2:2">
      <c r="B6" s="31" t="s">
        <v>278</v>
      </c>
    </row>
    <row r="7" spans="2:2">
      <c r="B7" s="31" t="s">
        <v>279</v>
      </c>
    </row>
    <row r="8" spans="2:2">
      <c r="B8" s="31" t="s">
        <v>280</v>
      </c>
    </row>
    <row r="9" spans="2:2">
      <c r="B9" s="31" t="s">
        <v>282</v>
      </c>
    </row>
    <row r="10" spans="2:2">
      <c r="B10" s="31" t="s">
        <v>281</v>
      </c>
    </row>
    <row r="12" spans="2:2">
      <c r="B12" s="32" t="s">
        <v>286</v>
      </c>
    </row>
    <row r="13" spans="2:2">
      <c r="B13" s="31" t="s">
        <v>287</v>
      </c>
    </row>
    <row r="14" spans="2:2">
      <c r="B14" s="31" t="s">
        <v>288</v>
      </c>
    </row>
    <row r="15" spans="2:2">
      <c r="B15" s="31" t="s">
        <v>289</v>
      </c>
    </row>
    <row r="16" spans="2:2">
      <c r="B16" s="31" t="s">
        <v>290</v>
      </c>
    </row>
    <row r="17" spans="2:2">
      <c r="B17" s="31" t="s">
        <v>291</v>
      </c>
    </row>
    <row r="18" spans="2:2">
      <c r="B18" s="31" t="s">
        <v>292</v>
      </c>
    </row>
    <row r="19" spans="2:2">
      <c r="B19" s="31" t="s">
        <v>293</v>
      </c>
    </row>
    <row r="20" spans="2:2">
      <c r="B20" s="31" t="s">
        <v>294</v>
      </c>
    </row>
    <row r="21" spans="2:2">
      <c r="B21" s="31" t="s">
        <v>295</v>
      </c>
    </row>
    <row r="23" spans="2:2">
      <c r="B23" s="32" t="s">
        <v>283</v>
      </c>
    </row>
    <row r="24" spans="2:2">
      <c r="B24" s="31" t="s">
        <v>284</v>
      </c>
    </row>
    <row r="25" spans="2:2">
      <c r="B25" s="31" t="s">
        <v>285</v>
      </c>
    </row>
    <row r="28" spans="2:2">
      <c r="B28" s="32" t="s">
        <v>296</v>
      </c>
    </row>
    <row r="29" spans="2:2">
      <c r="B29" s="31" t="s">
        <v>297</v>
      </c>
    </row>
    <row r="30" spans="2:2">
      <c r="B30" s="31" t="s">
        <v>298</v>
      </c>
    </row>
    <row r="31" spans="2:2">
      <c r="B31" s="31" t="s">
        <v>299</v>
      </c>
    </row>
    <row r="32" spans="2:2">
      <c r="B32" s="31" t="s">
        <v>300</v>
      </c>
    </row>
    <row r="33" spans="2:2">
      <c r="B33" s="31" t="s">
        <v>301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85"/>
  <sheetViews>
    <sheetView tabSelected="1" workbookViewId="0">
      <pane xSplit="2" ySplit="2" topLeftCell="AD3" activePane="bottomRight" state="frozen"/>
      <selection pane="topRight" activeCell="C1" sqref="C1"/>
      <selection pane="bottomLeft" activeCell="A5" sqref="A5"/>
      <selection pane="bottomRight" activeCell="AP9" sqref="AP9"/>
    </sheetView>
  </sheetViews>
  <sheetFormatPr defaultRowHeight="12.75"/>
  <cols>
    <col min="1" max="1" width="5" style="1" bestFit="1" customWidth="1"/>
    <col min="2" max="2" width="18.5703125" style="1" customWidth="1"/>
    <col min="3" max="46" width="9.140625" style="34"/>
    <col min="47" max="54" width="8.85546875" style="34" hidden="1" customWidth="1"/>
    <col min="55" max="62" width="8.85546875" style="34" customWidth="1"/>
    <col min="63" max="63" width="9.5703125" style="34" customWidth="1"/>
    <col min="64" max="67" width="9.140625" style="34"/>
    <col min="68" max="16384" width="9.140625" style="1"/>
  </cols>
  <sheetData>
    <row r="1" spans="1:67">
      <c r="A1" s="14" t="s">
        <v>12</v>
      </c>
      <c r="F1" s="34" t="s">
        <v>253</v>
      </c>
      <c r="G1" s="34" t="s">
        <v>252</v>
      </c>
      <c r="H1" s="34" t="s">
        <v>251</v>
      </c>
      <c r="I1" s="34" t="s">
        <v>250</v>
      </c>
      <c r="J1" s="34" t="s">
        <v>231</v>
      </c>
      <c r="K1" s="34" t="s">
        <v>232</v>
      </c>
      <c r="L1" s="34" t="s">
        <v>233</v>
      </c>
      <c r="M1" s="34" t="s">
        <v>234</v>
      </c>
      <c r="N1" s="34" t="s">
        <v>230</v>
      </c>
      <c r="O1" s="34" t="s">
        <v>229</v>
      </c>
      <c r="P1" s="34" t="s">
        <v>228</v>
      </c>
      <c r="Q1" s="34" t="s">
        <v>227</v>
      </c>
      <c r="R1" s="34" t="s">
        <v>205</v>
      </c>
      <c r="S1" s="34" t="s">
        <v>204</v>
      </c>
      <c r="T1" s="34" t="s">
        <v>214</v>
      </c>
      <c r="U1" s="34" t="s">
        <v>215</v>
      </c>
      <c r="V1" s="34" t="s">
        <v>270</v>
      </c>
      <c r="W1" s="34" t="s">
        <v>271</v>
      </c>
      <c r="X1" s="34" t="s">
        <v>272</v>
      </c>
      <c r="Y1" s="34" t="s">
        <v>273</v>
      </c>
      <c r="Z1" s="28" t="s">
        <v>323</v>
      </c>
      <c r="AA1" s="28" t="s">
        <v>324</v>
      </c>
      <c r="AB1" s="28" t="s">
        <v>325</v>
      </c>
      <c r="AC1" s="28" t="s">
        <v>326</v>
      </c>
      <c r="AD1" s="28" t="s">
        <v>327</v>
      </c>
      <c r="AE1" s="28" t="s">
        <v>328</v>
      </c>
      <c r="AF1" s="28" t="s">
        <v>329</v>
      </c>
      <c r="AG1" s="28" t="s">
        <v>330</v>
      </c>
      <c r="AH1" s="28" t="s">
        <v>331</v>
      </c>
      <c r="AI1" s="28" t="s">
        <v>316</v>
      </c>
      <c r="AJ1" s="28" t="s">
        <v>332</v>
      </c>
      <c r="AK1" s="28" t="s">
        <v>333</v>
      </c>
      <c r="AL1" s="28" t="s">
        <v>334</v>
      </c>
      <c r="AM1" s="28" t="s">
        <v>335</v>
      </c>
      <c r="AN1" s="28" t="s">
        <v>336</v>
      </c>
      <c r="AO1" s="28" t="s">
        <v>337</v>
      </c>
      <c r="AP1" s="28" t="s">
        <v>338</v>
      </c>
      <c r="AQ1" s="28" t="s">
        <v>322</v>
      </c>
      <c r="AR1" s="28" t="s">
        <v>339</v>
      </c>
      <c r="AS1" s="28" t="s">
        <v>340</v>
      </c>
      <c r="BC1" s="34" t="s">
        <v>260</v>
      </c>
      <c r="BD1" s="34" t="s">
        <v>259</v>
      </c>
      <c r="BE1" s="28" t="s">
        <v>242</v>
      </c>
      <c r="BF1" s="28" t="s">
        <v>243</v>
      </c>
      <c r="BG1" s="28" t="s">
        <v>244</v>
      </c>
      <c r="BH1" s="28" t="s">
        <v>245</v>
      </c>
      <c r="BI1" s="28" t="s">
        <v>246</v>
      </c>
      <c r="BJ1" s="28" t="s">
        <v>247</v>
      </c>
      <c r="BK1" s="28" t="s">
        <v>341</v>
      </c>
      <c r="BL1" s="28" t="s">
        <v>342</v>
      </c>
      <c r="BM1" s="28" t="s">
        <v>343</v>
      </c>
      <c r="BN1" s="28" t="s">
        <v>344</v>
      </c>
    </row>
    <row r="2" spans="1:67">
      <c r="C2" s="35">
        <v>38961</v>
      </c>
      <c r="D2" s="48">
        <v>39052</v>
      </c>
      <c r="E2" s="48">
        <v>39142</v>
      </c>
      <c r="F2" s="35">
        <v>39263</v>
      </c>
      <c r="G2" s="35">
        <v>39326</v>
      </c>
      <c r="H2" s="35">
        <v>39417</v>
      </c>
      <c r="I2" s="35">
        <v>39508</v>
      </c>
      <c r="J2" s="35">
        <v>39629</v>
      </c>
      <c r="K2" s="35">
        <v>39692</v>
      </c>
      <c r="L2" s="35">
        <v>39783</v>
      </c>
      <c r="M2" s="35">
        <v>39873</v>
      </c>
      <c r="N2" s="35">
        <v>39994</v>
      </c>
      <c r="O2" s="35">
        <v>40086</v>
      </c>
      <c r="P2" s="35">
        <v>40148</v>
      </c>
      <c r="Q2" s="35">
        <v>40238</v>
      </c>
      <c r="R2" s="35">
        <v>40330</v>
      </c>
      <c r="S2" s="35">
        <v>40451</v>
      </c>
      <c r="T2" s="35">
        <v>40513</v>
      </c>
      <c r="U2" s="35">
        <v>40633</v>
      </c>
      <c r="V2" s="35">
        <v>40705</v>
      </c>
      <c r="W2" s="35">
        <v>40797</v>
      </c>
      <c r="X2" s="35">
        <v>40888</v>
      </c>
      <c r="Y2" s="35">
        <v>40980</v>
      </c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>
        <v>42551</v>
      </c>
      <c r="AQ2" s="35"/>
      <c r="AR2" s="35"/>
      <c r="AS2" s="35"/>
      <c r="AU2" s="35">
        <v>36951</v>
      </c>
      <c r="AV2" s="35">
        <v>37316</v>
      </c>
      <c r="AW2" s="35">
        <v>37681</v>
      </c>
      <c r="AX2" s="35">
        <v>38047</v>
      </c>
      <c r="AY2" s="35">
        <v>38412</v>
      </c>
      <c r="AZ2" s="35">
        <v>38777</v>
      </c>
      <c r="BA2" s="35">
        <v>39142</v>
      </c>
      <c r="BB2" s="35">
        <v>39508</v>
      </c>
      <c r="BC2" s="35">
        <v>39873</v>
      </c>
      <c r="BD2" s="35">
        <v>40238</v>
      </c>
      <c r="BE2" s="35">
        <v>40603</v>
      </c>
      <c r="BF2" s="35">
        <v>40969</v>
      </c>
      <c r="BG2" s="35">
        <v>41334</v>
      </c>
      <c r="BH2" s="35">
        <v>41699</v>
      </c>
      <c r="BI2" s="35">
        <v>42065</v>
      </c>
      <c r="BJ2" s="35">
        <v>42432</v>
      </c>
    </row>
    <row r="3" spans="1:67" s="18" customFormat="1">
      <c r="B3" s="18" t="s">
        <v>95</v>
      </c>
      <c r="C3" s="36">
        <f>64500-2000</f>
        <v>62500</v>
      </c>
      <c r="D3" s="37"/>
      <c r="E3" s="37"/>
      <c r="F3" s="36">
        <v>33800</v>
      </c>
      <c r="G3" s="36">
        <f>64500-F3</f>
        <v>30700</v>
      </c>
      <c r="H3" s="36">
        <f>95000-G3-F3</f>
        <v>30500</v>
      </c>
      <c r="I3" s="36"/>
      <c r="J3" s="36">
        <f t="shared" ref="J3:U3" si="0">SUM(J4:J7)</f>
        <v>32700</v>
      </c>
      <c r="K3" s="36">
        <f t="shared" si="0"/>
        <v>32300</v>
      </c>
      <c r="L3" s="36">
        <f t="shared" si="0"/>
        <v>32900</v>
      </c>
      <c r="M3" s="36">
        <f t="shared" si="0"/>
        <v>28200</v>
      </c>
      <c r="N3" s="36">
        <f t="shared" si="0"/>
        <v>30200</v>
      </c>
      <c r="O3" s="36">
        <f t="shared" si="0"/>
        <v>29100</v>
      </c>
      <c r="P3" s="36">
        <f t="shared" si="0"/>
        <v>33500</v>
      </c>
      <c r="Q3" s="36">
        <f t="shared" si="0"/>
        <v>29400</v>
      </c>
      <c r="R3" s="36">
        <f t="shared" si="0"/>
        <v>27900</v>
      </c>
      <c r="S3" s="36">
        <f t="shared" si="0"/>
        <v>28100</v>
      </c>
      <c r="T3" s="36">
        <f t="shared" si="0"/>
        <v>32200</v>
      </c>
      <c r="U3" s="36">
        <f t="shared" si="0"/>
        <v>29400</v>
      </c>
      <c r="V3" s="36">
        <f>SUM(V4:V7)</f>
        <v>27900</v>
      </c>
      <c r="W3" s="36">
        <f>SUM(W4:W7)</f>
        <v>28100</v>
      </c>
      <c r="X3" s="36">
        <f>SUM(X4:X7)</f>
        <v>32200</v>
      </c>
      <c r="Y3" s="36">
        <f>SUM(Y4:Y7)</f>
        <v>29400</v>
      </c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>
        <v>30800</v>
      </c>
      <c r="AQ3" s="36"/>
      <c r="AR3" s="36"/>
      <c r="AS3" s="36"/>
      <c r="AT3" s="37"/>
      <c r="AU3" s="36">
        <v>155</v>
      </c>
      <c r="AV3" s="36">
        <v>180</v>
      </c>
      <c r="AW3" s="36">
        <v>194</v>
      </c>
      <c r="AX3" s="36">
        <v>181</v>
      </c>
      <c r="AY3" s="36"/>
      <c r="AZ3" s="36">
        <f>BA3-5200</f>
        <v>122300</v>
      </c>
      <c r="BA3" s="36">
        <v>127500</v>
      </c>
      <c r="BB3" s="36">
        <f>BA3</f>
        <v>127500</v>
      </c>
      <c r="BC3" s="36">
        <f>SUM(J3:M3)</f>
        <v>126100</v>
      </c>
      <c r="BD3" s="36">
        <f t="shared" ref="BD3:BD9" si="1">SUM(N3:Q3)</f>
        <v>122200</v>
      </c>
      <c r="BE3" s="36">
        <f>SUM(R3:U3)</f>
        <v>117600</v>
      </c>
      <c r="BF3" s="36">
        <f>SUM(BF4:BF7)</f>
        <v>117600</v>
      </c>
      <c r="BG3" s="36">
        <f>BF3*0.9</f>
        <v>105840</v>
      </c>
      <c r="BH3" s="36">
        <f>BG3*0.9</f>
        <v>95256</v>
      </c>
      <c r="BI3" s="37"/>
      <c r="BJ3" s="37"/>
      <c r="BK3" s="37"/>
      <c r="BL3" s="37"/>
      <c r="BM3" s="37"/>
      <c r="BN3" s="37"/>
      <c r="BO3" s="37"/>
    </row>
    <row r="4" spans="1:67">
      <c r="B4" s="1" t="s">
        <v>119</v>
      </c>
      <c r="C4" s="38"/>
      <c r="F4" s="38">
        <v>17500</v>
      </c>
      <c r="G4" s="38">
        <f>33300-F4</f>
        <v>15800</v>
      </c>
      <c r="H4" s="38">
        <v>18900</v>
      </c>
      <c r="I4" s="38">
        <f>66400-H4-G4-F4</f>
        <v>14200</v>
      </c>
      <c r="J4" s="38">
        <v>16500</v>
      </c>
      <c r="K4" s="38">
        <f>32900-J4</f>
        <v>16400</v>
      </c>
      <c r="L4" s="43">
        <v>18400</v>
      </c>
      <c r="M4" s="38">
        <f>66300-L4-K4-J4</f>
        <v>15000</v>
      </c>
      <c r="N4" s="38">
        <v>16400</v>
      </c>
      <c r="O4" s="38">
        <f>33800-N4</f>
        <v>17400</v>
      </c>
      <c r="P4" s="38">
        <f>53000-O4-N4</f>
        <v>19200</v>
      </c>
      <c r="Q4" s="38">
        <f>67100-P4-O4-N4</f>
        <v>14100</v>
      </c>
      <c r="R4" s="38">
        <v>16200</v>
      </c>
      <c r="S4" s="38">
        <f>32600-R4</f>
        <v>16400</v>
      </c>
      <c r="T4" s="38">
        <v>18200</v>
      </c>
      <c r="U4" s="38">
        <f t="shared" ref="U4:Y7" si="2">Q4</f>
        <v>14100</v>
      </c>
      <c r="V4" s="38">
        <f t="shared" si="2"/>
        <v>16200</v>
      </c>
      <c r="W4" s="38">
        <f t="shared" si="2"/>
        <v>16400</v>
      </c>
      <c r="X4" s="38">
        <f t="shared" si="2"/>
        <v>18200</v>
      </c>
      <c r="Y4" s="38">
        <f t="shared" si="2"/>
        <v>14100</v>
      </c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U4" s="38"/>
      <c r="AV4" s="38"/>
      <c r="AW4" s="38"/>
      <c r="AX4" s="38"/>
      <c r="AY4" s="38"/>
      <c r="AZ4" s="38"/>
      <c r="BA4" s="38"/>
      <c r="BB4" s="43"/>
      <c r="BC4" s="43">
        <f>SUM(J4:M4)</f>
        <v>66300</v>
      </c>
      <c r="BD4" s="43">
        <f t="shared" si="1"/>
        <v>67100</v>
      </c>
      <c r="BE4" s="43">
        <f>SUM(R4:U4)</f>
        <v>64900</v>
      </c>
      <c r="BF4" s="38">
        <f>SUM(V4:Y4)</f>
        <v>64900</v>
      </c>
      <c r="BG4" s="38"/>
      <c r="BH4" s="38"/>
    </row>
    <row r="5" spans="1:67">
      <c r="B5" s="1" t="s">
        <v>121</v>
      </c>
      <c r="C5" s="38"/>
      <c r="F5" s="38">
        <v>19100</v>
      </c>
      <c r="G5" s="38">
        <f>37300-F5</f>
        <v>18200</v>
      </c>
      <c r="H5" s="38">
        <v>19700</v>
      </c>
      <c r="I5" s="38"/>
      <c r="J5" s="38">
        <v>4400</v>
      </c>
      <c r="K5" s="38">
        <f>9700-J5</f>
        <v>5300</v>
      </c>
      <c r="L5" s="38">
        <v>3700</v>
      </c>
      <c r="M5" s="38">
        <f>17200-L5-K5-J5</f>
        <v>3800</v>
      </c>
      <c r="N5" s="38">
        <v>4000</v>
      </c>
      <c r="O5" s="38">
        <f>6700-N5</f>
        <v>2700</v>
      </c>
      <c r="P5" s="38">
        <f>10300-O5-N5</f>
        <v>3600</v>
      </c>
      <c r="Q5" s="38">
        <f>15800-P5-O5-N5</f>
        <v>5500</v>
      </c>
      <c r="R5" s="38">
        <v>2600</v>
      </c>
      <c r="S5" s="38">
        <f>5700-R5</f>
        <v>3100</v>
      </c>
      <c r="T5" s="38">
        <v>5000</v>
      </c>
      <c r="U5" s="38">
        <f t="shared" si="2"/>
        <v>5500</v>
      </c>
      <c r="V5" s="38">
        <f t="shared" si="2"/>
        <v>2600</v>
      </c>
      <c r="W5" s="38">
        <f t="shared" si="2"/>
        <v>3100</v>
      </c>
      <c r="X5" s="38">
        <f t="shared" si="2"/>
        <v>5000</v>
      </c>
      <c r="Y5" s="38">
        <f t="shared" si="2"/>
        <v>5500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U5" s="38"/>
      <c r="AV5" s="38"/>
      <c r="AW5" s="38"/>
      <c r="AX5" s="38"/>
      <c r="AY5" s="38"/>
      <c r="AZ5" s="38"/>
      <c r="BA5" s="38"/>
      <c r="BB5" s="43"/>
      <c r="BC5" s="43">
        <f>SUM(J5:M5)</f>
        <v>17200</v>
      </c>
      <c r="BD5" s="43">
        <f t="shared" si="1"/>
        <v>15800</v>
      </c>
      <c r="BE5" s="43">
        <f>SUM(R5:U5)</f>
        <v>16200</v>
      </c>
      <c r="BF5" s="38">
        <f>SUM(V5:Y5)</f>
        <v>16200</v>
      </c>
      <c r="BG5" s="38"/>
      <c r="BH5" s="38"/>
    </row>
    <row r="6" spans="1:67">
      <c r="B6" s="1" t="s">
        <v>122</v>
      </c>
      <c r="C6" s="38"/>
      <c r="F6" s="38">
        <v>9900</v>
      </c>
      <c r="G6" s="38">
        <f>20200-F6</f>
        <v>10300</v>
      </c>
      <c r="H6" s="38">
        <v>10200</v>
      </c>
      <c r="I6" s="38"/>
      <c r="J6" s="38">
        <v>11100</v>
      </c>
      <c r="K6" s="38">
        <f>21100-J6</f>
        <v>10000</v>
      </c>
      <c r="L6" s="38">
        <v>10000</v>
      </c>
      <c r="M6" s="38">
        <f>39800-L6-K6-J6</f>
        <v>8700</v>
      </c>
      <c r="N6" s="38">
        <v>9000</v>
      </c>
      <c r="O6" s="38">
        <f>17200-N6</f>
        <v>8200</v>
      </c>
      <c r="P6" s="38">
        <f>27100-O6-N6</f>
        <v>9900</v>
      </c>
      <c r="Q6" s="38">
        <f>36200-P6-O6-N6</f>
        <v>9100</v>
      </c>
      <c r="R6" s="38">
        <v>8000</v>
      </c>
      <c r="S6" s="38">
        <f>15500-R6</f>
        <v>7500</v>
      </c>
      <c r="T6" s="38">
        <v>7700</v>
      </c>
      <c r="U6" s="38">
        <f t="shared" si="2"/>
        <v>9100</v>
      </c>
      <c r="V6" s="38">
        <f t="shared" si="2"/>
        <v>8000</v>
      </c>
      <c r="W6" s="38">
        <f t="shared" si="2"/>
        <v>7500</v>
      </c>
      <c r="X6" s="38">
        <f t="shared" si="2"/>
        <v>7700</v>
      </c>
      <c r="Y6" s="38">
        <f t="shared" si="2"/>
        <v>9100</v>
      </c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U6" s="38"/>
      <c r="AV6" s="38"/>
      <c r="AW6" s="38"/>
      <c r="AX6" s="38"/>
      <c r="AY6" s="38"/>
      <c r="AZ6" s="38"/>
      <c r="BA6" s="38"/>
      <c r="BB6" s="43"/>
      <c r="BC6" s="43">
        <f>SUM(J6:M6)</f>
        <v>39800</v>
      </c>
      <c r="BD6" s="43">
        <f t="shared" si="1"/>
        <v>36200</v>
      </c>
      <c r="BE6" s="43">
        <f>SUM(R6:U6)</f>
        <v>32300</v>
      </c>
      <c r="BF6" s="38">
        <f>SUM(V6:Y6)</f>
        <v>32300</v>
      </c>
      <c r="BG6" s="38"/>
      <c r="BH6" s="38"/>
    </row>
    <row r="7" spans="1:67">
      <c r="B7" s="1" t="s">
        <v>123</v>
      </c>
      <c r="C7" s="38"/>
      <c r="F7" s="38">
        <v>1000</v>
      </c>
      <c r="G7" s="38">
        <f>2000-F7</f>
        <v>1000</v>
      </c>
      <c r="H7" s="38">
        <v>900</v>
      </c>
      <c r="I7" s="38"/>
      <c r="J7" s="38">
        <v>700</v>
      </c>
      <c r="K7" s="38">
        <f>1300-J7</f>
        <v>600</v>
      </c>
      <c r="L7" s="38">
        <v>800</v>
      </c>
      <c r="M7" s="38">
        <f>2800-L7-K7-J7</f>
        <v>700</v>
      </c>
      <c r="N7" s="38">
        <v>800</v>
      </c>
      <c r="O7" s="38">
        <f>1600-N7</f>
        <v>800</v>
      </c>
      <c r="P7" s="38">
        <f>2400-O7-N7</f>
        <v>800</v>
      </c>
      <c r="Q7" s="38">
        <f>3100-P7-O7-N7</f>
        <v>700</v>
      </c>
      <c r="R7" s="38">
        <v>1100</v>
      </c>
      <c r="S7" s="38">
        <f>2200-R7</f>
        <v>1100</v>
      </c>
      <c r="T7" s="38">
        <v>1300</v>
      </c>
      <c r="U7" s="38">
        <f t="shared" si="2"/>
        <v>700</v>
      </c>
      <c r="V7" s="38">
        <f t="shared" si="2"/>
        <v>1100</v>
      </c>
      <c r="W7" s="38">
        <f t="shared" si="2"/>
        <v>1100</v>
      </c>
      <c r="X7" s="38">
        <f t="shared" si="2"/>
        <v>1300</v>
      </c>
      <c r="Y7" s="38">
        <f t="shared" si="2"/>
        <v>700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U7" s="38"/>
      <c r="AV7" s="38"/>
      <c r="AW7" s="38"/>
      <c r="AX7" s="38"/>
      <c r="AY7" s="38"/>
      <c r="AZ7" s="38"/>
      <c r="BA7" s="38"/>
      <c r="BB7" s="43"/>
      <c r="BC7" s="43">
        <f>SUM(J7:M7)</f>
        <v>2800</v>
      </c>
      <c r="BD7" s="43">
        <f t="shared" si="1"/>
        <v>3100</v>
      </c>
      <c r="BE7" s="43">
        <f>SUM(R7:U7)</f>
        <v>4200</v>
      </c>
      <c r="BF7" s="38">
        <f>SUM(V7:Y7)</f>
        <v>4200</v>
      </c>
      <c r="BG7" s="38"/>
      <c r="BH7" s="38"/>
    </row>
    <row r="8" spans="1:67" s="23" customFormat="1">
      <c r="B8" s="27" t="s">
        <v>254</v>
      </c>
      <c r="C8" s="39"/>
      <c r="D8" s="40"/>
      <c r="E8" s="40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3">
        <f>7700-R8</f>
        <v>7700</v>
      </c>
      <c r="T8" s="54">
        <v>7800</v>
      </c>
      <c r="U8" s="43">
        <v>8000</v>
      </c>
      <c r="V8" s="43">
        <f>U8</f>
        <v>8000</v>
      </c>
      <c r="W8" s="43">
        <f>V8</f>
        <v>8000</v>
      </c>
      <c r="X8" s="43">
        <f>W8</f>
        <v>8000</v>
      </c>
      <c r="Y8" s="43">
        <f>X8</f>
        <v>8000</v>
      </c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>
        <v>16200</v>
      </c>
      <c r="AQ8" s="43"/>
      <c r="AR8" s="43"/>
      <c r="AS8" s="43"/>
      <c r="AT8" s="40"/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f t="shared" si="1"/>
        <v>0</v>
      </c>
      <c r="BE8" s="43">
        <v>40000</v>
      </c>
      <c r="BF8" s="43">
        <f>SUM(V8:Y8)</f>
        <v>32000</v>
      </c>
      <c r="BG8" s="43">
        <v>60000</v>
      </c>
      <c r="BH8" s="43">
        <v>70000</v>
      </c>
      <c r="BI8" s="40"/>
      <c r="BJ8" s="40"/>
      <c r="BK8" s="40"/>
      <c r="BL8" s="40"/>
      <c r="BM8" s="40"/>
      <c r="BN8" s="40"/>
      <c r="BO8" s="40"/>
    </row>
    <row r="9" spans="1:67" s="18" customFormat="1">
      <c r="B9" s="18" t="s">
        <v>94</v>
      </c>
      <c r="C9" s="36">
        <f>77600-1000</f>
        <v>76600</v>
      </c>
      <c r="D9" s="37"/>
      <c r="E9" s="37"/>
      <c r="F9" s="36">
        <v>40800</v>
      </c>
      <c r="G9" s="36">
        <f>77600-F9</f>
        <v>36800</v>
      </c>
      <c r="H9" s="36">
        <f>113800-G9-F9</f>
        <v>36200</v>
      </c>
      <c r="I9" s="36"/>
      <c r="J9" s="36">
        <f t="shared" ref="J9:P9" si="3">SUM(J10:J13)</f>
        <v>72500</v>
      </c>
      <c r="K9" s="36">
        <f t="shared" si="3"/>
        <v>76600</v>
      </c>
      <c r="L9" s="36">
        <f t="shared" si="3"/>
        <v>75200</v>
      </c>
      <c r="M9" s="36">
        <f t="shared" si="3"/>
        <v>47000</v>
      </c>
      <c r="N9" s="36">
        <f t="shared" si="3"/>
        <v>70500</v>
      </c>
      <c r="O9" s="36">
        <f t="shared" si="3"/>
        <v>61500</v>
      </c>
      <c r="P9" s="36">
        <f t="shared" si="3"/>
        <v>48300</v>
      </c>
      <c r="Q9" s="36">
        <f>218100-P9-O9-N9</f>
        <v>37800</v>
      </c>
      <c r="R9" s="36">
        <f t="shared" ref="R9:Y9" si="4">SUM(R10:R13)</f>
        <v>38800</v>
      </c>
      <c r="S9" s="36">
        <f t="shared" si="4"/>
        <v>36400</v>
      </c>
      <c r="T9" s="55">
        <f t="shared" si="4"/>
        <v>30800</v>
      </c>
      <c r="U9" s="36">
        <f t="shared" si="4"/>
        <v>22190</v>
      </c>
      <c r="V9" s="36">
        <f t="shared" si="4"/>
        <v>23027.5</v>
      </c>
      <c r="W9" s="36">
        <f t="shared" si="4"/>
        <v>21428.125</v>
      </c>
      <c r="X9" s="36">
        <f t="shared" si="4"/>
        <v>23553.59375</v>
      </c>
      <c r="Y9" s="36">
        <f t="shared" si="4"/>
        <v>17452.6953125</v>
      </c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>
        <v>20100</v>
      </c>
      <c r="AQ9" s="36"/>
      <c r="AR9" s="36"/>
      <c r="AS9" s="36"/>
      <c r="AT9" s="37"/>
      <c r="AU9" s="36">
        <v>338</v>
      </c>
      <c r="AV9" s="36">
        <v>421</v>
      </c>
      <c r="AW9" s="36">
        <v>471</v>
      </c>
      <c r="AX9" s="36">
        <v>459</v>
      </c>
      <c r="AY9" s="36"/>
      <c r="AZ9" s="36">
        <f>BA9+9100</f>
        <v>159800</v>
      </c>
      <c r="BA9" s="36">
        <v>150700</v>
      </c>
      <c r="BB9" s="36">
        <v>125000</v>
      </c>
      <c r="BC9" s="36">
        <f>SUM(J9:M9)</f>
        <v>271300</v>
      </c>
      <c r="BD9" s="36">
        <f t="shared" si="1"/>
        <v>218100</v>
      </c>
      <c r="BE9" s="36">
        <f>SUM(BE10:BE13)</f>
        <v>128190</v>
      </c>
      <c r="BF9" s="36">
        <f>SUM(BF10:BF13)</f>
        <v>85461.9140625</v>
      </c>
      <c r="BG9" s="36">
        <f>BF9*0.5</f>
        <v>42730.95703125</v>
      </c>
      <c r="BH9" s="36">
        <f>BG9*0.5</f>
        <v>21365.478515625</v>
      </c>
      <c r="BI9" s="37"/>
      <c r="BJ9" s="37"/>
      <c r="BK9" s="37"/>
      <c r="BL9" s="37"/>
      <c r="BM9" s="37"/>
      <c r="BN9" s="37"/>
      <c r="BO9" s="37"/>
    </row>
    <row r="10" spans="1:67">
      <c r="B10" s="1" t="s">
        <v>119</v>
      </c>
      <c r="C10" s="38"/>
      <c r="F10" s="38">
        <v>16100</v>
      </c>
      <c r="G10" s="38">
        <f>31500-F10</f>
        <v>15400</v>
      </c>
      <c r="H10" s="38">
        <v>19000</v>
      </c>
      <c r="I10" s="38"/>
      <c r="J10" s="38">
        <v>17500</v>
      </c>
      <c r="K10" s="38">
        <f>34200-J10</f>
        <v>16700</v>
      </c>
      <c r="L10" s="38">
        <v>20200</v>
      </c>
      <c r="M10" s="38">
        <f>70700-L10-K10-J10</f>
        <v>16300</v>
      </c>
      <c r="N10" s="38">
        <v>18800</v>
      </c>
      <c r="O10" s="38">
        <f>37500-N10</f>
        <v>18700</v>
      </c>
      <c r="P10" s="38">
        <f>58900-O10-N10</f>
        <v>21400</v>
      </c>
      <c r="Q10" s="38">
        <f>74300-P10-O10-N10</f>
        <v>15400</v>
      </c>
      <c r="R10" s="38">
        <v>17200</v>
      </c>
      <c r="S10" s="38">
        <f>34100-R10</f>
        <v>16900</v>
      </c>
      <c r="T10" s="56">
        <v>20000</v>
      </c>
      <c r="U10" s="38">
        <f>Q10*0.95</f>
        <v>14630</v>
      </c>
      <c r="V10" s="38">
        <f>R10</f>
        <v>17200</v>
      </c>
      <c r="W10" s="38">
        <f>S10</f>
        <v>16900</v>
      </c>
      <c r="X10" s="38">
        <f>T10</f>
        <v>20000</v>
      </c>
      <c r="Y10" s="38">
        <f>U10</f>
        <v>14630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>
        <f>SUM(R10:U10)</f>
        <v>68730</v>
      </c>
      <c r="BF10" s="38">
        <f>SUM(V10:Y10)</f>
        <v>68730</v>
      </c>
      <c r="BG10" s="38"/>
      <c r="BH10" s="38"/>
    </row>
    <row r="11" spans="1:67">
      <c r="B11" s="1" t="s">
        <v>121</v>
      </c>
      <c r="C11" s="38"/>
      <c r="F11" s="38">
        <v>71000</v>
      </c>
      <c r="G11" s="38">
        <f>137800-F11</f>
        <v>66800</v>
      </c>
      <c r="H11" s="38">
        <v>62300</v>
      </c>
      <c r="I11" s="38"/>
      <c r="J11" s="38">
        <v>46200</v>
      </c>
      <c r="K11" s="38">
        <f>98600-J11</f>
        <v>52400</v>
      </c>
      <c r="L11" s="38">
        <v>49300</v>
      </c>
      <c r="M11" s="38">
        <f>173100-L11-K11-J11</f>
        <v>25200</v>
      </c>
      <c r="N11" s="38">
        <v>45000</v>
      </c>
      <c r="O11" s="38">
        <f>81900-N11</f>
        <v>36900</v>
      </c>
      <c r="P11" s="38">
        <f>102600-O11-N11</f>
        <v>20700</v>
      </c>
      <c r="Q11" s="38">
        <f>119000-P11-O11-N11</f>
        <v>16400</v>
      </c>
      <c r="R11" s="38">
        <v>16500</v>
      </c>
      <c r="S11" s="38">
        <f>31500-R11</f>
        <v>15000</v>
      </c>
      <c r="T11" s="56">
        <v>5700</v>
      </c>
      <c r="U11" s="38">
        <f>T11*0.7</f>
        <v>3989.9999999999995</v>
      </c>
      <c r="V11" s="38">
        <f t="shared" ref="V11:Y12" si="5">U11*0.75</f>
        <v>2992.4999999999995</v>
      </c>
      <c r="W11" s="38">
        <f t="shared" si="5"/>
        <v>2244.3749999999995</v>
      </c>
      <c r="X11" s="38">
        <f t="shared" si="5"/>
        <v>1683.2812499999995</v>
      </c>
      <c r="Y11" s="38">
        <f t="shared" si="5"/>
        <v>1262.4609374999995</v>
      </c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>
        <f>SUM(R11:U11)</f>
        <v>41190</v>
      </c>
      <c r="BF11" s="38">
        <f>SUM(V11:Y11)</f>
        <v>8182.6171874999982</v>
      </c>
      <c r="BG11" s="38"/>
      <c r="BH11" s="38"/>
    </row>
    <row r="12" spans="1:67">
      <c r="B12" s="1" t="s">
        <v>122</v>
      </c>
      <c r="C12" s="38"/>
      <c r="F12" s="38">
        <v>10300</v>
      </c>
      <c r="G12" s="38">
        <f>19300-F12</f>
        <v>9000</v>
      </c>
      <c r="H12" s="38">
        <v>9400</v>
      </c>
      <c r="I12" s="38"/>
      <c r="J12" s="38">
        <v>8000</v>
      </c>
      <c r="K12" s="38">
        <f>14600-J12</f>
        <v>6600</v>
      </c>
      <c r="L12" s="38">
        <v>5000</v>
      </c>
      <c r="M12" s="38">
        <f>24300-L12-K12-J12</f>
        <v>4700</v>
      </c>
      <c r="N12" s="38">
        <v>5800</v>
      </c>
      <c r="O12" s="38">
        <f>10800-N12</f>
        <v>5000</v>
      </c>
      <c r="P12" s="38">
        <f>16000-O12-N12</f>
        <v>5200</v>
      </c>
      <c r="Q12" s="38">
        <f>21200-P12-O12-N12</f>
        <v>5200</v>
      </c>
      <c r="R12" s="38">
        <v>4200</v>
      </c>
      <c r="S12" s="38">
        <f>7800-R12</f>
        <v>3600</v>
      </c>
      <c r="T12" s="56">
        <v>4200</v>
      </c>
      <c r="U12" s="38">
        <f>T12*0.7</f>
        <v>2940</v>
      </c>
      <c r="V12" s="38">
        <f t="shared" si="5"/>
        <v>2205</v>
      </c>
      <c r="W12" s="38">
        <f t="shared" si="5"/>
        <v>1653.75</v>
      </c>
      <c r="X12" s="38">
        <f t="shared" si="5"/>
        <v>1240.3125</v>
      </c>
      <c r="Y12" s="38">
        <f t="shared" si="5"/>
        <v>930.234375</v>
      </c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>
        <f>SUM(R12:U12)</f>
        <v>14940</v>
      </c>
      <c r="BF12" s="38">
        <f>SUM(V12:Y12)</f>
        <v>6029.296875</v>
      </c>
      <c r="BG12" s="38"/>
      <c r="BH12" s="38"/>
    </row>
    <row r="13" spans="1:67">
      <c r="B13" s="1" t="s">
        <v>123</v>
      </c>
      <c r="C13" s="38"/>
      <c r="F13" s="38">
        <v>1100</v>
      </c>
      <c r="G13" s="38">
        <f>2000-F13</f>
        <v>900</v>
      </c>
      <c r="H13" s="38">
        <v>1000</v>
      </c>
      <c r="I13" s="38"/>
      <c r="J13" s="38">
        <v>800</v>
      </c>
      <c r="K13" s="38">
        <f>1700-J13</f>
        <v>900</v>
      </c>
      <c r="L13" s="38">
        <v>700</v>
      </c>
      <c r="M13" s="38">
        <f>3200-L13-K13-J13</f>
        <v>800</v>
      </c>
      <c r="N13" s="38">
        <v>900</v>
      </c>
      <c r="O13" s="38">
        <f>1800-N13</f>
        <v>900</v>
      </c>
      <c r="P13" s="38">
        <f>2800-O13-N13</f>
        <v>1000</v>
      </c>
      <c r="Q13" s="38">
        <f>3700-P13-O13-N13</f>
        <v>900</v>
      </c>
      <c r="R13" s="38">
        <v>900</v>
      </c>
      <c r="S13" s="38">
        <f>1800-R13</f>
        <v>900</v>
      </c>
      <c r="T13" s="56">
        <v>900</v>
      </c>
      <c r="U13" s="38">
        <f>T13*0.7</f>
        <v>630</v>
      </c>
      <c r="V13" s="38">
        <f>U13</f>
        <v>630</v>
      </c>
      <c r="W13" s="38">
        <f>V13</f>
        <v>630</v>
      </c>
      <c r="X13" s="38">
        <f>W13</f>
        <v>630</v>
      </c>
      <c r="Y13" s="38">
        <f>X13</f>
        <v>630</v>
      </c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>
        <f>SUM(R13:U13)</f>
        <v>3330</v>
      </c>
      <c r="BF13" s="38">
        <f>SUM(V13:Y13)</f>
        <v>2520</v>
      </c>
      <c r="BG13" s="38"/>
      <c r="BH13" s="38"/>
    </row>
    <row r="14" spans="1:67" s="18" customFormat="1">
      <c r="B14" s="18" t="s">
        <v>19</v>
      </c>
      <c r="C14" s="36">
        <f>112800-12300</f>
        <v>100500</v>
      </c>
      <c r="D14" s="37"/>
      <c r="E14" s="37"/>
      <c r="F14" s="36">
        <v>55400</v>
      </c>
      <c r="G14" s="36">
        <f>112800-F14</f>
        <v>57400</v>
      </c>
      <c r="H14" s="36">
        <f>173000-G14-F14</f>
        <v>60200</v>
      </c>
      <c r="I14" s="36"/>
      <c r="J14" s="36">
        <f t="shared" ref="J14:P14" si="6">J15+J16</f>
        <v>60000</v>
      </c>
      <c r="K14" s="36">
        <f t="shared" si="6"/>
        <v>59400</v>
      </c>
      <c r="L14" s="36">
        <f t="shared" si="6"/>
        <v>58500</v>
      </c>
      <c r="M14" s="36">
        <f t="shared" si="6"/>
        <v>52500</v>
      </c>
      <c r="N14" s="36">
        <f t="shared" si="6"/>
        <v>56700</v>
      </c>
      <c r="O14" s="36">
        <f t="shared" si="6"/>
        <v>55800</v>
      </c>
      <c r="P14" s="36">
        <f t="shared" si="6"/>
        <v>57700</v>
      </c>
      <c r="Q14" s="36">
        <f>222000-P14-O14-N14</f>
        <v>51800</v>
      </c>
      <c r="R14" s="36">
        <f>+R15+R16</f>
        <v>56500</v>
      </c>
      <c r="S14" s="36">
        <f>+S15+S16</f>
        <v>52500</v>
      </c>
      <c r="T14" s="36">
        <f>+T15+T16</f>
        <v>57600</v>
      </c>
      <c r="U14" s="36">
        <f>+U15+U16</f>
        <v>40310</v>
      </c>
      <c r="V14" s="36">
        <f>V15+V16</f>
        <v>34831</v>
      </c>
      <c r="W14" s="36">
        <f>W15+W16</f>
        <v>30189.5</v>
      </c>
      <c r="X14" s="36">
        <f>X15+X16</f>
        <v>26243.83</v>
      </c>
      <c r="Y14" s="36">
        <f>Y15+Y16</f>
        <v>22878.071000000004</v>
      </c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7"/>
      <c r="AU14" s="36">
        <v>51000</v>
      </c>
      <c r="AV14" s="36">
        <v>82000</v>
      </c>
      <c r="AW14" s="36">
        <v>106000</v>
      </c>
      <c r="AX14" s="36">
        <v>141300</v>
      </c>
      <c r="AY14" s="36">
        <v>152400</v>
      </c>
      <c r="AZ14" s="36">
        <f>BA14-15300</f>
        <v>190900</v>
      </c>
      <c r="BA14" s="36">
        <v>206200</v>
      </c>
      <c r="BB14" s="36">
        <f>BA14*1.1</f>
        <v>226820.00000000003</v>
      </c>
      <c r="BC14" s="36">
        <f>SUM(J14:M14)</f>
        <v>230400</v>
      </c>
      <c r="BD14" s="36">
        <f>SUM(N14:Q14)</f>
        <v>222000</v>
      </c>
      <c r="BE14" s="36">
        <f>BE15+BE16</f>
        <v>206910</v>
      </c>
      <c r="BF14" s="36">
        <f>BF15+BF16</f>
        <v>114142.40100000001</v>
      </c>
      <c r="BG14" s="36">
        <f>BF14*0.5</f>
        <v>57071.200500000006</v>
      </c>
      <c r="BH14" s="36">
        <f>BG14*0.5</f>
        <v>28535.600250000003</v>
      </c>
      <c r="BI14" s="37"/>
      <c r="BJ14" s="37"/>
      <c r="BK14" s="37"/>
      <c r="BL14" s="37"/>
      <c r="BM14" s="37"/>
      <c r="BN14" s="37"/>
      <c r="BO14" s="37"/>
    </row>
    <row r="15" spans="1:67">
      <c r="B15" s="1" t="s">
        <v>119</v>
      </c>
      <c r="C15" s="38"/>
      <c r="F15" s="38">
        <v>36000</v>
      </c>
      <c r="G15" s="38">
        <f>68600-F15</f>
        <v>32600</v>
      </c>
      <c r="H15" s="38">
        <v>40200</v>
      </c>
      <c r="I15" s="38"/>
      <c r="J15" s="38">
        <v>34700</v>
      </c>
      <c r="K15" s="38">
        <f>67600-J15</f>
        <v>32900</v>
      </c>
      <c r="L15" s="38">
        <v>38100</v>
      </c>
      <c r="M15" s="38">
        <f>137900-L15-K15-J15</f>
        <v>32200</v>
      </c>
      <c r="N15" s="38">
        <v>34200</v>
      </c>
      <c r="O15" s="38">
        <f>68400-N15</f>
        <v>34200</v>
      </c>
      <c r="P15" s="38">
        <f>107500-O15-N15</f>
        <v>39100</v>
      </c>
      <c r="Q15" s="38">
        <f>136200-P15-O15-N15</f>
        <v>28700</v>
      </c>
      <c r="R15" s="38">
        <v>34600</v>
      </c>
      <c r="S15" s="38">
        <f>67700-R15</f>
        <v>33100</v>
      </c>
      <c r="T15" s="38">
        <v>39500</v>
      </c>
      <c r="U15" s="38">
        <f>Q15*0.9</f>
        <v>25830</v>
      </c>
      <c r="V15" s="38">
        <f>U15*0.9</f>
        <v>23247</v>
      </c>
      <c r="W15" s="38">
        <f>V15*0.9</f>
        <v>20922.3</v>
      </c>
      <c r="X15" s="38">
        <f>W15*0.9</f>
        <v>18830.07</v>
      </c>
      <c r="Y15" s="38">
        <f>X15*0.9</f>
        <v>16947.063000000002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>
        <f>SUM(R15:U15)</f>
        <v>133030</v>
      </c>
      <c r="BF15" s="38">
        <f>SUM(V15:Y15)</f>
        <v>79946.433000000005</v>
      </c>
      <c r="BG15" s="38"/>
      <c r="BH15" s="38"/>
    </row>
    <row r="16" spans="1:67">
      <c r="B16" s="1" t="s">
        <v>121</v>
      </c>
      <c r="C16" s="38"/>
      <c r="F16" s="38">
        <v>19700</v>
      </c>
      <c r="G16" s="38">
        <f>44700-F16</f>
        <v>25000</v>
      </c>
      <c r="H16" s="38">
        <v>20200</v>
      </c>
      <c r="I16" s="38"/>
      <c r="J16" s="38">
        <v>25300</v>
      </c>
      <c r="K16" s="38">
        <f>51800-J16</f>
        <v>26500</v>
      </c>
      <c r="L16" s="38">
        <v>20400</v>
      </c>
      <c r="M16" s="38">
        <f>92500-L16-K16-J16</f>
        <v>20300</v>
      </c>
      <c r="N16" s="38">
        <v>22500</v>
      </c>
      <c r="O16" s="38">
        <f>44100-N16</f>
        <v>21600</v>
      </c>
      <c r="P16" s="38">
        <f>62700-O16-N16</f>
        <v>18600</v>
      </c>
      <c r="Q16" s="38">
        <f>85800-P16-O16-N16</f>
        <v>23100</v>
      </c>
      <c r="R16" s="38">
        <v>21900</v>
      </c>
      <c r="S16" s="38">
        <f>41300-R16</f>
        <v>19400</v>
      </c>
      <c r="T16" s="38">
        <v>18100</v>
      </c>
      <c r="U16" s="38">
        <f>T16*0.8</f>
        <v>14480</v>
      </c>
      <c r="V16" s="38">
        <f>U16*0.8</f>
        <v>11584</v>
      </c>
      <c r="W16" s="38">
        <f>V16*0.8</f>
        <v>9267.2000000000007</v>
      </c>
      <c r="X16" s="38">
        <f>W16*0.8</f>
        <v>7413.7600000000011</v>
      </c>
      <c r="Y16" s="38">
        <f>X16*0.8</f>
        <v>5931.0080000000016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>
        <f>SUM(R16:U16)</f>
        <v>73880</v>
      </c>
      <c r="BF16" s="38">
        <f>SUM(V16:Y16)</f>
        <v>34195.968000000008</v>
      </c>
      <c r="BG16" s="38"/>
      <c r="BH16" s="38"/>
    </row>
    <row r="17" spans="2:67" s="18" customFormat="1">
      <c r="B17" s="18" t="s">
        <v>20</v>
      </c>
      <c r="C17" s="36">
        <f>207100-46000</f>
        <v>161100</v>
      </c>
      <c r="D17" s="37"/>
      <c r="E17" s="37"/>
      <c r="F17" s="36">
        <v>106600</v>
      </c>
      <c r="G17" s="36">
        <f>207100-F17</f>
        <v>100500</v>
      </c>
      <c r="H17" s="36">
        <f>312700-G17-F17</f>
        <v>105600</v>
      </c>
      <c r="I17" s="36"/>
      <c r="J17" s="36">
        <f t="shared" ref="J17:P17" si="7">SUM(J18:J21)</f>
        <v>103200</v>
      </c>
      <c r="K17" s="36">
        <f t="shared" si="7"/>
        <v>100000</v>
      </c>
      <c r="L17" s="36">
        <f t="shared" si="7"/>
        <v>94500</v>
      </c>
      <c r="M17" s="36">
        <f t="shared" si="7"/>
        <v>89300</v>
      </c>
      <c r="N17" s="36">
        <f t="shared" si="7"/>
        <v>96400</v>
      </c>
      <c r="O17" s="36">
        <f t="shared" si="7"/>
        <v>98300</v>
      </c>
      <c r="P17" s="36">
        <f t="shared" si="7"/>
        <v>97400</v>
      </c>
      <c r="Q17" s="36">
        <f>384700-P17-O17-N17</f>
        <v>92600</v>
      </c>
      <c r="R17" s="36">
        <f t="shared" ref="R17:Y17" si="8">SUM(R18:R21)</f>
        <v>99500</v>
      </c>
      <c r="S17" s="36">
        <f t="shared" si="8"/>
        <v>96100</v>
      </c>
      <c r="T17" s="36">
        <f t="shared" si="8"/>
        <v>97400</v>
      </c>
      <c r="U17" s="36">
        <f t="shared" si="8"/>
        <v>88902</v>
      </c>
      <c r="V17" s="36">
        <f t="shared" si="8"/>
        <v>86789.16</v>
      </c>
      <c r="W17" s="36">
        <f t="shared" si="8"/>
        <v>84773.296799999996</v>
      </c>
      <c r="X17" s="36">
        <f t="shared" si="8"/>
        <v>82846.998864000008</v>
      </c>
      <c r="Y17" s="36">
        <f t="shared" si="8"/>
        <v>81003.550086720003</v>
      </c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7"/>
      <c r="AU17" s="36">
        <v>69</v>
      </c>
      <c r="AV17" s="36">
        <v>122</v>
      </c>
      <c r="AW17" s="36">
        <v>155</v>
      </c>
      <c r="AX17" s="36">
        <v>178</v>
      </c>
      <c r="AY17" s="36"/>
      <c r="AZ17" s="36">
        <f>BA17-92400</f>
        <v>243900</v>
      </c>
      <c r="BA17" s="36">
        <v>336300</v>
      </c>
      <c r="BB17" s="36">
        <f>SUM(F17:I17)</f>
        <v>312700</v>
      </c>
      <c r="BC17" s="36">
        <f>SUM(J17:M17)</f>
        <v>387000</v>
      </c>
      <c r="BD17" s="36">
        <f>SUM(N17:Q17)</f>
        <v>384700</v>
      </c>
      <c r="BE17" s="36">
        <f>SUM(BE18:BE21)</f>
        <v>381902</v>
      </c>
      <c r="BF17" s="36">
        <f>SUM(BF18:BF21)</f>
        <v>335413.00575072004</v>
      </c>
      <c r="BG17" s="36">
        <f>BF17*0.5</f>
        <v>167706.50287536002</v>
      </c>
      <c r="BH17" s="36">
        <f>BG17*0.5</f>
        <v>83853.25143768001</v>
      </c>
      <c r="BI17" s="37">
        <v>0</v>
      </c>
      <c r="BJ17" s="37"/>
      <c r="BK17" s="37"/>
      <c r="BL17" s="37"/>
      <c r="BM17" s="37"/>
      <c r="BN17" s="37"/>
      <c r="BO17" s="37"/>
    </row>
    <row r="18" spans="2:67">
      <c r="B18" s="1" t="s">
        <v>119</v>
      </c>
      <c r="C18" s="38"/>
      <c r="F18" s="38">
        <v>10300</v>
      </c>
      <c r="G18" s="38">
        <f>20100-F18</f>
        <v>9800</v>
      </c>
      <c r="H18" s="38">
        <v>12000</v>
      </c>
      <c r="I18" s="38"/>
      <c r="J18" s="38">
        <v>12000</v>
      </c>
      <c r="K18" s="38">
        <f>23700-J18</f>
        <v>11700</v>
      </c>
      <c r="L18" s="38">
        <v>13900</v>
      </c>
      <c r="M18" s="38">
        <f>48800-L18-K18-J18</f>
        <v>11200</v>
      </c>
      <c r="N18" s="38">
        <v>13300</v>
      </c>
      <c r="O18" s="38">
        <f>26500-N18</f>
        <v>13200</v>
      </c>
      <c r="P18" s="38">
        <f>41900-O18-N18</f>
        <v>15400</v>
      </c>
      <c r="Q18" s="38">
        <f>52700-P18-O18-N18</f>
        <v>10800</v>
      </c>
      <c r="R18" s="38">
        <v>12300</v>
      </c>
      <c r="S18" s="38">
        <f>24400-R18</f>
        <v>12100</v>
      </c>
      <c r="T18" s="38">
        <v>13100</v>
      </c>
      <c r="U18" s="38">
        <f>Q18*0.9</f>
        <v>9720</v>
      </c>
      <c r="V18" s="38">
        <f>U18</f>
        <v>9720</v>
      </c>
      <c r="W18" s="38">
        <f>V18</f>
        <v>9720</v>
      </c>
      <c r="X18" s="38">
        <f>W18</f>
        <v>9720</v>
      </c>
      <c r="Y18" s="38">
        <f>X18</f>
        <v>9720</v>
      </c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U18" s="38"/>
      <c r="AV18" s="38"/>
      <c r="AW18" s="38"/>
      <c r="AX18" s="38"/>
      <c r="AY18" s="38"/>
      <c r="AZ18" s="38"/>
      <c r="BA18" s="38"/>
      <c r="BB18" s="38"/>
      <c r="BC18" s="38"/>
      <c r="BD18" s="43">
        <f>SUM(N18:Q18)</f>
        <v>52700</v>
      </c>
      <c r="BE18" s="43">
        <f>SUM(R18:U18)</f>
        <v>47220</v>
      </c>
      <c r="BF18" s="38">
        <f>SUM(V18:Y18)</f>
        <v>38880</v>
      </c>
      <c r="BG18" s="38">
        <f>BF18*0.9</f>
        <v>34992</v>
      </c>
      <c r="BH18" s="38">
        <f>BG18*0.9</f>
        <v>31492.799999999999</v>
      </c>
    </row>
    <row r="19" spans="2:67">
      <c r="B19" s="1" t="s">
        <v>121</v>
      </c>
      <c r="C19" s="38"/>
      <c r="F19" s="38">
        <v>88000</v>
      </c>
      <c r="G19" s="38">
        <f>170600-F19</f>
        <v>82600</v>
      </c>
      <c r="H19" s="38">
        <v>83500</v>
      </c>
      <c r="I19" s="38"/>
      <c r="J19" s="38">
        <v>80600</v>
      </c>
      <c r="K19" s="38">
        <f>159300-J19</f>
        <v>78700</v>
      </c>
      <c r="L19" s="38">
        <v>72100</v>
      </c>
      <c r="M19" s="38">
        <f>301700-L19-K19-J19</f>
        <v>70300</v>
      </c>
      <c r="N19" s="38">
        <v>74200</v>
      </c>
      <c r="O19" s="38">
        <f>150900-N19</f>
        <v>76700</v>
      </c>
      <c r="P19" s="38">
        <f>224100-O19-N19</f>
        <v>73200</v>
      </c>
      <c r="Q19" s="38">
        <f>297000-P19-O19-N19</f>
        <v>72900</v>
      </c>
      <c r="R19" s="38">
        <v>78800</v>
      </c>
      <c r="S19" s="38">
        <f>155100-R19</f>
        <v>76300</v>
      </c>
      <c r="T19" s="38">
        <v>74500</v>
      </c>
      <c r="U19" s="38">
        <f>Q19*0.98</f>
        <v>71442</v>
      </c>
      <c r="V19" s="38">
        <f>U19*0.98</f>
        <v>70013.16</v>
      </c>
      <c r="W19" s="38">
        <f>V19*0.98</f>
        <v>68612.896800000002</v>
      </c>
      <c r="X19" s="38">
        <f>W19*0.98</f>
        <v>67240.638864000008</v>
      </c>
      <c r="Y19" s="38">
        <f>X19*0.98</f>
        <v>65895.826086720001</v>
      </c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U19" s="38"/>
      <c r="AV19" s="38"/>
      <c r="AW19" s="38"/>
      <c r="AX19" s="38"/>
      <c r="AY19" s="38"/>
      <c r="AZ19" s="38"/>
      <c r="BA19" s="38"/>
      <c r="BB19" s="38"/>
      <c r="BC19" s="38"/>
      <c r="BD19" s="43">
        <f>SUM(N19:Q19)</f>
        <v>297000</v>
      </c>
      <c r="BE19" s="43">
        <f>SUM(R19:U19)</f>
        <v>301042</v>
      </c>
      <c r="BF19" s="38">
        <f>SUM(V19:Y19)</f>
        <v>271762.52175072004</v>
      </c>
      <c r="BG19" s="38">
        <f>0.5*BF19</f>
        <v>135881.26087536002</v>
      </c>
      <c r="BH19" s="38">
        <f>BG19*0.25</f>
        <v>33970.315218840005</v>
      </c>
    </row>
    <row r="20" spans="2:67">
      <c r="B20" s="1" t="s">
        <v>122</v>
      </c>
      <c r="C20" s="38"/>
      <c r="F20" s="38">
        <v>7500</v>
      </c>
      <c r="G20" s="38">
        <f>14800-F20</f>
        <v>7300</v>
      </c>
      <c r="H20" s="38">
        <v>9300</v>
      </c>
      <c r="I20" s="38"/>
      <c r="J20" s="38">
        <v>9400</v>
      </c>
      <c r="K20" s="38">
        <f>18000-J20</f>
        <v>8600</v>
      </c>
      <c r="L20" s="38">
        <v>7800</v>
      </c>
      <c r="M20" s="38">
        <f>32800-L20-K20-J20</f>
        <v>7000</v>
      </c>
      <c r="N20" s="38">
        <v>7900</v>
      </c>
      <c r="O20" s="38">
        <f>15500-N20</f>
        <v>7600</v>
      </c>
      <c r="P20" s="38">
        <f>23600-O20-N20</f>
        <v>8100</v>
      </c>
      <c r="Q20" s="38">
        <f>31200-P20-O20-N20</f>
        <v>7600</v>
      </c>
      <c r="R20" s="38">
        <v>7400</v>
      </c>
      <c r="S20" s="38">
        <f>13900-R20</f>
        <v>6500</v>
      </c>
      <c r="T20" s="38">
        <v>8600</v>
      </c>
      <c r="U20" s="38">
        <f>Q20*0.9</f>
        <v>6840</v>
      </c>
      <c r="V20" s="38">
        <f>U20*0.9</f>
        <v>6156</v>
      </c>
      <c r="W20" s="38">
        <f>V20*0.9</f>
        <v>5540.4000000000005</v>
      </c>
      <c r="X20" s="38">
        <f>W20*0.9</f>
        <v>4986.3600000000006</v>
      </c>
      <c r="Y20" s="38">
        <f>X20*0.9</f>
        <v>4487.7240000000011</v>
      </c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U20" s="38"/>
      <c r="AV20" s="38"/>
      <c r="AW20" s="38"/>
      <c r="AX20" s="38"/>
      <c r="AY20" s="38"/>
      <c r="AZ20" s="38"/>
      <c r="BA20" s="38"/>
      <c r="BB20" s="38"/>
      <c r="BC20" s="38"/>
      <c r="BD20" s="43">
        <f>SUM(N20:Q20)</f>
        <v>31200</v>
      </c>
      <c r="BE20" s="43">
        <f>SUM(R20:U20)</f>
        <v>29340</v>
      </c>
      <c r="BF20" s="38">
        <f>SUM(V20:Y20)</f>
        <v>21170.484000000004</v>
      </c>
      <c r="BG20" s="38">
        <f>BF20*0.75</f>
        <v>15877.863000000003</v>
      </c>
      <c r="BH20" s="38">
        <f>BG20*0.5</f>
        <v>7938.9315000000015</v>
      </c>
    </row>
    <row r="21" spans="2:67">
      <c r="B21" s="1" t="s">
        <v>123</v>
      </c>
      <c r="C21" s="38"/>
      <c r="F21" s="38">
        <v>1200</v>
      </c>
      <c r="G21" s="38">
        <f>2300-F21</f>
        <v>1100</v>
      </c>
      <c r="H21" s="38">
        <v>1100</v>
      </c>
      <c r="I21" s="38"/>
      <c r="J21" s="38">
        <v>1200</v>
      </c>
      <c r="K21" s="38">
        <f>2200-J21</f>
        <v>1000</v>
      </c>
      <c r="L21" s="38">
        <v>700</v>
      </c>
      <c r="M21" s="38">
        <f>3700-L21-K21-J21</f>
        <v>800</v>
      </c>
      <c r="N21" s="38">
        <v>1000</v>
      </c>
      <c r="O21" s="38">
        <f>1800-N21</f>
        <v>800</v>
      </c>
      <c r="P21" s="38">
        <f>2500-O21-N21</f>
        <v>700</v>
      </c>
      <c r="Q21" s="38">
        <f>3500-P21-O21-N21</f>
        <v>1000</v>
      </c>
      <c r="R21" s="38">
        <v>1000</v>
      </c>
      <c r="S21" s="38">
        <f>2200-R21</f>
        <v>1200</v>
      </c>
      <c r="T21" s="38">
        <v>1200</v>
      </c>
      <c r="U21" s="38">
        <f>Q21*0.9</f>
        <v>900</v>
      </c>
      <c r="V21" s="38">
        <f t="shared" ref="V21:Y23" si="9">U21</f>
        <v>900</v>
      </c>
      <c r="W21" s="38">
        <f t="shared" si="9"/>
        <v>900</v>
      </c>
      <c r="X21" s="38">
        <f t="shared" si="9"/>
        <v>900</v>
      </c>
      <c r="Y21" s="38">
        <f t="shared" si="9"/>
        <v>900</v>
      </c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43">
        <f>SUM(R21:U21)</f>
        <v>4300</v>
      </c>
      <c r="BF21" s="38">
        <f>SUM(V21:Y21)</f>
        <v>3600</v>
      </c>
      <c r="BG21" s="38">
        <f>BF21</f>
        <v>3600</v>
      </c>
      <c r="BH21" s="38">
        <f>BG21*0.75</f>
        <v>2700</v>
      </c>
    </row>
    <row r="22" spans="2:67">
      <c r="B22" s="63" t="s">
        <v>362</v>
      </c>
      <c r="C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>
        <v>17700</v>
      </c>
      <c r="AQ22" s="38"/>
      <c r="AR22" s="38"/>
      <c r="AS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43"/>
      <c r="BF22" s="38"/>
      <c r="BG22" s="38"/>
      <c r="BH22" s="38"/>
    </row>
    <row r="23" spans="2:67">
      <c r="B23" s="1" t="s">
        <v>218</v>
      </c>
      <c r="C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3">
        <v>13200</v>
      </c>
      <c r="S23" s="38">
        <f>25600-R23</f>
        <v>12400</v>
      </c>
      <c r="T23" s="38">
        <v>12600</v>
      </c>
      <c r="U23" s="38">
        <f>T23</f>
        <v>12600</v>
      </c>
      <c r="V23" s="38">
        <f t="shared" si="9"/>
        <v>12600</v>
      </c>
      <c r="W23" s="38">
        <f t="shared" si="9"/>
        <v>12600</v>
      </c>
      <c r="X23" s="38">
        <f t="shared" si="9"/>
        <v>12600</v>
      </c>
      <c r="Y23" s="38">
        <f t="shared" si="9"/>
        <v>12600</v>
      </c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>
        <v>35500</v>
      </c>
      <c r="AQ23" s="38"/>
      <c r="AR23" s="38"/>
      <c r="AS23" s="38"/>
      <c r="AU23" s="38"/>
      <c r="AV23" s="38"/>
      <c r="AW23" s="38"/>
      <c r="AX23" s="38"/>
      <c r="AY23" s="38"/>
      <c r="AZ23" s="38"/>
      <c r="BA23" s="38"/>
      <c r="BB23" s="38">
        <v>37700</v>
      </c>
      <c r="BC23" s="38">
        <v>46200</v>
      </c>
      <c r="BD23" s="43">
        <f t="shared" ref="BD23:BD40" si="10">SUM(R23:U23)</f>
        <v>50800</v>
      </c>
      <c r="BE23" s="38">
        <f>BD23</f>
        <v>50800</v>
      </c>
      <c r="BF23" s="38">
        <f>BE23</f>
        <v>50800</v>
      </c>
      <c r="BG23" s="38">
        <f>BF23</f>
        <v>50800</v>
      </c>
      <c r="BH23" s="38">
        <f>BG23</f>
        <v>50800</v>
      </c>
    </row>
    <row r="24" spans="2:67">
      <c r="B24" s="63" t="s">
        <v>359</v>
      </c>
      <c r="C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3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>
        <v>32000</v>
      </c>
      <c r="AQ24" s="38"/>
      <c r="AR24" s="38"/>
      <c r="AS24" s="38"/>
      <c r="AU24" s="38"/>
      <c r="AV24" s="38"/>
      <c r="AW24" s="38"/>
      <c r="AX24" s="38"/>
      <c r="AY24" s="38"/>
      <c r="AZ24" s="38"/>
      <c r="BA24" s="38"/>
      <c r="BB24" s="38"/>
      <c r="BC24" s="38"/>
      <c r="BD24" s="43"/>
      <c r="BE24" s="38"/>
      <c r="BF24" s="38"/>
      <c r="BG24" s="38"/>
      <c r="BH24" s="38"/>
    </row>
    <row r="25" spans="2:67">
      <c r="B25" s="1" t="s">
        <v>71</v>
      </c>
      <c r="C25" s="38">
        <f>81000-500</f>
        <v>80500</v>
      </c>
      <c r="F25" s="38">
        <f>13400+24100</f>
        <v>37500</v>
      </c>
      <c r="G25" s="38">
        <f>F25-30500+50500</f>
        <v>57500</v>
      </c>
      <c r="H25" s="38">
        <f>48534+75792-G25-F25</f>
        <v>29326</v>
      </c>
      <c r="I25" s="38"/>
      <c r="J25" s="38">
        <f>14100+23500</f>
        <v>37600</v>
      </c>
      <c r="K25" s="38">
        <f>33900+46800-J25</f>
        <v>43100</v>
      </c>
      <c r="L25" s="38">
        <f>50104+68566-K25-J25</f>
        <v>37970</v>
      </c>
      <c r="M25" s="38">
        <f>64400+89900-L25-K25-J25</f>
        <v>35630</v>
      </c>
      <c r="N25" s="38">
        <f>13300+20800</f>
        <v>34100</v>
      </c>
      <c r="O25" s="38">
        <f>32400+42400-N25</f>
        <v>40700</v>
      </c>
      <c r="P25" s="38">
        <f>47000+65000-N25-O25</f>
        <v>37200</v>
      </c>
      <c r="Q25" s="38">
        <f>58200+90100-P25-O25-N25</f>
        <v>36300</v>
      </c>
      <c r="R25" s="38">
        <v>13834</v>
      </c>
      <c r="S25" s="38">
        <f>31200-R25</f>
        <v>17366</v>
      </c>
      <c r="T25" s="56">
        <f>48400-S25-R25</f>
        <v>17200</v>
      </c>
      <c r="U25" s="38">
        <f>Q25</f>
        <v>36300</v>
      </c>
      <c r="V25" s="38">
        <f>R25</f>
        <v>13834</v>
      </c>
      <c r="W25" s="38">
        <f>S25</f>
        <v>17366</v>
      </c>
      <c r="X25" s="38">
        <f>T25</f>
        <v>17200</v>
      </c>
      <c r="Y25" s="38">
        <f>U25</f>
        <v>36300</v>
      </c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BB25" s="38">
        <f>H25+G25*2</f>
        <v>144326</v>
      </c>
      <c r="BC25" s="38">
        <f t="shared" ref="BC25:BH25" si="11">BB25*1.03</f>
        <v>148655.78</v>
      </c>
      <c r="BD25" s="43">
        <f t="shared" si="10"/>
        <v>84700</v>
      </c>
      <c r="BE25" s="38">
        <f t="shared" si="11"/>
        <v>87241</v>
      </c>
      <c r="BF25" s="38">
        <f t="shared" si="11"/>
        <v>89858.23</v>
      </c>
      <c r="BG25" s="38">
        <f t="shared" si="11"/>
        <v>92553.976899999994</v>
      </c>
      <c r="BH25" s="38">
        <f t="shared" si="11"/>
        <v>95330.596206999995</v>
      </c>
    </row>
    <row r="26" spans="2:67">
      <c r="B26" s="1" t="s">
        <v>81</v>
      </c>
      <c r="F26" s="38">
        <f>G26</f>
        <v>5625</v>
      </c>
      <c r="G26" s="38">
        <f>90*125/2</f>
        <v>5625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>
        <v>4800</v>
      </c>
      <c r="S26" s="38">
        <f>9800-R26</f>
        <v>5000</v>
      </c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Z26" s="38">
        <v>5700</v>
      </c>
      <c r="BB26" s="38"/>
      <c r="BD26" s="43">
        <f t="shared" si="10"/>
        <v>9800</v>
      </c>
    </row>
    <row r="27" spans="2:67">
      <c r="B27" s="1" t="s">
        <v>82</v>
      </c>
      <c r="F27" s="38">
        <f>G27</f>
        <v>3562.5</v>
      </c>
      <c r="G27" s="38">
        <f>57*125/2</f>
        <v>3562.5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Z27" s="38">
        <v>10300</v>
      </c>
      <c r="BB27" s="38"/>
      <c r="BD27" s="43">
        <f t="shared" si="10"/>
        <v>0</v>
      </c>
    </row>
    <row r="28" spans="2:67">
      <c r="B28" s="1" t="s">
        <v>83</v>
      </c>
      <c r="F28" s="38">
        <f>G28</f>
        <v>13550</v>
      </c>
      <c r="G28" s="38">
        <v>13550</v>
      </c>
      <c r="H28" s="38">
        <f>42100-G28-F28</f>
        <v>15000</v>
      </c>
      <c r="I28" s="38"/>
      <c r="J28" s="38">
        <v>12600</v>
      </c>
      <c r="K28" s="38">
        <f>24100-J28</f>
        <v>11500</v>
      </c>
      <c r="L28" s="38">
        <v>13000</v>
      </c>
      <c r="M28" s="38">
        <f>47100-L28-K28-J28</f>
        <v>10000</v>
      </c>
      <c r="N28" s="38">
        <v>11500</v>
      </c>
      <c r="O28" s="38">
        <f>22600-N28</f>
        <v>11100</v>
      </c>
      <c r="P28" s="38">
        <f>34900-O28-N28</f>
        <v>12300</v>
      </c>
      <c r="Q28" s="38">
        <f>43000-P28-O28-N28</f>
        <v>8100</v>
      </c>
      <c r="R28" s="38">
        <v>8800</v>
      </c>
      <c r="S28" s="38">
        <f>16900-R28</f>
        <v>8100</v>
      </c>
      <c r="T28" s="38">
        <v>8900</v>
      </c>
      <c r="U28" s="38">
        <f t="shared" ref="U28:U40" si="12">Q28*0.9</f>
        <v>7290</v>
      </c>
      <c r="V28" s="38">
        <f t="shared" ref="V28:Y30" si="13">U28</f>
        <v>7290</v>
      </c>
      <c r="W28" s="38">
        <f t="shared" si="13"/>
        <v>7290</v>
      </c>
      <c r="X28" s="38">
        <f t="shared" si="13"/>
        <v>7290</v>
      </c>
      <c r="Y28" s="38">
        <f t="shared" si="13"/>
        <v>7290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BD28" s="43">
        <f t="shared" si="10"/>
        <v>33090</v>
      </c>
      <c r="BE28" s="38">
        <f>BD28</f>
        <v>33090</v>
      </c>
      <c r="BF28" s="38">
        <f>BE28</f>
        <v>33090</v>
      </c>
      <c r="BG28" s="38">
        <f>BF28</f>
        <v>33090</v>
      </c>
      <c r="BH28" s="38">
        <f>BG28</f>
        <v>33090</v>
      </c>
    </row>
    <row r="29" spans="2:67">
      <c r="B29" s="1" t="s">
        <v>269</v>
      </c>
      <c r="F29" s="38"/>
      <c r="G29" s="38"/>
      <c r="H29" s="38">
        <v>5800</v>
      </c>
      <c r="I29" s="38"/>
      <c r="J29" s="38">
        <v>6700</v>
      </c>
      <c r="K29" s="38">
        <f>13000-J29</f>
        <v>6300</v>
      </c>
      <c r="L29" s="38">
        <v>7300</v>
      </c>
      <c r="M29" s="38">
        <f>26300-L29-K29-J29</f>
        <v>6000</v>
      </c>
      <c r="N29" s="38">
        <v>7600</v>
      </c>
      <c r="O29" s="38">
        <f>15600-N29</f>
        <v>8000</v>
      </c>
      <c r="P29" s="38">
        <f>24500-O29-N29</f>
        <v>8900</v>
      </c>
      <c r="Q29" s="38">
        <f>32300-P29-O29-N29</f>
        <v>7800</v>
      </c>
      <c r="R29" s="38">
        <v>9100</v>
      </c>
      <c r="S29" s="38">
        <f>18400-R29</f>
        <v>9300</v>
      </c>
      <c r="T29" s="38">
        <v>11100</v>
      </c>
      <c r="U29" s="38">
        <f t="shared" si="12"/>
        <v>7020</v>
      </c>
      <c r="V29" s="38">
        <f t="shared" si="13"/>
        <v>7020</v>
      </c>
      <c r="W29" s="38">
        <f t="shared" si="13"/>
        <v>7020</v>
      </c>
      <c r="X29" s="38">
        <f t="shared" si="13"/>
        <v>7020</v>
      </c>
      <c r="Y29" s="38">
        <f t="shared" si="13"/>
        <v>7020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BD29" s="43">
        <f t="shared" si="10"/>
        <v>36520</v>
      </c>
      <c r="BE29" s="38">
        <f t="shared" ref="BE29:BH40" si="14">BD29</f>
        <v>36520</v>
      </c>
      <c r="BF29" s="38">
        <f t="shared" si="14"/>
        <v>36520</v>
      </c>
      <c r="BG29" s="38">
        <f t="shared" si="14"/>
        <v>36520</v>
      </c>
      <c r="BH29" s="38">
        <f t="shared" si="14"/>
        <v>36520</v>
      </c>
    </row>
    <row r="30" spans="2:67">
      <c r="B30" s="1" t="s">
        <v>97</v>
      </c>
      <c r="F30" s="38"/>
      <c r="G30" s="38"/>
      <c r="H30" s="38">
        <v>4400</v>
      </c>
      <c r="I30" s="38"/>
      <c r="J30" s="38">
        <v>4000</v>
      </c>
      <c r="K30" s="38">
        <f>8000-J30</f>
        <v>4000</v>
      </c>
      <c r="L30" s="38">
        <v>4700</v>
      </c>
      <c r="M30" s="38">
        <f>16300-L30-K30-J30</f>
        <v>3600</v>
      </c>
      <c r="N30" s="38">
        <v>4400</v>
      </c>
      <c r="O30" s="38">
        <f>8900-N30</f>
        <v>4500</v>
      </c>
      <c r="P30" s="38">
        <f>14000-O30-N30</f>
        <v>5100</v>
      </c>
      <c r="Q30" s="38">
        <f>17900-P30-O30-N30</f>
        <v>3900</v>
      </c>
      <c r="R30" s="38">
        <v>4500</v>
      </c>
      <c r="S30" s="38">
        <f>8800-R30</f>
        <v>4300</v>
      </c>
      <c r="T30" s="38">
        <v>5000</v>
      </c>
      <c r="U30" s="38">
        <f t="shared" si="12"/>
        <v>3510</v>
      </c>
      <c r="V30" s="38">
        <f t="shared" si="13"/>
        <v>3510</v>
      </c>
      <c r="W30" s="38">
        <f t="shared" si="13"/>
        <v>3510</v>
      </c>
      <c r="X30" s="38">
        <f t="shared" si="13"/>
        <v>3510</v>
      </c>
      <c r="Y30" s="38">
        <f t="shared" si="13"/>
        <v>3510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BD30" s="43">
        <f t="shared" si="10"/>
        <v>17310</v>
      </c>
      <c r="BE30" s="38">
        <f t="shared" si="14"/>
        <v>17310</v>
      </c>
      <c r="BF30" s="38">
        <f t="shared" si="14"/>
        <v>17310</v>
      </c>
      <c r="BG30" s="38">
        <f t="shared" si="14"/>
        <v>17310</v>
      </c>
      <c r="BH30" s="38">
        <f t="shared" si="14"/>
        <v>17310</v>
      </c>
    </row>
    <row r="31" spans="2:67">
      <c r="B31" s="27" t="s">
        <v>203</v>
      </c>
      <c r="F31" s="38"/>
      <c r="G31" s="38"/>
      <c r="H31" s="38"/>
      <c r="I31" s="38"/>
      <c r="J31" s="38">
        <v>3200</v>
      </c>
      <c r="K31" s="38">
        <f>4900-J31</f>
        <v>1700</v>
      </c>
      <c r="L31" s="38">
        <v>1300</v>
      </c>
      <c r="M31" s="38">
        <f>8400-L31-K31-J31</f>
        <v>2200</v>
      </c>
      <c r="N31" s="38">
        <v>3100</v>
      </c>
      <c r="O31" s="38">
        <f>5200-N31</f>
        <v>2100</v>
      </c>
      <c r="P31" s="38">
        <f>5900-O31-N31</f>
        <v>700</v>
      </c>
      <c r="Q31" s="38">
        <f>8200-P31-O31-N31</f>
        <v>2300</v>
      </c>
      <c r="R31" s="38">
        <v>3100</v>
      </c>
      <c r="S31" s="38">
        <f>5000-R31</f>
        <v>1900</v>
      </c>
      <c r="T31" s="56">
        <v>1100</v>
      </c>
      <c r="U31" s="38">
        <f t="shared" si="12"/>
        <v>2070</v>
      </c>
      <c r="V31" s="38">
        <f>R31</f>
        <v>3100</v>
      </c>
      <c r="W31" s="38">
        <f>S31</f>
        <v>1900</v>
      </c>
      <c r="X31" s="38">
        <f>T31</f>
        <v>1100</v>
      </c>
      <c r="Y31" s="38">
        <f>U31</f>
        <v>2070</v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BD31" s="43">
        <f t="shared" si="10"/>
        <v>8170</v>
      </c>
      <c r="BE31" s="38">
        <f t="shared" si="14"/>
        <v>8170</v>
      </c>
      <c r="BF31" s="38">
        <f t="shared" si="14"/>
        <v>8170</v>
      </c>
      <c r="BG31" s="38">
        <f t="shared" si="14"/>
        <v>8170</v>
      </c>
      <c r="BH31" s="38">
        <f t="shared" si="14"/>
        <v>8170</v>
      </c>
    </row>
    <row r="32" spans="2:67">
      <c r="B32" s="1" t="s">
        <v>124</v>
      </c>
      <c r="F32" s="38"/>
      <c r="G32" s="38"/>
      <c r="H32" s="38">
        <v>3600</v>
      </c>
      <c r="I32" s="38"/>
      <c r="J32" s="38">
        <v>2400</v>
      </c>
      <c r="K32" s="38">
        <f>4800-J32</f>
        <v>2400</v>
      </c>
      <c r="L32" s="38">
        <v>1600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BD32" s="43">
        <f t="shared" si="10"/>
        <v>0</v>
      </c>
      <c r="BE32" s="38">
        <f t="shared" si="14"/>
        <v>0</v>
      </c>
      <c r="BF32" s="38">
        <f t="shared" si="14"/>
        <v>0</v>
      </c>
      <c r="BG32" s="38">
        <f t="shared" si="14"/>
        <v>0</v>
      </c>
      <c r="BH32" s="38">
        <f t="shared" si="14"/>
        <v>0</v>
      </c>
    </row>
    <row r="33" spans="2:60">
      <c r="B33" s="27" t="s">
        <v>219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>
        <v>2200</v>
      </c>
      <c r="S33" s="38">
        <f>5300-R33</f>
        <v>3100</v>
      </c>
      <c r="T33" s="38">
        <v>3500</v>
      </c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BD33" s="43">
        <f t="shared" si="10"/>
        <v>8800</v>
      </c>
      <c r="BE33" s="38">
        <f t="shared" si="14"/>
        <v>8800</v>
      </c>
      <c r="BF33" s="38">
        <f t="shared" si="14"/>
        <v>8800</v>
      </c>
      <c r="BG33" s="38">
        <f t="shared" si="14"/>
        <v>8800</v>
      </c>
      <c r="BH33" s="38">
        <f t="shared" si="14"/>
        <v>8800</v>
      </c>
    </row>
    <row r="34" spans="2:60">
      <c r="B34" s="27" t="s">
        <v>156</v>
      </c>
      <c r="F34" s="38"/>
      <c r="G34" s="38"/>
      <c r="H34" s="38"/>
      <c r="I34" s="38"/>
      <c r="J34" s="38">
        <v>2100</v>
      </c>
      <c r="K34" s="38">
        <f>4400-J34</f>
        <v>2300</v>
      </c>
      <c r="L34" s="38">
        <v>2800</v>
      </c>
      <c r="M34" s="38">
        <f>9300-L34-K34-J34</f>
        <v>2100</v>
      </c>
      <c r="N34" s="38">
        <v>2600</v>
      </c>
      <c r="O34" s="38">
        <f>5300-N34</f>
        <v>2700</v>
      </c>
      <c r="P34" s="38">
        <f>8200-O34-N34</f>
        <v>2900</v>
      </c>
      <c r="Q34" s="38">
        <f>10300-P34-O34-N34</f>
        <v>2100</v>
      </c>
      <c r="R34" s="38">
        <v>2700</v>
      </c>
      <c r="S34" s="38">
        <f>5300-R34</f>
        <v>2600</v>
      </c>
      <c r="T34" s="38">
        <v>3000</v>
      </c>
      <c r="U34" s="38">
        <f t="shared" si="12"/>
        <v>1890</v>
      </c>
      <c r="V34" s="38">
        <f t="shared" ref="V34:Y35" si="15">U34</f>
        <v>1890</v>
      </c>
      <c r="W34" s="38">
        <f t="shared" si="15"/>
        <v>1890</v>
      </c>
      <c r="X34" s="38">
        <f t="shared" si="15"/>
        <v>1890</v>
      </c>
      <c r="Y34" s="38">
        <f t="shared" si="15"/>
        <v>1890</v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BD34" s="43">
        <f t="shared" si="10"/>
        <v>10190</v>
      </c>
      <c r="BE34" s="38">
        <f t="shared" si="14"/>
        <v>10190</v>
      </c>
      <c r="BF34" s="38">
        <f t="shared" si="14"/>
        <v>10190</v>
      </c>
      <c r="BG34" s="38">
        <f t="shared" si="14"/>
        <v>10190</v>
      </c>
      <c r="BH34" s="38">
        <f t="shared" si="14"/>
        <v>10190</v>
      </c>
    </row>
    <row r="35" spans="2:60">
      <c r="B35" s="1" t="s">
        <v>125</v>
      </c>
      <c r="F35" s="38"/>
      <c r="G35" s="38"/>
      <c r="H35" s="38">
        <v>2600</v>
      </c>
      <c r="I35" s="38"/>
      <c r="J35" s="38">
        <v>3100</v>
      </c>
      <c r="K35" s="38">
        <f>6100-J35</f>
        <v>3000</v>
      </c>
      <c r="L35" s="38">
        <v>3100</v>
      </c>
      <c r="M35" s="38">
        <f>11300-L35-K35-J35</f>
        <v>2100</v>
      </c>
      <c r="N35" s="38">
        <v>2900</v>
      </c>
      <c r="O35" s="38">
        <f>5700-N35</f>
        <v>2800</v>
      </c>
      <c r="P35" s="38">
        <f>8500-O35-N35</f>
        <v>2800</v>
      </c>
      <c r="Q35" s="38">
        <f>10500-P35-O35-N35</f>
        <v>2000</v>
      </c>
      <c r="R35" s="38">
        <v>2400</v>
      </c>
      <c r="S35" s="38">
        <f>4600-R35</f>
        <v>2200</v>
      </c>
      <c r="T35" s="38">
        <v>2200</v>
      </c>
      <c r="U35" s="38">
        <f t="shared" si="12"/>
        <v>1800</v>
      </c>
      <c r="V35" s="38">
        <f t="shared" si="15"/>
        <v>1800</v>
      </c>
      <c r="W35" s="38">
        <f t="shared" si="15"/>
        <v>1800</v>
      </c>
      <c r="X35" s="38">
        <f t="shared" si="15"/>
        <v>1800</v>
      </c>
      <c r="Y35" s="38">
        <f t="shared" si="15"/>
        <v>1800</v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BD35" s="43">
        <f t="shared" si="10"/>
        <v>8600</v>
      </c>
      <c r="BE35" s="38">
        <f t="shared" si="14"/>
        <v>8600</v>
      </c>
      <c r="BF35" s="38">
        <f t="shared" si="14"/>
        <v>8600</v>
      </c>
      <c r="BG35" s="38">
        <f t="shared" si="14"/>
        <v>8600</v>
      </c>
      <c r="BH35" s="38">
        <f t="shared" si="14"/>
        <v>8600</v>
      </c>
    </row>
    <row r="36" spans="2:60">
      <c r="B36" s="1" t="s">
        <v>126</v>
      </c>
      <c r="F36" s="38"/>
      <c r="G36" s="38"/>
      <c r="H36" s="38">
        <v>2400</v>
      </c>
      <c r="I36" s="38"/>
      <c r="J36" s="38">
        <v>2000</v>
      </c>
      <c r="K36" s="38">
        <f>3800-J36</f>
        <v>1800</v>
      </c>
      <c r="L36" s="38">
        <v>2100</v>
      </c>
      <c r="M36" s="38">
        <f>7200-L36-K36-J36</f>
        <v>1300</v>
      </c>
      <c r="N36" s="38">
        <v>1500</v>
      </c>
      <c r="O36" s="38">
        <f>2900-N36</f>
        <v>1400</v>
      </c>
      <c r="P36" s="38">
        <f>4300-O36-N36</f>
        <v>1400</v>
      </c>
      <c r="Q36" s="38">
        <f>5200-P36-O36-N36</f>
        <v>900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BD36" s="43">
        <f t="shared" si="10"/>
        <v>0</v>
      </c>
      <c r="BE36" s="38">
        <f t="shared" si="14"/>
        <v>0</v>
      </c>
      <c r="BF36" s="38">
        <f t="shared" si="14"/>
        <v>0</v>
      </c>
      <c r="BG36" s="38">
        <f t="shared" si="14"/>
        <v>0</v>
      </c>
      <c r="BH36" s="38">
        <f t="shared" si="14"/>
        <v>0</v>
      </c>
    </row>
    <row r="37" spans="2:60">
      <c r="B37" s="1" t="s">
        <v>127</v>
      </c>
      <c r="F37" s="38"/>
      <c r="G37" s="38"/>
      <c r="H37" s="38">
        <v>2200</v>
      </c>
      <c r="I37" s="38"/>
      <c r="J37" s="38">
        <v>2100</v>
      </c>
      <c r="K37" s="38">
        <f>4200-J37</f>
        <v>2100</v>
      </c>
      <c r="L37" s="38">
        <v>2300</v>
      </c>
      <c r="M37" s="38">
        <f>8500-L37-K37-J37</f>
        <v>2000</v>
      </c>
      <c r="N37" s="38">
        <v>2300</v>
      </c>
      <c r="O37" s="38">
        <f>4600-N37</f>
        <v>2300</v>
      </c>
      <c r="P37" s="38">
        <f>7200-O37-N37</f>
        <v>2600</v>
      </c>
      <c r="Q37" s="38">
        <f>9000-P37-O37-N37</f>
        <v>1800</v>
      </c>
      <c r="R37" s="38">
        <v>2400</v>
      </c>
      <c r="S37" s="38">
        <f>4600-R37</f>
        <v>2200</v>
      </c>
      <c r="T37" s="38">
        <v>2500</v>
      </c>
      <c r="U37" s="38">
        <f t="shared" si="12"/>
        <v>1620</v>
      </c>
      <c r="V37" s="38">
        <f>U37</f>
        <v>1620</v>
      </c>
      <c r="W37" s="38">
        <f>V37</f>
        <v>1620</v>
      </c>
      <c r="X37" s="38">
        <f>W37</f>
        <v>1620</v>
      </c>
      <c r="Y37" s="38">
        <f>X37</f>
        <v>1620</v>
      </c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BD37" s="43">
        <f t="shared" si="10"/>
        <v>8720</v>
      </c>
      <c r="BE37" s="38">
        <f t="shared" si="14"/>
        <v>8720</v>
      </c>
      <c r="BF37" s="38">
        <f t="shared" si="14"/>
        <v>8720</v>
      </c>
      <c r="BG37" s="38">
        <f t="shared" si="14"/>
        <v>8720</v>
      </c>
      <c r="BH37" s="38">
        <f t="shared" si="14"/>
        <v>8720</v>
      </c>
    </row>
    <row r="38" spans="2:60">
      <c r="B38" s="27" t="s">
        <v>220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>
        <f>3600-O38-N38</f>
        <v>3600</v>
      </c>
      <c r="Q38" s="38"/>
      <c r="R38" s="38">
        <v>1300</v>
      </c>
      <c r="S38" s="38">
        <f>2400-R38</f>
        <v>1100</v>
      </c>
      <c r="T38" s="56"/>
      <c r="U38" s="38">
        <f t="shared" si="12"/>
        <v>0</v>
      </c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BD38" s="43">
        <f t="shared" si="10"/>
        <v>2400</v>
      </c>
      <c r="BE38" s="38">
        <f t="shared" si="14"/>
        <v>2400</v>
      </c>
      <c r="BF38" s="38">
        <f t="shared" si="14"/>
        <v>2400</v>
      </c>
      <c r="BG38" s="38">
        <f t="shared" si="14"/>
        <v>2400</v>
      </c>
      <c r="BH38" s="38">
        <f t="shared" si="14"/>
        <v>2400</v>
      </c>
    </row>
    <row r="39" spans="2:60">
      <c r="B39" s="1" t="s">
        <v>128</v>
      </c>
      <c r="F39" s="38"/>
      <c r="G39" s="38"/>
      <c r="H39" s="38">
        <v>2400</v>
      </c>
      <c r="I39" s="38"/>
      <c r="J39" s="38">
        <v>1800</v>
      </c>
      <c r="K39" s="38">
        <f>3100-J39</f>
        <v>1300</v>
      </c>
      <c r="L39" s="38">
        <v>2200</v>
      </c>
      <c r="M39" s="38">
        <f>7200-L39-K39-J39</f>
        <v>1900</v>
      </c>
      <c r="N39" s="38">
        <v>1700</v>
      </c>
      <c r="O39" s="38">
        <f>3100-N39</f>
        <v>1400</v>
      </c>
      <c r="P39" s="38">
        <f>5200-O39-N39</f>
        <v>2100</v>
      </c>
      <c r="Q39" s="38">
        <f>6700-P39-O39-N39</f>
        <v>1500</v>
      </c>
      <c r="R39" s="38">
        <v>1500</v>
      </c>
      <c r="S39" s="38">
        <f>2700-R39</f>
        <v>1200</v>
      </c>
      <c r="T39" s="38">
        <v>1800</v>
      </c>
      <c r="U39" s="38">
        <f t="shared" si="12"/>
        <v>1350</v>
      </c>
      <c r="V39" s="38">
        <f>U39</f>
        <v>1350</v>
      </c>
      <c r="W39" s="38">
        <f>V39</f>
        <v>1350</v>
      </c>
      <c r="X39" s="38">
        <f>W39</f>
        <v>1350</v>
      </c>
      <c r="Y39" s="38">
        <f>X39</f>
        <v>1350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BD39" s="43">
        <f t="shared" si="10"/>
        <v>5850</v>
      </c>
      <c r="BE39" s="38">
        <f t="shared" si="14"/>
        <v>5850</v>
      </c>
      <c r="BF39" s="38">
        <f t="shared" si="14"/>
        <v>5850</v>
      </c>
      <c r="BG39" s="38">
        <f t="shared" si="14"/>
        <v>5850</v>
      </c>
      <c r="BH39" s="38">
        <f t="shared" si="14"/>
        <v>5850</v>
      </c>
    </row>
    <row r="40" spans="2:60">
      <c r="B40" s="1" t="s">
        <v>129</v>
      </c>
      <c r="F40" s="38"/>
      <c r="G40" s="38"/>
      <c r="H40" s="38">
        <v>1800</v>
      </c>
      <c r="I40" s="38"/>
      <c r="J40" s="38">
        <v>1500</v>
      </c>
      <c r="K40" s="38">
        <f>3000-J40</f>
        <v>1500</v>
      </c>
      <c r="L40" s="38">
        <v>1700</v>
      </c>
      <c r="M40" s="38">
        <f>5900-L40-K40-J40</f>
        <v>1200</v>
      </c>
      <c r="N40" s="38">
        <v>1400</v>
      </c>
      <c r="O40" s="38">
        <f>2800-N40</f>
        <v>1400</v>
      </c>
      <c r="P40" s="38">
        <f>4300-O40-N40</f>
        <v>1500</v>
      </c>
      <c r="Q40" s="38">
        <f>5300-P40-O40-N40</f>
        <v>1000</v>
      </c>
      <c r="R40" s="38">
        <v>1400</v>
      </c>
      <c r="S40" s="38">
        <f>2700-R40</f>
        <v>1300</v>
      </c>
      <c r="T40" s="56"/>
      <c r="U40" s="38">
        <f t="shared" si="12"/>
        <v>900</v>
      </c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BD40" s="43">
        <f t="shared" si="10"/>
        <v>3600</v>
      </c>
      <c r="BE40" s="38">
        <f t="shared" si="14"/>
        <v>3600</v>
      </c>
      <c r="BF40" s="38">
        <f t="shared" si="14"/>
        <v>3600</v>
      </c>
      <c r="BG40" s="38">
        <f t="shared" si="14"/>
        <v>3600</v>
      </c>
      <c r="BH40" s="38">
        <f t="shared" si="14"/>
        <v>3600</v>
      </c>
    </row>
    <row r="41" spans="2:60">
      <c r="B41" s="1" t="s">
        <v>130</v>
      </c>
      <c r="F41" s="38"/>
      <c r="G41" s="38"/>
      <c r="H41" s="38">
        <v>1500</v>
      </c>
      <c r="I41" s="38"/>
      <c r="J41" s="38">
        <v>1300</v>
      </c>
      <c r="K41" s="38">
        <v>1300</v>
      </c>
      <c r="L41" s="38">
        <f>+K41</f>
        <v>1300</v>
      </c>
      <c r="M41" s="38"/>
      <c r="N41" s="38">
        <v>1200</v>
      </c>
      <c r="O41" s="38">
        <f>2400-N41</f>
        <v>1200</v>
      </c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BD41" s="43"/>
    </row>
    <row r="42" spans="2:60">
      <c r="B42" s="27" t="s">
        <v>221</v>
      </c>
      <c r="F42" s="38">
        <f>F53-SUM(F3:F28)</f>
        <v>-239204.5</v>
      </c>
      <c r="G42" s="38">
        <f>G53-SUM(G3:G28)</f>
        <v>-259302.5</v>
      </c>
      <c r="H42" s="38">
        <f>H53-SUM(H14:H30)+H3+H9</f>
        <v>47606</v>
      </c>
      <c r="I42" s="38"/>
      <c r="J42" s="38"/>
      <c r="K42" s="38"/>
      <c r="L42" s="38"/>
      <c r="M42" s="38"/>
      <c r="N42" s="38">
        <f>138900-SUM(N28:N41)-N4-N10-N15-N18</f>
        <v>16000</v>
      </c>
      <c r="O42" s="38"/>
      <c r="P42" s="38"/>
      <c r="Q42" s="38"/>
      <c r="R42" s="38">
        <f>140448-SUM(R28:R41)-R4-R10-R15-R18</f>
        <v>20748</v>
      </c>
      <c r="S42" s="38">
        <f>283600-SUM(S28:S41)-S4-S10-S15-S18-R82</f>
        <v>27352</v>
      </c>
      <c r="T42" s="38">
        <f>T82-T4-T10-T15-T18-SUM(T28:T41)</f>
        <v>32400</v>
      </c>
      <c r="U42" s="38">
        <f t="shared" ref="U42:Y46" si="16">T42</f>
        <v>32400</v>
      </c>
      <c r="V42" s="38">
        <f t="shared" si="16"/>
        <v>32400</v>
      </c>
      <c r="W42" s="38">
        <f t="shared" si="16"/>
        <v>32400</v>
      </c>
      <c r="X42" s="38">
        <f t="shared" si="16"/>
        <v>32400</v>
      </c>
      <c r="Y42" s="38">
        <f t="shared" si="16"/>
        <v>32400</v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BB42" s="38">
        <f>BB53-SUM(BB3:BB25)</f>
        <v>400754</v>
      </c>
      <c r="BC42" s="38">
        <f t="shared" ref="BC42:BH42" si="17">BB42*1.05</f>
        <v>420791.7</v>
      </c>
      <c r="BD42" s="43">
        <f>SUM(R42:U42)</f>
        <v>112900</v>
      </c>
      <c r="BE42" s="38">
        <f t="shared" si="17"/>
        <v>118545</v>
      </c>
      <c r="BF42" s="38">
        <f t="shared" si="17"/>
        <v>124472.25</v>
      </c>
      <c r="BG42" s="38">
        <f t="shared" si="17"/>
        <v>130695.8625</v>
      </c>
      <c r="BH42" s="38">
        <f t="shared" si="17"/>
        <v>137230.65562500001</v>
      </c>
    </row>
    <row r="43" spans="2:60">
      <c r="B43" s="27" t="s">
        <v>222</v>
      </c>
      <c r="F43" s="38"/>
      <c r="G43" s="38"/>
      <c r="H43" s="38"/>
      <c r="I43" s="38"/>
      <c r="J43" s="38"/>
      <c r="K43" s="38"/>
      <c r="L43" s="38"/>
      <c r="M43" s="38"/>
      <c r="N43" s="38">
        <f>148100-N19-N16-N11-N5</f>
        <v>2400</v>
      </c>
      <c r="O43" s="38"/>
      <c r="P43" s="38"/>
      <c r="Q43" s="38"/>
      <c r="R43" s="38">
        <f>126000-R19-R16-R11-R5</f>
        <v>6200</v>
      </c>
      <c r="S43" s="38">
        <f>248000-R83-S5-S11-S16-S19</f>
        <v>8200</v>
      </c>
      <c r="T43" s="38">
        <f>T83-T5-T11-T16-T19</f>
        <v>9500</v>
      </c>
      <c r="U43" s="38">
        <f t="shared" si="16"/>
        <v>9500</v>
      </c>
      <c r="V43" s="38">
        <f t="shared" si="16"/>
        <v>9500</v>
      </c>
      <c r="W43" s="38">
        <f t="shared" si="16"/>
        <v>9500</v>
      </c>
      <c r="X43" s="38">
        <f t="shared" si="16"/>
        <v>9500</v>
      </c>
      <c r="Y43" s="38">
        <f t="shared" si="16"/>
        <v>9500</v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BB43" s="38"/>
      <c r="BC43" s="38"/>
      <c r="BD43" s="43">
        <f>SUM(R43:U43)</f>
        <v>33400</v>
      </c>
      <c r="BE43" s="38">
        <f>BD43</f>
        <v>33400</v>
      </c>
      <c r="BF43" s="38">
        <f>BE43</f>
        <v>33400</v>
      </c>
      <c r="BG43" s="38">
        <f>BF43</f>
        <v>33400</v>
      </c>
      <c r="BH43" s="38">
        <f>BG43</f>
        <v>33400</v>
      </c>
    </row>
    <row r="44" spans="2:60">
      <c r="B44" s="27" t="s">
        <v>223</v>
      </c>
      <c r="F44" s="38"/>
      <c r="G44" s="38"/>
      <c r="H44" s="38"/>
      <c r="I44" s="38"/>
      <c r="J44" s="38"/>
      <c r="K44" s="38"/>
      <c r="L44" s="38"/>
      <c r="M44" s="38"/>
      <c r="N44" s="38">
        <f>31300-N6-N12-N20</f>
        <v>8600</v>
      </c>
      <c r="O44" s="38"/>
      <c r="P44" s="38"/>
      <c r="Q44" s="38"/>
      <c r="R44" s="38">
        <f>38800-R6-R12-R20</f>
        <v>19200</v>
      </c>
      <c r="S44" s="38">
        <f>73100-R84-S6-S12-S20</f>
        <v>16700</v>
      </c>
      <c r="T44" s="38">
        <f>T84-T6-T12-T20</f>
        <v>16200</v>
      </c>
      <c r="U44" s="38">
        <f t="shared" si="16"/>
        <v>16200</v>
      </c>
      <c r="V44" s="38">
        <f t="shared" si="16"/>
        <v>16200</v>
      </c>
      <c r="W44" s="38">
        <f t="shared" si="16"/>
        <v>16200</v>
      </c>
      <c r="X44" s="38">
        <f t="shared" si="16"/>
        <v>16200</v>
      </c>
      <c r="Y44" s="38">
        <f t="shared" si="16"/>
        <v>16200</v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BB44" s="38"/>
      <c r="BC44" s="38"/>
      <c r="BD44" s="43">
        <f>SUM(R44:U44)</f>
        <v>68300</v>
      </c>
      <c r="BE44" s="38">
        <f t="shared" ref="BE44:BH47" si="18">BD44</f>
        <v>68300</v>
      </c>
      <c r="BF44" s="38">
        <f t="shared" si="18"/>
        <v>68300</v>
      </c>
      <c r="BG44" s="38">
        <f t="shared" si="18"/>
        <v>68300</v>
      </c>
      <c r="BH44" s="38">
        <f t="shared" si="18"/>
        <v>68300</v>
      </c>
    </row>
    <row r="45" spans="2:60">
      <c r="B45" s="27" t="s">
        <v>224</v>
      </c>
      <c r="F45" s="38"/>
      <c r="G45" s="38"/>
      <c r="H45" s="38"/>
      <c r="I45" s="38"/>
      <c r="J45" s="38"/>
      <c r="K45" s="38"/>
      <c r="L45" s="38"/>
      <c r="M45" s="38"/>
      <c r="N45" s="38">
        <f>2700-N7-N13-N21</f>
        <v>0</v>
      </c>
      <c r="O45" s="38"/>
      <c r="P45" s="38"/>
      <c r="Q45" s="38"/>
      <c r="R45" s="38">
        <f>5200-R7-R13-R21</f>
        <v>2200</v>
      </c>
      <c r="S45" s="38">
        <f>11400-R85-S7-S13-S21</f>
        <v>3000</v>
      </c>
      <c r="T45" s="38">
        <f>T85-T7-T13-T21</f>
        <v>2700</v>
      </c>
      <c r="U45" s="38">
        <f t="shared" si="16"/>
        <v>2700</v>
      </c>
      <c r="V45" s="38">
        <f t="shared" si="16"/>
        <v>2700</v>
      </c>
      <c r="W45" s="38">
        <f t="shared" si="16"/>
        <v>2700</v>
      </c>
      <c r="X45" s="38">
        <f t="shared" si="16"/>
        <v>2700</v>
      </c>
      <c r="Y45" s="38">
        <f t="shared" si="16"/>
        <v>2700</v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BB45" s="38"/>
      <c r="BC45" s="38"/>
      <c r="BD45" s="43">
        <f>SUM(R45:U45)</f>
        <v>10600</v>
      </c>
      <c r="BE45" s="38">
        <f t="shared" si="18"/>
        <v>10600</v>
      </c>
      <c r="BF45" s="38">
        <f t="shared" si="18"/>
        <v>10600</v>
      </c>
      <c r="BG45" s="38">
        <f t="shared" si="18"/>
        <v>10600</v>
      </c>
      <c r="BH45" s="38">
        <f t="shared" si="18"/>
        <v>10600</v>
      </c>
    </row>
    <row r="46" spans="2:60">
      <c r="B46" s="27" t="s">
        <v>225</v>
      </c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>
        <f>23962-1167-6667</f>
        <v>16128</v>
      </c>
      <c r="S46" s="38">
        <f>47000-2300-R46</f>
        <v>28572</v>
      </c>
      <c r="T46" s="38">
        <f>T53-T3-T9-T14-T17-SUM(T23:T45)</f>
        <v>19405</v>
      </c>
      <c r="U46" s="38">
        <f t="shared" si="16"/>
        <v>19405</v>
      </c>
      <c r="V46" s="38">
        <f t="shared" si="16"/>
        <v>19405</v>
      </c>
      <c r="W46" s="38">
        <f t="shared" si="16"/>
        <v>19405</v>
      </c>
      <c r="X46" s="38">
        <f t="shared" si="16"/>
        <v>19405</v>
      </c>
      <c r="Y46" s="38">
        <f t="shared" si="16"/>
        <v>19405</v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BB46" s="38"/>
      <c r="BC46" s="38"/>
      <c r="BD46" s="43">
        <f>SUM(R46:U46)</f>
        <v>83510</v>
      </c>
      <c r="BE46" s="38">
        <f t="shared" si="18"/>
        <v>83510</v>
      </c>
      <c r="BF46" s="38">
        <f t="shared" si="18"/>
        <v>83510</v>
      </c>
      <c r="BG46" s="38">
        <f t="shared" si="18"/>
        <v>83510</v>
      </c>
      <c r="BH46" s="38">
        <f t="shared" si="18"/>
        <v>83510</v>
      </c>
    </row>
    <row r="47" spans="2:60">
      <c r="B47" s="27" t="s">
        <v>226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>
        <f>354698-353610</f>
        <v>1088</v>
      </c>
      <c r="S47" s="38">
        <f>714025-R53-SUM(S23:S46)-S3-S8-S9-S14-S17</f>
        <v>-22163</v>
      </c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BB47" s="38"/>
      <c r="BC47" s="38"/>
      <c r="BD47" s="38"/>
      <c r="BE47" s="38">
        <f t="shared" si="18"/>
        <v>0</v>
      </c>
      <c r="BF47" s="38"/>
      <c r="BG47" s="38"/>
      <c r="BH47" s="38"/>
    </row>
    <row r="48" spans="2:60">
      <c r="B48" s="1" t="s">
        <v>75</v>
      </c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BB48" s="38">
        <v>0</v>
      </c>
      <c r="BC48" s="38">
        <v>30000</v>
      </c>
      <c r="BD48" s="38"/>
      <c r="BE48" s="38"/>
      <c r="BF48" s="38">
        <v>5000</v>
      </c>
      <c r="BG48" s="38">
        <v>50000</v>
      </c>
      <c r="BH48" s="38">
        <v>100000</v>
      </c>
    </row>
    <row r="49" spans="2:93">
      <c r="B49" s="1" t="s">
        <v>72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BB49" s="38"/>
      <c r="BC49" s="38">
        <v>0</v>
      </c>
      <c r="BD49" s="38"/>
      <c r="BE49" s="38"/>
      <c r="BF49" s="38"/>
      <c r="BG49" s="38"/>
      <c r="BH49" s="38"/>
    </row>
    <row r="50" spans="2:93">
      <c r="B50" s="1" t="s">
        <v>9</v>
      </c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>
        <v>200</v>
      </c>
      <c r="W50" s="38">
        <v>500</v>
      </c>
      <c r="X50" s="38">
        <v>1000</v>
      </c>
      <c r="Y50" s="38">
        <v>1500</v>
      </c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BB50" s="38"/>
      <c r="BC50" s="38">
        <v>0</v>
      </c>
      <c r="BD50" s="38"/>
      <c r="BE50" s="38"/>
      <c r="BF50" s="38">
        <f>SUM(V50:Y50)</f>
        <v>3200</v>
      </c>
      <c r="BG50" s="38"/>
      <c r="BH50" s="38"/>
    </row>
    <row r="51" spans="2:93">
      <c r="B51" s="1" t="s">
        <v>78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BB51" s="38"/>
      <c r="BC51" s="38"/>
      <c r="BD51" s="38"/>
      <c r="BE51" s="38"/>
      <c r="BF51" s="38"/>
      <c r="BG51" s="38"/>
      <c r="BH51" s="38"/>
    </row>
    <row r="52" spans="2:93">
      <c r="F52" s="38"/>
      <c r="G52" s="38"/>
      <c r="H52" s="38"/>
      <c r="I52" s="38"/>
      <c r="J52" s="38">
        <f>J53-SUM(J28:J41)-J25-J17-J14-J9-J3</f>
        <v>48081</v>
      </c>
      <c r="K52" s="38">
        <f>K53-SUM(K28:K41)-K25-K17-K14-K9-K3</f>
        <v>59659</v>
      </c>
      <c r="L52" s="38">
        <f>L53-SUM(L28:L41)-L25-L17-L14-L9-L3</f>
        <v>53150</v>
      </c>
      <c r="M52" s="38"/>
      <c r="N52" s="38">
        <f>N53-SUM(N28:N45)-N25-N17-N14-N9-N3</f>
        <v>23877</v>
      </c>
      <c r="O52" s="38">
        <f>O53-SUM(O28:O41)-O25-O17-O14-O9-O3</f>
        <v>52176</v>
      </c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</row>
    <row r="53" spans="2:93" s="18" customFormat="1">
      <c r="B53" s="18" t="s">
        <v>65</v>
      </c>
      <c r="C53" s="36">
        <v>642427</v>
      </c>
      <c r="D53" s="37"/>
      <c r="E53" s="37"/>
      <c r="F53" s="36">
        <v>366333</v>
      </c>
      <c r="G53" s="36">
        <f>708468-F53</f>
        <v>342135</v>
      </c>
      <c r="H53" s="36">
        <f>1076000-G53-F53</f>
        <v>367532</v>
      </c>
      <c r="I53" s="36">
        <f>1374802-H53-G53-F53</f>
        <v>298802</v>
      </c>
      <c r="J53" s="36">
        <v>396881</v>
      </c>
      <c r="K53" s="36">
        <f>807140-J53</f>
        <v>410259</v>
      </c>
      <c r="L53" s="36">
        <f>1202760-K53-J53</f>
        <v>395620</v>
      </c>
      <c r="M53" s="36">
        <f>1538336-L53-K53-J53</f>
        <v>335576</v>
      </c>
      <c r="N53" s="36">
        <v>378977</v>
      </c>
      <c r="O53" s="36">
        <f>755453-N53</f>
        <v>376476</v>
      </c>
      <c r="P53" s="36">
        <f>1127946-O53-N53</f>
        <v>372493</v>
      </c>
      <c r="Q53" s="36">
        <f>+BD53-P53-O53-N53</f>
        <v>338019</v>
      </c>
      <c r="R53" s="36">
        <f>R3+R9+R14+R17+SUM(R23:R52)</f>
        <v>359498</v>
      </c>
      <c r="S53" s="36">
        <f>S3+S9+S14+S17+SUM(S23:S52)+S8</f>
        <v>354527</v>
      </c>
      <c r="T53" s="36">
        <f>1081130-S53-R53</f>
        <v>367105</v>
      </c>
      <c r="U53" s="36">
        <f>U3+U9+U14+U17+SUM(U23:U52)</f>
        <v>337357</v>
      </c>
      <c r="V53" s="36">
        <f>V3+V9+V14+V17+SUM(V23:V52)</f>
        <v>306966.66000000003</v>
      </c>
      <c r="W53" s="36">
        <f>W3+W9+W14+W17+SUM(W23:W52)</f>
        <v>301541.92180000001</v>
      </c>
      <c r="X53" s="36">
        <f>X3+X9+X14+X17+SUM(X23:X52)</f>
        <v>301429.42261400004</v>
      </c>
      <c r="Y53" s="36">
        <f>Y3+Y9+Y14+Y17+SUM(Y23:Y52)</f>
        <v>307889.31639922003</v>
      </c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7"/>
      <c r="AU53" s="36"/>
      <c r="AV53" s="36"/>
      <c r="AW53" s="36"/>
      <c r="AX53" s="36"/>
      <c r="AY53" s="36"/>
      <c r="AZ53" s="36">
        <v>1212200</v>
      </c>
      <c r="BA53" s="36">
        <v>1305167</v>
      </c>
      <c r="BB53" s="36">
        <v>1374800</v>
      </c>
      <c r="BC53" s="36">
        <v>1538336</v>
      </c>
      <c r="BD53" s="36">
        <v>1465965</v>
      </c>
      <c r="BE53" s="36">
        <f>BE3+BE9+BE14+BE17+SUM(BE23:BE52)</f>
        <v>1430248</v>
      </c>
      <c r="BF53" s="36">
        <f>SUM(BF3:BF51)</f>
        <v>1949625.12162644</v>
      </c>
      <c r="BG53" s="36">
        <f>SUM(BG3:BG51)</f>
        <v>1286809.6236819702</v>
      </c>
      <c r="BH53" s="36">
        <f>SUM(BH3:BH51)</f>
        <v>1097533.628754145</v>
      </c>
      <c r="BI53" s="37"/>
      <c r="BJ53" s="37"/>
      <c r="BK53" s="37"/>
      <c r="BL53" s="37"/>
      <c r="BM53" s="37"/>
      <c r="BN53" s="37"/>
      <c r="BO53" s="37"/>
    </row>
    <row r="54" spans="2:93">
      <c r="B54" s="1" t="s">
        <v>66</v>
      </c>
      <c r="C54" s="38"/>
      <c r="F54" s="38">
        <v>71692</v>
      </c>
      <c r="G54" s="38">
        <f>140091-F54</f>
        <v>68399</v>
      </c>
      <c r="H54" s="38">
        <f>214047-G54-F54</f>
        <v>73956</v>
      </c>
      <c r="I54" s="38">
        <f>278631-H54-G54-F54</f>
        <v>64584</v>
      </c>
      <c r="J54" s="38">
        <v>78628</v>
      </c>
      <c r="K54" s="38">
        <f>150709-J54</f>
        <v>72081</v>
      </c>
      <c r="L54" s="38">
        <f>221270-K54-J54</f>
        <v>70561</v>
      </c>
      <c r="M54" s="38">
        <f>289543-L54-K54-J54</f>
        <v>68273</v>
      </c>
      <c r="N54" s="38">
        <v>71336</v>
      </c>
      <c r="O54" s="38">
        <f>140382-N54</f>
        <v>69046</v>
      </c>
      <c r="P54" s="38">
        <f>214629-O54-N54</f>
        <v>74247</v>
      </c>
      <c r="Q54" s="43">
        <f>+BD54-P54-O54-N54</f>
        <v>70435</v>
      </c>
      <c r="R54" s="38">
        <v>73102</v>
      </c>
      <c r="S54" s="38">
        <f>150583-R54</f>
        <v>77481</v>
      </c>
      <c r="T54" s="38">
        <f>234695-S54-R54</f>
        <v>84112</v>
      </c>
      <c r="U54" s="38">
        <f>U53*(1-U71)</f>
        <v>77592.11</v>
      </c>
      <c r="V54" s="38">
        <f>V53*(1-V71)</f>
        <v>70602.3318</v>
      </c>
      <c r="W54" s="38">
        <f>W53*(1-W71)</f>
        <v>69354.642013999997</v>
      </c>
      <c r="X54" s="38">
        <f>X53*(1-X71)</f>
        <v>69328.767201220006</v>
      </c>
      <c r="Y54" s="38">
        <f>Y53*(1-Y71)</f>
        <v>70814.542771820605</v>
      </c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U54" s="38"/>
      <c r="AV54" s="38"/>
      <c r="AW54" s="38"/>
      <c r="AX54" s="38"/>
      <c r="AY54" s="38"/>
      <c r="AZ54" s="38"/>
      <c r="BA54" s="38">
        <v>279662</v>
      </c>
      <c r="BB54" s="38">
        <f t="shared" ref="BB54:BH54" si="19">BB53-BB55</f>
        <v>288708</v>
      </c>
      <c r="BC54" s="38">
        <v>289543</v>
      </c>
      <c r="BD54" s="38">
        <v>285064</v>
      </c>
      <c r="BE54" s="38">
        <f t="shared" si="19"/>
        <v>271747.11999999988</v>
      </c>
      <c r="BF54" s="38">
        <f t="shared" si="19"/>
        <v>370428.77310902346</v>
      </c>
      <c r="BG54" s="38">
        <f t="shared" si="19"/>
        <v>231625.73226275458</v>
      </c>
      <c r="BH54" s="38">
        <f t="shared" si="19"/>
        <v>197556.05317574611</v>
      </c>
    </row>
    <row r="55" spans="2:93">
      <c r="B55" s="1" t="s">
        <v>67</v>
      </c>
      <c r="C55" s="38"/>
      <c r="F55" s="38">
        <f t="shared" ref="F55:P55" si="20">F53-F54</f>
        <v>294641</v>
      </c>
      <c r="G55" s="38">
        <f t="shared" si="20"/>
        <v>273736</v>
      </c>
      <c r="H55" s="38">
        <f t="shared" si="20"/>
        <v>293576</v>
      </c>
      <c r="I55" s="38">
        <f t="shared" si="20"/>
        <v>234218</v>
      </c>
      <c r="J55" s="38">
        <f t="shared" si="20"/>
        <v>318253</v>
      </c>
      <c r="K55" s="38">
        <f t="shared" si="20"/>
        <v>338178</v>
      </c>
      <c r="L55" s="38">
        <f t="shared" si="20"/>
        <v>325059</v>
      </c>
      <c r="M55" s="38">
        <f t="shared" si="20"/>
        <v>267303</v>
      </c>
      <c r="N55" s="38">
        <f t="shared" si="20"/>
        <v>307641</v>
      </c>
      <c r="O55" s="38">
        <f t="shared" si="20"/>
        <v>307430</v>
      </c>
      <c r="P55" s="38">
        <f t="shared" si="20"/>
        <v>298246</v>
      </c>
      <c r="Q55" s="38">
        <f t="shared" ref="Q55:Y55" si="21">Q53-Q54</f>
        <v>267584</v>
      </c>
      <c r="R55" s="38">
        <f t="shared" si="21"/>
        <v>286396</v>
      </c>
      <c r="S55" s="38">
        <f t="shared" si="21"/>
        <v>277046</v>
      </c>
      <c r="T55" s="38">
        <f t="shared" si="21"/>
        <v>282993</v>
      </c>
      <c r="U55" s="38">
        <f t="shared" si="21"/>
        <v>259764.89</v>
      </c>
      <c r="V55" s="38">
        <f t="shared" si="21"/>
        <v>236364.32820000005</v>
      </c>
      <c r="W55" s="38">
        <f t="shared" si="21"/>
        <v>232187.27978600003</v>
      </c>
      <c r="X55" s="38">
        <f t="shared" si="21"/>
        <v>232100.65541278003</v>
      </c>
      <c r="Y55" s="38">
        <f t="shared" si="21"/>
        <v>237074.77362739941</v>
      </c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U55" s="38"/>
      <c r="AV55" s="38"/>
      <c r="AW55" s="38"/>
      <c r="AX55" s="38"/>
      <c r="AY55" s="38"/>
      <c r="AZ55" s="38"/>
      <c r="BA55" s="38">
        <f>BA53-BA54</f>
        <v>1025505</v>
      </c>
      <c r="BB55" s="38">
        <f t="shared" ref="BB55:BH55" si="22">BB53*BB71</f>
        <v>1086092</v>
      </c>
      <c r="BC55" s="38">
        <f>+BC53-BC54</f>
        <v>1248793</v>
      </c>
      <c r="BD55" s="38">
        <f>+BD53-BD54</f>
        <v>1180901</v>
      </c>
      <c r="BE55" s="38">
        <f t="shared" si="22"/>
        <v>1158500.8800000001</v>
      </c>
      <c r="BF55" s="38">
        <f>BF53*BF71</f>
        <v>1579196.3485174165</v>
      </c>
      <c r="BG55" s="38">
        <f t="shared" si="22"/>
        <v>1055183.8914192156</v>
      </c>
      <c r="BH55" s="38">
        <f t="shared" si="22"/>
        <v>899977.57557839889</v>
      </c>
    </row>
    <row r="56" spans="2:93">
      <c r="B56" s="1" t="s">
        <v>68</v>
      </c>
      <c r="C56" s="38"/>
      <c r="F56" s="38">
        <v>141520</v>
      </c>
      <c r="G56" s="38">
        <f>303472-F56</f>
        <v>161952</v>
      </c>
      <c r="H56" s="38">
        <f>456103-G56-F56</f>
        <v>152631</v>
      </c>
      <c r="I56" s="38"/>
      <c r="J56" s="38">
        <v>110660</v>
      </c>
      <c r="K56" s="38">
        <f>250334-J56</f>
        <v>139674</v>
      </c>
      <c r="L56" s="38">
        <f>364008-K56-J56</f>
        <v>113674</v>
      </c>
      <c r="M56" s="38"/>
      <c r="N56" s="38">
        <v>117144</v>
      </c>
      <c r="O56" s="38">
        <f>236963-N56</f>
        <v>119819</v>
      </c>
      <c r="P56" s="38">
        <f>347817-O56-N56</f>
        <v>110854</v>
      </c>
      <c r="Q56" s="43"/>
      <c r="R56" s="38">
        <v>112223</v>
      </c>
      <c r="S56" s="38">
        <f>217629-R56</f>
        <v>105406</v>
      </c>
      <c r="T56" s="38">
        <f>323922-S56-R56</f>
        <v>106293</v>
      </c>
      <c r="U56" s="38">
        <f>U53*U72</f>
        <v>97833.53</v>
      </c>
      <c r="V56" s="38">
        <f>V53*V72</f>
        <v>89020.33140000001</v>
      </c>
      <c r="W56" s="38">
        <f>W53*W72</f>
        <v>87447.157321999999</v>
      </c>
      <c r="X56" s="38">
        <f>X53*X72</f>
        <v>87414.532558060004</v>
      </c>
      <c r="Y56" s="38">
        <f>Y53*Y72</f>
        <v>89287.901755773797</v>
      </c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U56" s="38"/>
      <c r="AV56" s="38"/>
      <c r="AW56" s="38"/>
      <c r="AX56" s="38"/>
      <c r="AY56" s="38"/>
      <c r="AZ56" s="38"/>
      <c r="BA56" s="38">
        <v>567005</v>
      </c>
      <c r="BB56" s="38">
        <f>BA56*0.99</f>
        <v>561334.94999999995</v>
      </c>
      <c r="BC56" s="38">
        <v>942325</v>
      </c>
      <c r="BD56" s="38">
        <f>760690-BD57</f>
        <v>464290</v>
      </c>
      <c r="BE56" s="38">
        <f>BD56*0.99</f>
        <v>459647.1</v>
      </c>
      <c r="BF56" s="38">
        <f>BE56*0.8</f>
        <v>367717.68</v>
      </c>
      <c r="BG56" s="38">
        <f>BF56*0.8</f>
        <v>294174.14400000003</v>
      </c>
      <c r="BH56" s="38">
        <f>BG56*0.8</f>
        <v>235339.31520000004</v>
      </c>
    </row>
    <row r="57" spans="2:93">
      <c r="B57" s="1" t="s">
        <v>96</v>
      </c>
      <c r="C57" s="38"/>
      <c r="F57" s="38"/>
      <c r="G57" s="38"/>
      <c r="H57" s="41"/>
      <c r="I57" s="38"/>
      <c r="J57" s="38">
        <v>234829</v>
      </c>
      <c r="K57" s="38">
        <f>321067-J57</f>
        <v>86238</v>
      </c>
      <c r="L57" s="38">
        <f>377598-K57-J57</f>
        <v>56531</v>
      </c>
      <c r="M57" s="38"/>
      <c r="N57" s="38">
        <v>64867</v>
      </c>
      <c r="O57" s="38">
        <f>135581-N57</f>
        <v>70714</v>
      </c>
      <c r="P57" s="38">
        <f>209279-O57-N57</f>
        <v>73698</v>
      </c>
      <c r="Q57" s="38"/>
      <c r="R57" s="38">
        <v>62113</v>
      </c>
      <c r="S57" s="38">
        <f>124195-R57</f>
        <v>62082</v>
      </c>
      <c r="T57" s="38">
        <f>190001-S57-R57</f>
        <v>65806</v>
      </c>
      <c r="U57" s="38">
        <f>T57</f>
        <v>65806</v>
      </c>
      <c r="V57" s="38">
        <f>U57*1.005</f>
        <v>66135.03</v>
      </c>
      <c r="W57" s="38">
        <f>V57</f>
        <v>66135.03</v>
      </c>
      <c r="X57" s="38">
        <f>W57*1.005</f>
        <v>66465.705149999994</v>
      </c>
      <c r="Y57" s="38">
        <f>X57*1.005</f>
        <v>66798.03367574999</v>
      </c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U57" s="38"/>
      <c r="AV57" s="38"/>
      <c r="AW57" s="38"/>
      <c r="AX57" s="38"/>
      <c r="AY57" s="38"/>
      <c r="AZ57" s="38"/>
      <c r="BA57" s="53" t="s">
        <v>264</v>
      </c>
      <c r="BB57" s="53" t="s">
        <v>265</v>
      </c>
      <c r="BC57" s="53" t="s">
        <v>266</v>
      </c>
      <c r="BD57" s="53">
        <v>296400</v>
      </c>
      <c r="BE57" s="53" t="s">
        <v>267</v>
      </c>
      <c r="BF57" s="38"/>
      <c r="BG57" s="38"/>
      <c r="BH57" s="38"/>
    </row>
    <row r="58" spans="2:93">
      <c r="B58" s="27" t="s">
        <v>201</v>
      </c>
      <c r="C58" s="38"/>
      <c r="F58" s="38"/>
      <c r="G58" s="38"/>
      <c r="H58" s="41"/>
      <c r="I58" s="38"/>
      <c r="J58" s="38">
        <f>J57+J56</f>
        <v>345489</v>
      </c>
      <c r="K58" s="38">
        <f>K57+K56</f>
        <v>225912</v>
      </c>
      <c r="L58" s="38">
        <f>L57+L56</f>
        <v>170205</v>
      </c>
      <c r="M58" s="38">
        <f>942325-L58-K58-J58</f>
        <v>200719</v>
      </c>
      <c r="N58" s="38">
        <f>N57+N56</f>
        <v>182011</v>
      </c>
      <c r="O58" s="38">
        <f>O57+O56</f>
        <v>190533</v>
      </c>
      <c r="P58" s="38">
        <f>P57+P56</f>
        <v>184552</v>
      </c>
      <c r="Q58" s="38">
        <f>760690-P58-O58-N58</f>
        <v>203594</v>
      </c>
      <c r="R58" s="38">
        <f>R57+R56</f>
        <v>174336</v>
      </c>
      <c r="S58" s="38">
        <f>S57+S56</f>
        <v>167488</v>
      </c>
      <c r="T58" s="38">
        <f>T57+T56</f>
        <v>172099</v>
      </c>
      <c r="U58" s="38">
        <f>U56+U57</f>
        <v>163639.53</v>
      </c>
      <c r="V58" s="38">
        <f>V56+V57</f>
        <v>155155.36139999999</v>
      </c>
      <c r="W58" s="38">
        <f>W56+W57</f>
        <v>153582.18732199998</v>
      </c>
      <c r="X58" s="38">
        <f>X56+X57</f>
        <v>153880.23770806001</v>
      </c>
      <c r="Y58" s="38">
        <f>Y56+Y57</f>
        <v>156085.93543152377</v>
      </c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>
        <f>+BD57+BD56</f>
        <v>760690</v>
      </c>
      <c r="BE58" s="38"/>
      <c r="BF58" s="38"/>
      <c r="BG58" s="38"/>
      <c r="BH58" s="38"/>
    </row>
    <row r="59" spans="2:93">
      <c r="B59" s="1" t="s">
        <v>88</v>
      </c>
      <c r="C59" s="38"/>
      <c r="F59" s="38">
        <f>F55-F56</f>
        <v>153121</v>
      </c>
      <c r="G59" s="38">
        <f>G55-G56</f>
        <v>111784</v>
      </c>
      <c r="H59" s="38">
        <f>H55-H56</f>
        <v>140945</v>
      </c>
      <c r="I59" s="38"/>
      <c r="J59" s="38">
        <f t="shared" ref="J59:O59" si="23">J55-J58</f>
        <v>-27236</v>
      </c>
      <c r="K59" s="38">
        <f t="shared" si="23"/>
        <v>112266</v>
      </c>
      <c r="L59" s="38">
        <f t="shared" si="23"/>
        <v>154854</v>
      </c>
      <c r="M59" s="38">
        <f t="shared" si="23"/>
        <v>66584</v>
      </c>
      <c r="N59" s="38">
        <f t="shared" si="23"/>
        <v>125630</v>
      </c>
      <c r="O59" s="38">
        <f t="shared" si="23"/>
        <v>116897</v>
      </c>
      <c r="P59" s="38">
        <f t="shared" ref="P59:Y59" si="24">P55-P58</f>
        <v>113694</v>
      </c>
      <c r="Q59" s="38">
        <f t="shared" si="24"/>
        <v>63990</v>
      </c>
      <c r="R59" s="38">
        <f t="shared" si="24"/>
        <v>112060</v>
      </c>
      <c r="S59" s="38">
        <f t="shared" si="24"/>
        <v>109558</v>
      </c>
      <c r="T59" s="38">
        <f t="shared" si="24"/>
        <v>110894</v>
      </c>
      <c r="U59" s="38">
        <f t="shared" si="24"/>
        <v>96125.360000000015</v>
      </c>
      <c r="V59" s="38">
        <f t="shared" si="24"/>
        <v>81208.966800000053</v>
      </c>
      <c r="W59" s="38">
        <f t="shared" si="24"/>
        <v>78605.092464000045</v>
      </c>
      <c r="X59" s="38">
        <f t="shared" si="24"/>
        <v>78220.417704720021</v>
      </c>
      <c r="Y59" s="38">
        <f t="shared" si="24"/>
        <v>80988.838195875636</v>
      </c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U59" s="38"/>
      <c r="AV59" s="38"/>
      <c r="AW59" s="38"/>
      <c r="AX59" s="38"/>
      <c r="AY59" s="38"/>
      <c r="AZ59" s="38"/>
      <c r="BA59" s="38">
        <f>BA55-BA56</f>
        <v>458500</v>
      </c>
      <c r="BB59" s="38">
        <f>BB55-BB56</f>
        <v>524757.05000000005</v>
      </c>
      <c r="BC59" s="38">
        <f>BC55-BC56</f>
        <v>306468</v>
      </c>
      <c r="BD59" s="38">
        <f>+BD55-BD58</f>
        <v>420211</v>
      </c>
      <c r="BE59" s="38">
        <f>BE55-BE56-BE57</f>
        <v>398853.78000000014</v>
      </c>
      <c r="BF59" s="38">
        <f>BF55-BF56-BF57</f>
        <v>1211478.6685174166</v>
      </c>
      <c r="BG59" s="38">
        <f>BG55-BG56-BG57</f>
        <v>761009.74741921551</v>
      </c>
      <c r="BH59" s="38">
        <f>BH55-BH56-BH57</f>
        <v>664638.26037839882</v>
      </c>
    </row>
    <row r="60" spans="2:93">
      <c r="B60" s="1" t="s">
        <v>87</v>
      </c>
      <c r="C60" s="38"/>
      <c r="F60" s="38"/>
      <c r="G60" s="38"/>
      <c r="H60" s="38">
        <f>39594+108873-G60-F60</f>
        <v>148467</v>
      </c>
      <c r="I60" s="38"/>
      <c r="J60" s="38">
        <f>5269+2338+5657+2177+3400-384-1816</f>
        <v>16641</v>
      </c>
      <c r="K60" s="38">
        <f>8327+2859+2527+6305-1050-2506-4062-J60</f>
        <v>-4241</v>
      </c>
      <c r="L60" s="38">
        <f>10504+5067+2750+10190-1262-8770-6205-K60-J60</f>
        <v>-126</v>
      </c>
      <c r="M60" s="38">
        <f>11379+5661+2898+5234+12711-1621-8199-7102-L60-K60-J60</f>
        <v>8687</v>
      </c>
      <c r="N60" s="38">
        <f>773+1623+3853+416+2714-342</f>
        <v>9037</v>
      </c>
      <c r="O60" s="38">
        <f>1325+2153+2643+571+6391-821-3843-N60</f>
        <v>-618</v>
      </c>
      <c r="P60" s="38">
        <f>22389-9350-O60-N60</f>
        <v>4620</v>
      </c>
      <c r="Q60" s="38">
        <f>25232-29615-P60-O60-N60</f>
        <v>-17422</v>
      </c>
      <c r="R60" s="38">
        <f>6782-10208</f>
        <v>-3426</v>
      </c>
      <c r="S60" s="38">
        <f>12229-8374-R60</f>
        <v>7281</v>
      </c>
      <c r="T60" s="38">
        <f>11288-S60-R60</f>
        <v>7433</v>
      </c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>
        <f>BD74*$BK$65</f>
        <v>19520</v>
      </c>
      <c r="BF60" s="38">
        <f>BE74*$BK$65</f>
        <v>25377.232920000006</v>
      </c>
      <c r="BG60" s="38">
        <f>BF74*$BK$65</f>
        <v>42693.215540123841</v>
      </c>
      <c r="BH60" s="38">
        <f>BG74*$BK$65</f>
        <v>53945.057021554596</v>
      </c>
    </row>
    <row r="61" spans="2:93">
      <c r="B61" s="1" t="s">
        <v>89</v>
      </c>
      <c r="C61" s="38"/>
      <c r="F61" s="38"/>
      <c r="G61" s="38"/>
      <c r="H61" s="38">
        <f>H59+H60</f>
        <v>289412</v>
      </c>
      <c r="I61" s="38"/>
      <c r="J61" s="38">
        <f t="shared" ref="J61:O61" si="25">+J59+J60</f>
        <v>-10595</v>
      </c>
      <c r="K61" s="38">
        <f t="shared" si="25"/>
        <v>108025</v>
      </c>
      <c r="L61" s="38">
        <f t="shared" si="25"/>
        <v>154728</v>
      </c>
      <c r="M61" s="38">
        <f t="shared" si="25"/>
        <v>75271</v>
      </c>
      <c r="N61" s="38">
        <f t="shared" si="25"/>
        <v>134667</v>
      </c>
      <c r="O61" s="38">
        <f t="shared" si="25"/>
        <v>116279</v>
      </c>
      <c r="P61" s="38">
        <f t="shared" ref="P61:Y61" si="26">+P59+P60</f>
        <v>118314</v>
      </c>
      <c r="Q61" s="38">
        <f t="shared" si="26"/>
        <v>46568</v>
      </c>
      <c r="R61" s="38">
        <f t="shared" si="26"/>
        <v>108634</v>
      </c>
      <c r="S61" s="38">
        <f t="shared" si="26"/>
        <v>116839</v>
      </c>
      <c r="T61" s="38">
        <f t="shared" si="26"/>
        <v>118327</v>
      </c>
      <c r="U61" s="38">
        <f t="shared" si="26"/>
        <v>96125.360000000015</v>
      </c>
      <c r="V61" s="38">
        <f t="shared" si="26"/>
        <v>81208.966800000053</v>
      </c>
      <c r="W61" s="38">
        <f t="shared" si="26"/>
        <v>78605.092464000045</v>
      </c>
      <c r="X61" s="38">
        <f t="shared" si="26"/>
        <v>78220.417704720021</v>
      </c>
      <c r="Y61" s="38">
        <f t="shared" si="26"/>
        <v>80988.838195875636</v>
      </c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U61" s="38"/>
      <c r="AV61" s="38"/>
      <c r="AW61" s="38"/>
      <c r="AX61" s="38"/>
      <c r="AY61" s="38"/>
      <c r="AZ61" s="38"/>
      <c r="BA61" s="38"/>
      <c r="BB61" s="38"/>
      <c r="BC61" s="38">
        <f t="shared" ref="BC61:BH61" si="27">BC59+BC60</f>
        <v>306468</v>
      </c>
      <c r="BD61" s="38">
        <f t="shared" si="27"/>
        <v>420211</v>
      </c>
      <c r="BE61" s="38">
        <f t="shared" si="27"/>
        <v>418373.78000000014</v>
      </c>
      <c r="BF61" s="38">
        <f t="shared" si="27"/>
        <v>1236855.9014374167</v>
      </c>
      <c r="BG61" s="38">
        <f t="shared" si="27"/>
        <v>803702.96295933938</v>
      </c>
      <c r="BH61" s="38">
        <f t="shared" si="27"/>
        <v>718583.31739995338</v>
      </c>
    </row>
    <row r="62" spans="2:93">
      <c r="B62" s="1" t="s">
        <v>69</v>
      </c>
      <c r="C62" s="38"/>
      <c r="F62" s="38"/>
      <c r="G62" s="38">
        <v>139288</v>
      </c>
      <c r="H62" s="38">
        <f>212282-G62-F62</f>
        <v>72994</v>
      </c>
      <c r="I62" s="38"/>
      <c r="J62" s="38">
        <f>64232+1070</f>
        <v>65302</v>
      </c>
      <c r="K62" s="38">
        <f>102733+1746-J62</f>
        <v>39177</v>
      </c>
      <c r="L62" s="38">
        <f>156464+2526-K62-J62</f>
        <v>54511</v>
      </c>
      <c r="M62" s="38">
        <f>161351+2810-L62-K62-J62</f>
        <v>5171</v>
      </c>
      <c r="N62" s="38">
        <f>24351+649</f>
        <v>25000</v>
      </c>
      <c r="O62" s="38">
        <f>64028+1243-N62</f>
        <v>40271</v>
      </c>
      <c r="P62" s="38">
        <f>108133+1978-O62-N62</f>
        <v>44840</v>
      </c>
      <c r="Q62" s="38">
        <f>115668+2417-P62-O62-N62</f>
        <v>7974</v>
      </c>
      <c r="R62" s="38">
        <f>38988+735</f>
        <v>39723</v>
      </c>
      <c r="S62" s="38">
        <f>79814-R62</f>
        <v>40091</v>
      </c>
      <c r="T62" s="38">
        <f>118711-S62-R62</f>
        <v>38897</v>
      </c>
      <c r="U62" s="38">
        <f>U61*U73</f>
        <v>31598.773973142233</v>
      </c>
      <c r="V62" s="38">
        <f>V61*V73</f>
        <v>26695.38804854008</v>
      </c>
      <c r="W62" s="38">
        <f>W61*W73</f>
        <v>25839.430405336145</v>
      </c>
      <c r="X62" s="38">
        <f>X61*X73</f>
        <v>25712.978335126343</v>
      </c>
      <c r="Y62" s="38">
        <f>Y61*Y73</f>
        <v>26623.026353283483</v>
      </c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U62" s="38"/>
      <c r="AV62" s="38"/>
      <c r="AW62" s="38"/>
      <c r="AX62" s="38"/>
      <c r="AY62" s="38"/>
      <c r="AZ62" s="38"/>
      <c r="BA62" s="38">
        <v>243842</v>
      </c>
      <c r="BB62" s="38">
        <f>BB59-BB63</f>
        <v>129757.05000000005</v>
      </c>
      <c r="BC62" s="38">
        <f t="shared" ref="BC62:BH62" si="28">BC61*0.3</f>
        <v>91940.4</v>
      </c>
      <c r="BD62" s="38">
        <f t="shared" si="28"/>
        <v>126063.29999999999</v>
      </c>
      <c r="BE62" s="38">
        <f t="shared" si="28"/>
        <v>125512.13400000003</v>
      </c>
      <c r="BF62" s="38">
        <f t="shared" si="28"/>
        <v>371056.77043122501</v>
      </c>
      <c r="BG62" s="38">
        <f t="shared" si="28"/>
        <v>241110.88888780179</v>
      </c>
      <c r="BH62" s="38">
        <f t="shared" si="28"/>
        <v>215574.99521998601</v>
      </c>
    </row>
    <row r="63" spans="2:93" s="27" customFormat="1">
      <c r="B63" s="27" t="s">
        <v>109</v>
      </c>
      <c r="C63" s="43"/>
      <c r="D63" s="28"/>
      <c r="E63" s="28"/>
      <c r="F63" s="43"/>
      <c r="G63" s="43">
        <f>G59-G62</f>
        <v>-27504</v>
      </c>
      <c r="H63" s="43">
        <f>H61-H62</f>
        <v>216418</v>
      </c>
      <c r="I63" s="43"/>
      <c r="J63" s="43">
        <f t="shared" ref="J63:O63" si="29">+J61-J62</f>
        <v>-75897</v>
      </c>
      <c r="K63" s="43">
        <f t="shared" si="29"/>
        <v>68848</v>
      </c>
      <c r="L63" s="43">
        <f t="shared" si="29"/>
        <v>100217</v>
      </c>
      <c r="M63" s="43">
        <f t="shared" si="29"/>
        <v>70100</v>
      </c>
      <c r="N63" s="43">
        <f t="shared" si="29"/>
        <v>109667</v>
      </c>
      <c r="O63" s="43">
        <f t="shared" si="29"/>
        <v>76008</v>
      </c>
      <c r="P63" s="43">
        <f t="shared" ref="P63:Y63" si="30">+P61-P62</f>
        <v>73474</v>
      </c>
      <c r="Q63" s="43">
        <f t="shared" si="30"/>
        <v>38594</v>
      </c>
      <c r="R63" s="43">
        <f t="shared" si="30"/>
        <v>68911</v>
      </c>
      <c r="S63" s="43">
        <f t="shared" si="30"/>
        <v>76748</v>
      </c>
      <c r="T63" s="43">
        <f t="shared" si="30"/>
        <v>79430</v>
      </c>
      <c r="U63" s="43">
        <f t="shared" si="30"/>
        <v>64526.586026857782</v>
      </c>
      <c r="V63" s="43">
        <f t="shared" si="30"/>
        <v>54513.578751459972</v>
      </c>
      <c r="W63" s="43">
        <f t="shared" si="30"/>
        <v>52765.662058663904</v>
      </c>
      <c r="X63" s="43">
        <f t="shared" si="30"/>
        <v>52507.439369593674</v>
      </c>
      <c r="Y63" s="43">
        <f t="shared" si="30"/>
        <v>54365.811842592157</v>
      </c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28"/>
      <c r="AU63" s="43"/>
      <c r="AV63" s="43"/>
      <c r="AW63" s="43"/>
      <c r="AX63" s="43"/>
      <c r="AY63" s="43"/>
      <c r="AZ63" s="43"/>
      <c r="BA63" s="43">
        <f>BA59-BA62</f>
        <v>214658</v>
      </c>
      <c r="BB63" s="43">
        <v>395000</v>
      </c>
      <c r="BC63" s="43">
        <f t="shared" ref="BC63:BH63" si="31">BC61-BC62</f>
        <v>214527.6</v>
      </c>
      <c r="BD63" s="43">
        <f t="shared" si="31"/>
        <v>294147.7</v>
      </c>
      <c r="BE63" s="43">
        <f t="shared" si="31"/>
        <v>292861.64600000012</v>
      </c>
      <c r="BF63" s="43">
        <f t="shared" si="31"/>
        <v>865799.13100619172</v>
      </c>
      <c r="BG63" s="43">
        <f t="shared" si="31"/>
        <v>562592.07407153759</v>
      </c>
      <c r="BH63" s="43">
        <f t="shared" si="31"/>
        <v>503008.32217996736</v>
      </c>
      <c r="BI63" s="43">
        <f>BH63*(1+$BK$66)</f>
        <v>477857.90607096895</v>
      </c>
      <c r="BJ63" s="43">
        <f t="shared" ref="BJ63:CO63" si="32">BI63*(1+$BK$66)</f>
        <v>453965.01076742046</v>
      </c>
      <c r="BK63" s="43">
        <f t="shared" si="32"/>
        <v>431266.76022904943</v>
      </c>
      <c r="BL63" s="43">
        <f t="shared" si="32"/>
        <v>409703.42221759696</v>
      </c>
      <c r="BM63" s="43">
        <f t="shared" si="32"/>
        <v>389218.2511067171</v>
      </c>
      <c r="BN63" s="43">
        <f t="shared" si="32"/>
        <v>369757.33855138125</v>
      </c>
      <c r="BO63" s="43">
        <f t="shared" si="32"/>
        <v>351269.47162381216</v>
      </c>
      <c r="BP63" s="43">
        <f t="shared" si="32"/>
        <v>333705.99804262153</v>
      </c>
      <c r="BQ63" s="43">
        <f t="shared" si="32"/>
        <v>317020.69814049045</v>
      </c>
      <c r="BR63" s="43">
        <f t="shared" si="32"/>
        <v>301169.66323346592</v>
      </c>
      <c r="BS63" s="43">
        <f t="shared" si="32"/>
        <v>286111.18007179262</v>
      </c>
      <c r="BT63" s="43">
        <f t="shared" si="32"/>
        <v>271805.62106820301</v>
      </c>
      <c r="BU63" s="43">
        <f t="shared" si="32"/>
        <v>258215.34001479283</v>
      </c>
      <c r="BV63" s="43">
        <f t="shared" si="32"/>
        <v>245304.57301405317</v>
      </c>
      <c r="BW63" s="43">
        <f t="shared" si="32"/>
        <v>233039.34436335051</v>
      </c>
      <c r="BX63" s="43">
        <f t="shared" si="32"/>
        <v>221387.37714518298</v>
      </c>
      <c r="BY63" s="43">
        <f t="shared" si="32"/>
        <v>210318.00828792382</v>
      </c>
      <c r="BZ63" s="43">
        <f t="shared" si="32"/>
        <v>199802.10787352762</v>
      </c>
      <c r="CA63" s="43">
        <f t="shared" si="32"/>
        <v>189812.00247985125</v>
      </c>
      <c r="CB63" s="43">
        <f t="shared" si="32"/>
        <v>180321.40235585868</v>
      </c>
      <c r="CC63" s="43">
        <f t="shared" si="32"/>
        <v>171305.33223806575</v>
      </c>
      <c r="CD63" s="43">
        <f t="shared" si="32"/>
        <v>162740.06562616245</v>
      </c>
      <c r="CE63" s="43">
        <f t="shared" si="32"/>
        <v>154603.06234485432</v>
      </c>
      <c r="CF63" s="43">
        <f t="shared" si="32"/>
        <v>146872.90922761158</v>
      </c>
      <c r="CG63" s="43">
        <f t="shared" si="32"/>
        <v>139529.26376623099</v>
      </c>
      <c r="CH63" s="43">
        <f t="shared" si="32"/>
        <v>132552.80057791944</v>
      </c>
      <c r="CI63" s="43">
        <f t="shared" si="32"/>
        <v>125925.16054902345</v>
      </c>
      <c r="CJ63" s="43">
        <f t="shared" si="32"/>
        <v>119628.90252157228</v>
      </c>
      <c r="CK63" s="43">
        <f t="shared" si="32"/>
        <v>113647.45739549366</v>
      </c>
      <c r="CL63" s="43">
        <f t="shared" si="32"/>
        <v>107965.08452571898</v>
      </c>
      <c r="CM63" s="43">
        <f t="shared" si="32"/>
        <v>102566.83029943303</v>
      </c>
      <c r="CN63" s="43">
        <f t="shared" si="32"/>
        <v>97438.48878446137</v>
      </c>
      <c r="CO63" s="43">
        <f t="shared" si="32"/>
        <v>92566.564345238294</v>
      </c>
    </row>
    <row r="64" spans="2:93">
      <c r="B64" s="1" t="s">
        <v>208</v>
      </c>
      <c r="P64" s="47">
        <f t="shared" ref="P64:Y64" si="33">P63/P65</f>
        <v>93.044389856955931</v>
      </c>
      <c r="Q64" s="47">
        <f t="shared" si="33"/>
        <v>48.891542189611854</v>
      </c>
      <c r="R64" s="47">
        <f t="shared" si="33"/>
        <v>87.297638592225283</v>
      </c>
      <c r="S64" s="47">
        <f t="shared" si="33"/>
        <v>97.225684820654266</v>
      </c>
      <c r="T64" s="47">
        <f t="shared" si="33"/>
        <v>100.62328849357075</v>
      </c>
      <c r="U64" s="47">
        <f t="shared" si="33"/>
        <v>81.743387653099859</v>
      </c>
      <c r="V64" s="47">
        <f t="shared" si="33"/>
        <v>69.05873802751033</v>
      </c>
      <c r="W64" s="47">
        <f t="shared" si="33"/>
        <v>66.844447134372388</v>
      </c>
      <c r="X64" s="47">
        <f t="shared" si="33"/>
        <v>66.517326195962468</v>
      </c>
      <c r="Y64" s="47">
        <f t="shared" si="33"/>
        <v>68.871544368932845</v>
      </c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BC64" s="47">
        <f t="shared" ref="BC64:BH64" si="34">BC63/BC65</f>
        <v>271.77295998375644</v>
      </c>
      <c r="BD64" s="47">
        <f t="shared" si="34"/>
        <v>372.63135939594991</v>
      </c>
      <c r="BE64" s="50">
        <f t="shared" si="34"/>
        <v>371.00216409618537</v>
      </c>
      <c r="BF64" s="50">
        <f t="shared" si="34"/>
        <v>1096.8092123469582</v>
      </c>
      <c r="BG64" s="50">
        <f t="shared" si="34"/>
        <v>712.70130395941908</v>
      </c>
      <c r="BH64" s="50">
        <f t="shared" si="34"/>
        <v>637.21958349970839</v>
      </c>
    </row>
    <row r="65" spans="2:67" s="15" customFormat="1">
      <c r="B65" s="15" t="s">
        <v>57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43">
        <v>789.66609500000004</v>
      </c>
      <c r="Q65" s="38">
        <f t="shared" ref="Q65:Y65" si="35">789.666095-0.286209</f>
        <v>789.37988600000006</v>
      </c>
      <c r="R65" s="38">
        <f t="shared" si="35"/>
        <v>789.37988600000006</v>
      </c>
      <c r="S65" s="38">
        <f t="shared" si="35"/>
        <v>789.37988600000006</v>
      </c>
      <c r="T65" s="38">
        <f t="shared" si="35"/>
        <v>789.37988600000006</v>
      </c>
      <c r="U65" s="38">
        <f t="shared" si="35"/>
        <v>789.37988600000006</v>
      </c>
      <c r="V65" s="38">
        <f t="shared" si="35"/>
        <v>789.37988600000006</v>
      </c>
      <c r="W65" s="38">
        <f t="shared" si="35"/>
        <v>789.37988600000006</v>
      </c>
      <c r="X65" s="38">
        <f t="shared" si="35"/>
        <v>789.37988600000006</v>
      </c>
      <c r="Y65" s="38">
        <f t="shared" si="35"/>
        <v>789.37988600000006</v>
      </c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>
        <f>789.666095-0.302797</f>
        <v>789.36329799999999</v>
      </c>
      <c r="BD65" s="38">
        <f>789.666095-0.286209</f>
        <v>789.37988600000006</v>
      </c>
      <c r="BE65" s="38">
        <f>789.666095-0.286209</f>
        <v>789.37988600000006</v>
      </c>
      <c r="BF65" s="38">
        <f>789.666095-0.286209</f>
        <v>789.37988600000006</v>
      </c>
      <c r="BG65" s="38">
        <f>789.666095-0.286209</f>
        <v>789.37988600000006</v>
      </c>
      <c r="BH65" s="38">
        <f>789.666095-0.286209</f>
        <v>789.37988600000006</v>
      </c>
      <c r="BI65" s="38"/>
      <c r="BJ65" s="49" t="s">
        <v>268</v>
      </c>
      <c r="BK65" s="52">
        <v>0.02</v>
      </c>
      <c r="BL65" s="38"/>
      <c r="BM65" s="38"/>
      <c r="BN65" s="38"/>
      <c r="BO65" s="38"/>
    </row>
    <row r="66" spans="2:67">
      <c r="P66" s="43"/>
      <c r="BJ66" s="49" t="s">
        <v>262</v>
      </c>
      <c r="BK66" s="52">
        <v>-0.05</v>
      </c>
    </row>
    <row r="67" spans="2:67" s="18" customFormat="1">
      <c r="B67" s="18" t="s">
        <v>70</v>
      </c>
      <c r="C67" s="37"/>
      <c r="D67" s="37"/>
      <c r="E67" s="37"/>
      <c r="F67" s="44"/>
      <c r="G67" s="44">
        <f>G53/C53-1</f>
        <v>-0.46743365394044767</v>
      </c>
      <c r="H67" s="44"/>
      <c r="I67" s="44"/>
      <c r="J67" s="44"/>
      <c r="K67" s="44"/>
      <c r="L67" s="44">
        <f t="shared" ref="L67:R67" si="36">+L53/H53-1</f>
        <v>7.6423277428904202E-2</v>
      </c>
      <c r="M67" s="44">
        <f t="shared" si="36"/>
        <v>0.12307146538510461</v>
      </c>
      <c r="N67" s="44">
        <f t="shared" si="36"/>
        <v>-4.5111758940337254E-2</v>
      </c>
      <c r="O67" s="44">
        <f t="shared" si="36"/>
        <v>-8.2345542693761709E-2</v>
      </c>
      <c r="P67" s="44">
        <f t="shared" si="36"/>
        <v>-5.8457610838683616E-2</v>
      </c>
      <c r="Q67" s="44">
        <f t="shared" si="36"/>
        <v>7.280020025270062E-3</v>
      </c>
      <c r="R67" s="44">
        <f t="shared" si="36"/>
        <v>-5.1398897558427081E-2</v>
      </c>
      <c r="S67" s="44">
        <f t="shared" ref="S67:Y67" si="37">+S53/O53-1</f>
        <v>-5.8301193170348209E-2</v>
      </c>
      <c r="T67" s="44">
        <f t="shared" si="37"/>
        <v>-1.4464701350092479E-2</v>
      </c>
      <c r="U67" s="44">
        <f t="shared" si="37"/>
        <v>-1.9584697901596781E-3</v>
      </c>
      <c r="V67" s="44">
        <f t="shared" si="37"/>
        <v>-0.14612415089930952</v>
      </c>
      <c r="W67" s="44">
        <f t="shared" si="37"/>
        <v>-0.14945287157254594</v>
      </c>
      <c r="X67" s="44">
        <f t="shared" si="37"/>
        <v>-0.17890134262949287</v>
      </c>
      <c r="Y67" s="44">
        <f t="shared" si="37"/>
        <v>-8.7348665066324327E-2</v>
      </c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37"/>
      <c r="AU67" s="37"/>
      <c r="AV67" s="37"/>
      <c r="AW67" s="37"/>
      <c r="AX67" s="37"/>
      <c r="AY67" s="37"/>
      <c r="AZ67" s="37"/>
      <c r="BA67" s="44">
        <f>BA53/AZ53-1</f>
        <v>7.6692789968652031E-2</v>
      </c>
      <c r="BB67" s="44">
        <f>BB53/BA53-1</f>
        <v>5.3351793295417282E-2</v>
      </c>
      <c r="BC67" s="44">
        <f t="shared" ref="BC67:BH67" si="38">BC53/BB53-1</f>
        <v>0.11895257491998845</v>
      </c>
      <c r="BD67" s="44">
        <f t="shared" si="38"/>
        <v>-4.7044988871091875E-2</v>
      </c>
      <c r="BE67" s="44">
        <f t="shared" si="38"/>
        <v>-2.4364156033738871E-2</v>
      </c>
      <c r="BF67" s="44">
        <f t="shared" si="38"/>
        <v>0.36313780660867212</v>
      </c>
      <c r="BG67" s="44">
        <f t="shared" si="38"/>
        <v>-0.33997074134515037</v>
      </c>
      <c r="BH67" s="44">
        <f t="shared" si="38"/>
        <v>-0.1470893529582461</v>
      </c>
      <c r="BI67" s="37"/>
      <c r="BJ67" s="49" t="s">
        <v>263</v>
      </c>
      <c r="BK67" s="52">
        <v>0.12</v>
      </c>
      <c r="BL67" s="37"/>
      <c r="BM67" s="37"/>
      <c r="BN67" s="37"/>
      <c r="BO67" s="37"/>
    </row>
    <row r="68" spans="2:67">
      <c r="B68" s="1" t="s">
        <v>120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BA68" s="42"/>
      <c r="BB68" s="42">
        <f>BB63/BA63-1</f>
        <v>0.84013640302248227</v>
      </c>
      <c r="BC68" s="42">
        <f t="shared" ref="BC68:BH68" si="39">BC63/BB63-1</f>
        <v>-0.45689215189873411</v>
      </c>
      <c r="BD68" s="42">
        <f t="shared" si="39"/>
        <v>0.37114152211650153</v>
      </c>
      <c r="BE68" s="42">
        <f t="shared" si="39"/>
        <v>-4.3721368550557749E-3</v>
      </c>
      <c r="BF68" s="42">
        <f t="shared" si="39"/>
        <v>1.9563418181641694</v>
      </c>
      <c r="BG68" s="42">
        <f t="shared" si="39"/>
        <v>-0.35020485246073285</v>
      </c>
      <c r="BH68" s="42">
        <f t="shared" si="39"/>
        <v>-0.10590933402306291</v>
      </c>
      <c r="BJ68" s="49" t="s">
        <v>235</v>
      </c>
      <c r="BK68" s="38">
        <f>NPV(BK67,BG63:DC63)+Main!K5-Main!K6+BF63</f>
        <v>3862888.8033187995</v>
      </c>
    </row>
    <row r="69" spans="2:67">
      <c r="AU69" s="36"/>
      <c r="AV69" s="36"/>
      <c r="AW69" s="36"/>
      <c r="AX69" s="36"/>
      <c r="AY69" s="36"/>
      <c r="AZ69" s="36"/>
      <c r="BA69" s="36"/>
      <c r="BB69" s="36"/>
      <c r="BJ69" s="49" t="s">
        <v>236</v>
      </c>
      <c r="BK69" s="38">
        <f>BK68/Main!K3</f>
        <v>4940.8807285276516</v>
      </c>
    </row>
    <row r="71" spans="2:67">
      <c r="B71" s="1" t="s">
        <v>84</v>
      </c>
      <c r="F71" s="42">
        <f>F55/F53</f>
        <v>0.80429827506667428</v>
      </c>
      <c r="G71" s="42">
        <f>G55/G53</f>
        <v>0.80008183904014496</v>
      </c>
      <c r="H71" s="42">
        <f>H55/H53</f>
        <v>0.79877670515764609</v>
      </c>
      <c r="I71" s="42">
        <f t="shared" ref="I71:T71" si="40">I55/I53</f>
        <v>0.78385686842792213</v>
      </c>
      <c r="J71" s="42">
        <f t="shared" si="40"/>
        <v>0.80188519984579765</v>
      </c>
      <c r="K71" s="42">
        <f t="shared" si="40"/>
        <v>0.82430367158307316</v>
      </c>
      <c r="L71" s="42">
        <f t="shared" si="40"/>
        <v>0.82164450735554317</v>
      </c>
      <c r="M71" s="42">
        <f t="shared" si="40"/>
        <v>0.79654981285908411</v>
      </c>
      <c r="N71" s="42">
        <f t="shared" si="40"/>
        <v>0.81176694100169666</v>
      </c>
      <c r="O71" s="42">
        <f t="shared" si="40"/>
        <v>0.816599198886516</v>
      </c>
      <c r="P71" s="42">
        <f t="shared" si="40"/>
        <v>0.80067544893461084</v>
      </c>
      <c r="Q71" s="42">
        <f t="shared" si="40"/>
        <v>0.79162413947144983</v>
      </c>
      <c r="R71" s="42">
        <f t="shared" si="40"/>
        <v>0.79665533605193906</v>
      </c>
      <c r="S71" s="42">
        <f t="shared" si="40"/>
        <v>0.7814524704747452</v>
      </c>
      <c r="T71" s="42">
        <f t="shared" si="40"/>
        <v>0.7708775418477003</v>
      </c>
      <c r="U71" s="42">
        <v>0.77</v>
      </c>
      <c r="V71" s="42">
        <v>0.77</v>
      </c>
      <c r="W71" s="42">
        <v>0.77</v>
      </c>
      <c r="X71" s="42">
        <v>0.77</v>
      </c>
      <c r="Y71" s="42">
        <v>0.77</v>
      </c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BA71" s="42">
        <f>BA55/BA53</f>
        <v>0.78572703722971848</v>
      </c>
      <c r="BB71" s="42">
        <v>0.79</v>
      </c>
      <c r="BC71" s="42">
        <f>BC55/BC53</f>
        <v>0.81178169138601708</v>
      </c>
      <c r="BD71" s="42">
        <f>BD55/BD53</f>
        <v>0.80554515285153461</v>
      </c>
      <c r="BE71" s="42">
        <v>0.81</v>
      </c>
      <c r="BF71" s="42">
        <v>0.81</v>
      </c>
      <c r="BG71" s="42">
        <v>0.82</v>
      </c>
      <c r="BH71" s="42">
        <v>0.82</v>
      </c>
    </row>
    <row r="72" spans="2:67">
      <c r="B72" s="27" t="s">
        <v>261</v>
      </c>
      <c r="F72" s="42"/>
      <c r="G72" s="42"/>
      <c r="H72" s="42"/>
      <c r="I72" s="42"/>
      <c r="J72" s="42"/>
      <c r="K72" s="42"/>
      <c r="L72" s="42"/>
      <c r="M72" s="42"/>
      <c r="N72" s="42">
        <f t="shared" ref="N72:S72" si="41">N56/N53</f>
        <v>0.30910582964137667</v>
      </c>
      <c r="O72" s="42">
        <f t="shared" si="41"/>
        <v>0.31826464369574686</v>
      </c>
      <c r="P72" s="42">
        <f t="shared" si="41"/>
        <v>0.29760022335990205</v>
      </c>
      <c r="Q72" s="42"/>
      <c r="R72" s="42">
        <f t="shared" si="41"/>
        <v>0.31216585349570791</v>
      </c>
      <c r="S72" s="42">
        <f t="shared" si="41"/>
        <v>0.29731444995726702</v>
      </c>
      <c r="T72" s="42">
        <f>T56/T53</f>
        <v>0.28954386347230354</v>
      </c>
      <c r="U72" s="42">
        <v>0.28999999999999998</v>
      </c>
      <c r="V72" s="42">
        <v>0.28999999999999998</v>
      </c>
      <c r="W72" s="42">
        <v>0.28999999999999998</v>
      </c>
      <c r="X72" s="42">
        <v>0.28999999999999998</v>
      </c>
      <c r="Y72" s="42">
        <v>0.28999999999999998</v>
      </c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BA72" s="42">
        <f>BA56/BA53</f>
        <v>0.4344309961866949</v>
      </c>
      <c r="BB72" s="42">
        <f t="shared" ref="BB72:BH72" si="42">BB56/BB53</f>
        <v>0.40830298952574917</v>
      </c>
      <c r="BC72" s="42">
        <f t="shared" si="42"/>
        <v>0.61256123499677573</v>
      </c>
      <c r="BD72" s="42">
        <f t="shared" si="42"/>
        <v>0.3167128819583005</v>
      </c>
      <c r="BE72" s="42">
        <f t="shared" si="42"/>
        <v>0.32137580335718002</v>
      </c>
      <c r="BF72" s="42">
        <f t="shared" si="42"/>
        <v>0.18860942851066573</v>
      </c>
      <c r="BG72" s="42">
        <f t="shared" si="42"/>
        <v>0.22860735464370757</v>
      </c>
      <c r="BH72" s="42">
        <f t="shared" si="42"/>
        <v>0.21442560759358531</v>
      </c>
    </row>
    <row r="73" spans="2:67">
      <c r="B73" s="1" t="s">
        <v>274</v>
      </c>
      <c r="K73" s="57">
        <f t="shared" ref="K73:S73" si="43">K62/K61</f>
        <v>0.3626660495255728</v>
      </c>
      <c r="L73" s="57">
        <f t="shared" si="43"/>
        <v>0.35230210433793496</v>
      </c>
      <c r="M73" s="57">
        <f t="shared" si="43"/>
        <v>6.8698436316775385E-2</v>
      </c>
      <c r="N73" s="57">
        <f t="shared" si="43"/>
        <v>0.18564310484379989</v>
      </c>
      <c r="O73" s="57">
        <f t="shared" si="43"/>
        <v>0.34633080779848469</v>
      </c>
      <c r="P73" s="57">
        <f t="shared" si="43"/>
        <v>0.37899149720235981</v>
      </c>
      <c r="Q73" s="57">
        <f t="shared" si="43"/>
        <v>0.17123346504037107</v>
      </c>
      <c r="R73" s="57">
        <f t="shared" si="43"/>
        <v>0.3656590017858129</v>
      </c>
      <c r="S73" s="57">
        <f t="shared" si="43"/>
        <v>0.34313029039960974</v>
      </c>
      <c r="T73" s="57">
        <f>T62/T61</f>
        <v>0.32872463596643203</v>
      </c>
      <c r="U73" s="42">
        <f>T73</f>
        <v>0.32872463596643203</v>
      </c>
      <c r="V73" s="42">
        <f>U73</f>
        <v>0.32872463596643203</v>
      </c>
      <c r="W73" s="42">
        <f>V73</f>
        <v>0.32872463596643203</v>
      </c>
      <c r="X73" s="42">
        <f>W73</f>
        <v>0.32872463596643203</v>
      </c>
      <c r="Y73" s="42">
        <f>X73</f>
        <v>0.32872463596643203</v>
      </c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</row>
    <row r="74" spans="2:67">
      <c r="B74" s="27" t="s">
        <v>62</v>
      </c>
      <c r="BB74" s="38">
        <v>2110000</v>
      </c>
      <c r="BC74" s="38"/>
      <c r="BD74" s="38">
        <v>976000</v>
      </c>
      <c r="BE74" s="38">
        <f>BD74+BE63</f>
        <v>1268861.6460000002</v>
      </c>
      <c r="BF74" s="38">
        <f>BE74+BF63</f>
        <v>2134660.7770061921</v>
      </c>
      <c r="BG74" s="38">
        <f>BF74+BG63</f>
        <v>2697252.8510777298</v>
      </c>
      <c r="BH74" s="38">
        <f>BG74+BH63</f>
        <v>3200261.1732576974</v>
      </c>
    </row>
    <row r="75" spans="2:67">
      <c r="BE75" s="38"/>
      <c r="BF75" s="38"/>
      <c r="BG75" s="38"/>
      <c r="BH75" s="38"/>
    </row>
    <row r="76" spans="2:67" s="15" customFormat="1">
      <c r="B76" s="15" t="s">
        <v>237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>
        <v>326273</v>
      </c>
      <c r="BD76" s="38">
        <v>381168</v>
      </c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</row>
    <row r="77" spans="2:67" s="15" customFormat="1">
      <c r="B77" s="15" t="s">
        <v>238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>
        <v>39464</v>
      </c>
      <c r="BD77" s="38">
        <v>86960</v>
      </c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</row>
    <row r="78" spans="2:67" s="15" customFormat="1">
      <c r="B78" s="15" t="s">
        <v>239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>
        <f>BC76-BC77</f>
        <v>286809</v>
      </c>
      <c r="BD78" s="38">
        <f>BD76-BD77</f>
        <v>294208</v>
      </c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</row>
    <row r="82" spans="2:20">
      <c r="B82" s="27" t="s">
        <v>256</v>
      </c>
      <c r="R82" s="38">
        <f>R4+R10+R15+R18+SUM(R28:R40)+R42</f>
        <v>140448</v>
      </c>
      <c r="S82" s="38">
        <f>S4+S10+S15+S18+SUM(S28:S40)</f>
        <v>115800</v>
      </c>
      <c r="T82" s="38">
        <v>162300</v>
      </c>
    </row>
    <row r="83" spans="2:20">
      <c r="B83" s="27" t="s">
        <v>258</v>
      </c>
      <c r="R83" s="38">
        <f>+R5+R11+R16+R19+R43</f>
        <v>126000</v>
      </c>
      <c r="S83" s="38">
        <f>+S5+S11+S16+S19+S43</f>
        <v>122000</v>
      </c>
      <c r="T83" s="38">
        <v>112800</v>
      </c>
    </row>
    <row r="84" spans="2:20">
      <c r="B84" s="27" t="s">
        <v>257</v>
      </c>
      <c r="R84" s="38">
        <f>+R6+R12+R20+R44</f>
        <v>38800</v>
      </c>
      <c r="S84" s="38">
        <f>+S6+S12+S20+S44</f>
        <v>34300</v>
      </c>
      <c r="T84" s="38">
        <v>36700</v>
      </c>
    </row>
    <row r="85" spans="2:20">
      <c r="R85" s="38">
        <f>+R45+R7+R13+R21</f>
        <v>5200</v>
      </c>
      <c r="S85" s="38">
        <f>+S45+S7+S13+S21</f>
        <v>6200</v>
      </c>
      <c r="T85" s="38">
        <v>6100</v>
      </c>
    </row>
  </sheetData>
  <phoneticPr fontId="3" type="noConversion"/>
  <hyperlinks>
    <hyperlink ref="A1" location="Main!A1" display="Main"/>
  </hyperlinks>
  <pageMargins left="0.75" right="0.75" top="1" bottom="1" header="0.5" footer="0.5"/>
  <pageSetup orientation="portrait" horizontalDpi="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30"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14" t="s">
        <v>12</v>
      </c>
    </row>
    <row r="2" spans="1:3">
      <c r="B2" s="1" t="s">
        <v>13</v>
      </c>
      <c r="C2" s="1" t="s">
        <v>113</v>
      </c>
    </row>
    <row r="3" spans="1:3">
      <c r="B3" s="1" t="s">
        <v>2</v>
      </c>
      <c r="C3" s="1" t="s">
        <v>114</v>
      </c>
    </row>
    <row r="4" spans="1:3">
      <c r="B4" s="1" t="s">
        <v>1</v>
      </c>
      <c r="C4" s="1" t="s">
        <v>115</v>
      </c>
    </row>
    <row r="5" spans="1:3">
      <c r="B5" s="1" t="s">
        <v>7</v>
      </c>
      <c r="C5" s="26">
        <v>39761</v>
      </c>
    </row>
  </sheetData>
  <phoneticPr fontId="3" type="noConversion"/>
  <hyperlinks>
    <hyperlink ref="A1" location="Main!A1" display="Main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45"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9" t="s">
        <v>12</v>
      </c>
    </row>
    <row r="2" spans="1:3">
      <c r="B2" t="s">
        <v>13</v>
      </c>
      <c r="C2" t="s">
        <v>21</v>
      </c>
    </row>
  </sheetData>
  <phoneticPr fontId="3" type="noConversion"/>
  <hyperlinks>
    <hyperlink ref="A1" location="Main!A1" display="Main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12</v>
      </c>
    </row>
    <row r="2" spans="1:3">
      <c r="B2" s="1" t="s">
        <v>13</v>
      </c>
      <c r="C2" s="27" t="s">
        <v>255</v>
      </c>
    </row>
    <row r="3" spans="1:3">
      <c r="B3" s="1" t="s">
        <v>14</v>
      </c>
      <c r="C3" s="1" t="s">
        <v>209</v>
      </c>
    </row>
    <row r="4" spans="1:3">
      <c r="B4" s="1" t="s">
        <v>1</v>
      </c>
      <c r="C4" s="1" t="s">
        <v>116</v>
      </c>
    </row>
  </sheetData>
  <phoneticPr fontId="3" type="noConversion"/>
  <hyperlinks>
    <hyperlink ref="A1" location="Main!A1" display="Main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Normal="100" workbookViewId="0"/>
  </sheetViews>
  <sheetFormatPr defaultRowHeight="12.75"/>
  <cols>
    <col min="1" max="1" width="5" style="1" bestFit="1" customWidth="1"/>
    <col min="2" max="2" width="13.5703125" style="1" customWidth="1"/>
    <col min="3" max="16384" width="9.140625" style="1"/>
  </cols>
  <sheetData>
    <row r="1" spans="1:3">
      <c r="A1" s="14" t="s">
        <v>12</v>
      </c>
    </row>
    <row r="2" spans="1:3">
      <c r="B2" s="1" t="s">
        <v>13</v>
      </c>
      <c r="C2" s="1" t="s">
        <v>75</v>
      </c>
    </row>
    <row r="3" spans="1:3">
      <c r="B3" s="1" t="s">
        <v>14</v>
      </c>
      <c r="C3" s="1" t="s">
        <v>85</v>
      </c>
    </row>
    <row r="4" spans="1:3">
      <c r="B4" s="1" t="s">
        <v>1</v>
      </c>
      <c r="C4" s="1" t="s">
        <v>26</v>
      </c>
    </row>
    <row r="5" spans="1:3">
      <c r="B5" s="1" t="s">
        <v>2</v>
      </c>
      <c r="C5" s="1" t="s">
        <v>136</v>
      </c>
    </row>
    <row r="6" spans="1:3">
      <c r="B6" s="1" t="s">
        <v>63</v>
      </c>
      <c r="C6" s="1" t="s">
        <v>86</v>
      </c>
    </row>
    <row r="7" spans="1:3">
      <c r="B7" s="1" t="s">
        <v>111</v>
      </c>
      <c r="C7" s="27" t="s">
        <v>137</v>
      </c>
    </row>
    <row r="8" spans="1:3">
      <c r="B8" s="1" t="s">
        <v>3</v>
      </c>
      <c r="C8" s="1" t="s">
        <v>133</v>
      </c>
    </row>
    <row r="9" spans="1:3">
      <c r="C9" s="1" t="s">
        <v>134</v>
      </c>
    </row>
    <row r="10" spans="1:3">
      <c r="B10" s="1" t="s">
        <v>131</v>
      </c>
    </row>
    <row r="11" spans="1:3">
      <c r="C11" s="25" t="s">
        <v>132</v>
      </c>
    </row>
    <row r="12" spans="1:3">
      <c r="C12" s="1" t="s">
        <v>135</v>
      </c>
    </row>
  </sheetData>
  <phoneticPr fontId="3" type="noConversion"/>
  <hyperlinks>
    <hyperlink ref="A1" location="Main!A1" display="Main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6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12</v>
      </c>
    </row>
    <row r="2" spans="1:3">
      <c r="B2" s="1" t="s">
        <v>13</v>
      </c>
      <c r="C2" s="1" t="s">
        <v>11</v>
      </c>
    </row>
    <row r="3" spans="1:3">
      <c r="B3" s="1" t="s">
        <v>14</v>
      </c>
      <c r="C3" s="1" t="s">
        <v>110</v>
      </c>
    </row>
    <row r="4" spans="1:3">
      <c r="B4" s="1" t="s">
        <v>111</v>
      </c>
      <c r="C4" s="18" t="s">
        <v>112</v>
      </c>
    </row>
    <row r="5" spans="1:3">
      <c r="B5" s="1" t="s">
        <v>15</v>
      </c>
      <c r="C5" s="1" t="s">
        <v>16</v>
      </c>
    </row>
    <row r="6" spans="1:3">
      <c r="B6" s="1" t="s">
        <v>54</v>
      </c>
      <c r="C6" s="1" t="s">
        <v>55</v>
      </c>
    </row>
    <row r="7" spans="1:3">
      <c r="B7" s="1" t="s">
        <v>63</v>
      </c>
      <c r="C7" s="1" t="s">
        <v>64</v>
      </c>
    </row>
    <row r="8" spans="1:3">
      <c r="B8" s="1" t="s">
        <v>17</v>
      </c>
    </row>
    <row r="9" spans="1:3">
      <c r="C9" s="1" t="s">
        <v>18</v>
      </c>
    </row>
  </sheetData>
  <phoneticPr fontId="3" type="noConversion"/>
  <hyperlinks>
    <hyperlink ref="A1" location="Main!A1" display="Main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9" t="s">
        <v>12</v>
      </c>
    </row>
    <row r="2" spans="1:3">
      <c r="B2" s="31" t="s">
        <v>13</v>
      </c>
      <c r="C2" s="31" t="s">
        <v>151</v>
      </c>
    </row>
    <row r="3" spans="1:3">
      <c r="B3" s="31" t="s">
        <v>14</v>
      </c>
      <c r="C3" s="31" t="s">
        <v>140</v>
      </c>
    </row>
    <row r="4" spans="1:3">
      <c r="B4" s="31" t="s">
        <v>143</v>
      </c>
      <c r="C4" s="31" t="s">
        <v>144</v>
      </c>
    </row>
    <row r="5" spans="1:3">
      <c r="B5" s="31" t="s">
        <v>15</v>
      </c>
      <c r="C5" s="31" t="s">
        <v>145</v>
      </c>
    </row>
    <row r="6" spans="1:3">
      <c r="B6" s="31" t="s">
        <v>141</v>
      </c>
      <c r="C6" s="31" t="s">
        <v>142</v>
      </c>
    </row>
    <row r="7" spans="1:3">
      <c r="B7" s="31" t="s">
        <v>63</v>
      </c>
      <c r="C7" s="31" t="s">
        <v>148</v>
      </c>
    </row>
    <row r="8" spans="1:3">
      <c r="B8" s="31" t="s">
        <v>149</v>
      </c>
      <c r="C8" s="31" t="s">
        <v>150</v>
      </c>
    </row>
    <row r="9" spans="1:3">
      <c r="B9" s="31" t="s">
        <v>131</v>
      </c>
      <c r="C9" s="31"/>
    </row>
    <row r="11" spans="1:3">
      <c r="C11" s="32" t="s">
        <v>146</v>
      </c>
    </row>
    <row r="12" spans="1:3">
      <c r="C12" s="31" t="s">
        <v>147</v>
      </c>
    </row>
  </sheetData>
  <hyperlinks>
    <hyperlink ref="A1" location="Main!A1" display="Main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9" t="s">
        <v>12</v>
      </c>
    </row>
    <row r="2" spans="1:3">
      <c r="B2" t="s">
        <v>13</v>
      </c>
      <c r="C2" t="s">
        <v>20</v>
      </c>
    </row>
    <row r="3" spans="1:3">
      <c r="B3" t="s">
        <v>14</v>
      </c>
    </row>
    <row r="4" spans="1:3">
      <c r="B4" t="s">
        <v>63</v>
      </c>
      <c r="C4" t="s">
        <v>249</v>
      </c>
    </row>
    <row r="5" spans="1:3">
      <c r="A5" t="s">
        <v>248</v>
      </c>
    </row>
  </sheetData>
  <hyperlinks>
    <hyperlink ref="A1" location="Main!A1" display="Main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F1151A-1AB6-4EC7-9FA4-3C32E8ADF1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8C6478-E398-48F8-8D62-6C3EFBE8716A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C6D05E-B893-4633-AB73-49C81EE81F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Model</vt:lpstr>
      <vt:lpstr>Prevacid</vt:lpstr>
      <vt:lpstr>Lupron</vt:lpstr>
      <vt:lpstr>Dexilant</vt:lpstr>
      <vt:lpstr>Nesina</vt:lpstr>
      <vt:lpstr>475</vt:lpstr>
      <vt:lpstr>Velcade</vt:lpstr>
      <vt:lpstr>Actos</vt:lpstr>
      <vt:lpstr>literature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dcterms:created xsi:type="dcterms:W3CDTF">2005-08-31T12:52:14Z</dcterms:created>
  <dcterms:modified xsi:type="dcterms:W3CDTF">2016-10-13T03:23:47Z</dcterms:modified>
</cp:coreProperties>
</file>