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SHKRELI\Dropbox (Turing Pharma)\TuringPharma Shared Drive\MODELS\"/>
    </mc:Choice>
  </mc:AlternateContent>
  <bookViews>
    <workbookView xWindow="285" yWindow="240" windowWidth="13935" windowHeight="10110"/>
  </bookViews>
  <sheets>
    <sheet name="Main" sheetId="1" r:id="rId1"/>
    <sheet name="Model" sheetId="2" r:id="rId2"/>
    <sheet name="eribulin" sheetId="4" r:id="rId3"/>
    <sheet name="Aricept" sheetId="5" r:id="rId4"/>
  </sheets>
  <calcPr calcId="152511"/>
</workbook>
</file>

<file path=xl/calcChain.xml><?xml version="1.0" encoding="utf-8"?>
<calcChain xmlns="http://schemas.openxmlformats.org/spreadsheetml/2006/main">
  <c r="K6" i="1" l="1"/>
  <c r="K5" i="1"/>
  <c r="J22" i="2" l="1"/>
  <c r="K22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W6" i="2"/>
  <c r="X6" i="2" s="1"/>
  <c r="J30" i="2"/>
  <c r="I30" i="2"/>
  <c r="I29" i="2"/>
  <c r="J29" i="2" s="1"/>
  <c r="K29" i="2" s="1"/>
  <c r="I28" i="2"/>
  <c r="H4" i="2"/>
  <c r="H65" i="2" s="1"/>
  <c r="I24" i="2"/>
  <c r="J21" i="2"/>
  <c r="K21" i="2" s="1"/>
  <c r="W21" i="2" s="1"/>
  <c r="X21" i="2" s="1"/>
  <c r="I21" i="2"/>
  <c r="I3" i="2" s="1"/>
  <c r="J23" i="2"/>
  <c r="K23" i="2" s="1"/>
  <c r="I23" i="2"/>
  <c r="V23" i="2"/>
  <c r="V22" i="2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H3" i="2"/>
  <c r="G24" i="2"/>
  <c r="F24" i="2"/>
  <c r="E24" i="2"/>
  <c r="D24" i="2"/>
  <c r="V24" i="2" s="1"/>
  <c r="E45" i="2"/>
  <c r="F45" i="2" s="1"/>
  <c r="E44" i="2"/>
  <c r="F44" i="2" s="1"/>
  <c r="E42" i="2"/>
  <c r="F42" i="2" s="1"/>
  <c r="G42" i="2" s="1"/>
  <c r="E41" i="2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9" i="2"/>
  <c r="F9" i="2" s="1"/>
  <c r="G9" i="2" s="1"/>
  <c r="E32" i="2"/>
  <c r="F32" i="2" s="1"/>
  <c r="G32" i="2" s="1"/>
  <c r="E27" i="2"/>
  <c r="I27" i="2" s="1"/>
  <c r="E21" i="2"/>
  <c r="E3" i="2" s="1"/>
  <c r="H64" i="2"/>
  <c r="H46" i="2"/>
  <c r="D46" i="2"/>
  <c r="H62" i="2"/>
  <c r="H57" i="2"/>
  <c r="D54" i="2"/>
  <c r="H54" i="2"/>
  <c r="D48" i="2"/>
  <c r="D43" i="2"/>
  <c r="D53" i="2" s="1"/>
  <c r="H48" i="2"/>
  <c r="H43" i="2"/>
  <c r="H53" i="2" s="1"/>
  <c r="V54" i="2"/>
  <c r="W7" i="2"/>
  <c r="X7" i="2" s="1"/>
  <c r="Y7" i="2" s="1"/>
  <c r="Z7" i="2" s="1"/>
  <c r="AA7" i="2" s="1"/>
  <c r="AB7" i="2" s="1"/>
  <c r="AC7" i="2" s="1"/>
  <c r="AD7" i="2" s="1"/>
  <c r="AE7" i="2" s="1"/>
  <c r="AF7" i="2" s="1"/>
  <c r="AG7" i="2" s="1"/>
  <c r="W8" i="2"/>
  <c r="X8" i="2" s="1"/>
  <c r="Y8" i="2" s="1"/>
  <c r="Z8" i="2" s="1"/>
  <c r="AA8" i="2" s="1"/>
  <c r="AB8" i="2" s="1"/>
  <c r="AC8" i="2" s="1"/>
  <c r="AD8" i="2" s="1"/>
  <c r="AE8" i="2" s="1"/>
  <c r="AF8" i="2" s="1"/>
  <c r="AG8" i="2" s="1"/>
  <c r="W9" i="2"/>
  <c r="X9" i="2" s="1"/>
  <c r="Y9" i="2" s="1"/>
  <c r="Z9" i="2" s="1"/>
  <c r="AA9" i="2" s="1"/>
  <c r="AB9" i="2" s="1"/>
  <c r="AC9" i="2" s="1"/>
  <c r="AD9" i="2" s="1"/>
  <c r="AE9" i="2" s="1"/>
  <c r="AF9" i="2" s="1"/>
  <c r="AG9" i="2" s="1"/>
  <c r="W10" i="2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W11" i="2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W12" i="2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W13" i="2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W14" i="2"/>
  <c r="W16" i="2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W15" i="2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S30" i="2"/>
  <c r="S4" i="2" s="1"/>
  <c r="T30" i="2"/>
  <c r="T4" i="2" s="1"/>
  <c r="U30" i="2"/>
  <c r="U4" i="2" s="1"/>
  <c r="V30" i="2"/>
  <c r="V4" i="2" s="1"/>
  <c r="S24" i="2"/>
  <c r="S3" i="2" s="1"/>
  <c r="T24" i="2"/>
  <c r="T3" i="2" s="1"/>
  <c r="U24" i="2"/>
  <c r="U3" i="2" s="1"/>
  <c r="V48" i="2"/>
  <c r="V42" i="2"/>
  <c r="V43" i="2" s="1"/>
  <c r="V47" i="2" s="1"/>
  <c r="K4" i="1"/>
  <c r="M40" i="2"/>
  <c r="M41" i="2" s="1"/>
  <c r="R40" i="2"/>
  <c r="Q40" i="2"/>
  <c r="P40" i="2"/>
  <c r="O40" i="2"/>
  <c r="O41" i="2" s="1"/>
  <c r="N40" i="2"/>
  <c r="N41" i="2" s="1"/>
  <c r="D47" i="2" l="1"/>
  <c r="F21" i="2"/>
  <c r="F3" i="2" s="1"/>
  <c r="E43" i="2"/>
  <c r="D3" i="2"/>
  <c r="W23" i="2"/>
  <c r="E47" i="2"/>
  <c r="E53" i="2"/>
  <c r="X3" i="2"/>
  <c r="Y21" i="2"/>
  <c r="Y6" i="2"/>
  <c r="Z6" i="2" s="1"/>
  <c r="AA6" i="2" s="1"/>
  <c r="AB6" i="2" s="1"/>
  <c r="AC6" i="2" s="1"/>
  <c r="AD6" i="2" s="1"/>
  <c r="AE6" i="2" s="1"/>
  <c r="AF6" i="2" s="1"/>
  <c r="AG6" i="2" s="1"/>
  <c r="I4" i="2"/>
  <c r="G44" i="2"/>
  <c r="F46" i="2"/>
  <c r="G45" i="2"/>
  <c r="W28" i="2"/>
  <c r="X28" i="2" s="1"/>
  <c r="Y28" i="2" s="1"/>
  <c r="E54" i="2"/>
  <c r="K30" i="2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E46" i="2"/>
  <c r="F41" i="2"/>
  <c r="F27" i="2"/>
  <c r="J24" i="2"/>
  <c r="K24" i="2" s="1"/>
  <c r="K3" i="2" s="1"/>
  <c r="J28" i="2"/>
  <c r="K28" i="2" s="1"/>
  <c r="W29" i="2"/>
  <c r="V53" i="2"/>
  <c r="H47" i="2"/>
  <c r="H49" i="2" s="1"/>
  <c r="D49" i="2"/>
  <c r="V49" i="2"/>
  <c r="K7" i="1"/>
  <c r="G21" i="2" l="1"/>
  <c r="G3" i="2" s="1"/>
  <c r="V21" i="2"/>
  <c r="V3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V51" i="2"/>
  <c r="V55" i="2"/>
  <c r="G46" i="2"/>
  <c r="G41" i="2"/>
  <c r="G43" i="2" s="1"/>
  <c r="F43" i="2"/>
  <c r="F53" i="2" s="1"/>
  <c r="F47" i="2"/>
  <c r="F54" i="2"/>
  <c r="W24" i="2"/>
  <c r="Z21" i="2"/>
  <c r="Y3" i="2"/>
  <c r="J3" i="2"/>
  <c r="W3" i="2" s="1"/>
  <c r="J27" i="2"/>
  <c r="G27" i="2"/>
  <c r="K27" i="2" s="1"/>
  <c r="K4" i="2" s="1"/>
  <c r="W22" i="2"/>
  <c r="D51" i="2"/>
  <c r="D55" i="2"/>
  <c r="H51" i="2"/>
  <c r="H55" i="2"/>
  <c r="AA21" i="2" l="1"/>
  <c r="Z3" i="2"/>
  <c r="J4" i="2"/>
  <c r="W4" i="2" s="1"/>
  <c r="W41" i="2" s="1"/>
  <c r="W27" i="2"/>
  <c r="X27" i="2" s="1"/>
  <c r="G47" i="2"/>
  <c r="W44" i="2" l="1"/>
  <c r="W43" i="2"/>
  <c r="W42" i="2" s="1"/>
  <c r="AB21" i="2"/>
  <c r="AA3" i="2"/>
  <c r="X4" i="2"/>
  <c r="X41" i="2" s="1"/>
  <c r="Y27" i="2"/>
  <c r="W47" i="2" l="1"/>
  <c r="W49" i="2" s="1"/>
  <c r="W50" i="2" s="1"/>
  <c r="W51" i="2" s="1"/>
  <c r="AC21" i="2"/>
  <c r="AB3" i="2"/>
  <c r="X43" i="2"/>
  <c r="X44" i="2"/>
  <c r="Y4" i="2"/>
  <c r="Y41" i="2" s="1"/>
  <c r="Z27" i="2"/>
  <c r="X42" i="2" l="1"/>
  <c r="X47" i="2"/>
  <c r="X49" i="2" s="1"/>
  <c r="X50" i="2" s="1"/>
  <c r="X51" i="2" s="1"/>
  <c r="AA27" i="2"/>
  <c r="Z4" i="2"/>
  <c r="Z41" i="2" s="1"/>
  <c r="Y43" i="2"/>
  <c r="Y44" i="2"/>
  <c r="Y42" i="2"/>
  <c r="AD21" i="2"/>
  <c r="AC3" i="2"/>
  <c r="AE21" i="2" l="1"/>
  <c r="AD3" i="2"/>
  <c r="Z44" i="2"/>
  <c r="Z43" i="2"/>
  <c r="AB27" i="2"/>
  <c r="AA4" i="2"/>
  <c r="AA41" i="2" s="1"/>
  <c r="Y47" i="2"/>
  <c r="Y49" i="2" s="1"/>
  <c r="Y50" i="2" s="1"/>
  <c r="Y51" i="2" s="1"/>
  <c r="AC27" i="2" l="1"/>
  <c r="AB4" i="2"/>
  <c r="AB41" i="2" s="1"/>
  <c r="Z42" i="2"/>
  <c r="Z47" i="2"/>
  <c r="Z49" i="2" s="1"/>
  <c r="Z50" i="2" s="1"/>
  <c r="Z51" i="2" s="1"/>
  <c r="AA43" i="2"/>
  <c r="AA44" i="2"/>
  <c r="AF21" i="2"/>
  <c r="AE3" i="2"/>
  <c r="AG21" i="2" l="1"/>
  <c r="AG3" i="2" s="1"/>
  <c r="AF3" i="2"/>
  <c r="AB43" i="2"/>
  <c r="AB44" i="2"/>
  <c r="AA42" i="2"/>
  <c r="AA47" i="2"/>
  <c r="AA49" i="2" s="1"/>
  <c r="AA50" i="2" s="1"/>
  <c r="AA51" i="2" s="1"/>
  <c r="AD27" i="2"/>
  <c r="AC4" i="2"/>
  <c r="AC41" i="2" s="1"/>
  <c r="AE27" i="2" l="1"/>
  <c r="AD4" i="2"/>
  <c r="AD41" i="2" s="1"/>
  <c r="AC43" i="2"/>
  <c r="AC44" i="2"/>
  <c r="AB42" i="2"/>
  <c r="AB47" i="2"/>
  <c r="AB49" i="2" s="1"/>
  <c r="AB50" i="2" s="1"/>
  <c r="AB51" i="2" s="1"/>
  <c r="AC47" i="2" l="1"/>
  <c r="AC49" i="2" s="1"/>
  <c r="AC50" i="2" s="1"/>
  <c r="AC51" i="2" s="1"/>
  <c r="AD44" i="2"/>
  <c r="AD43" i="2"/>
  <c r="AC42" i="2"/>
  <c r="AF27" i="2"/>
  <c r="AE4" i="2"/>
  <c r="AE41" i="2" s="1"/>
  <c r="AE44" i="2" l="1"/>
  <c r="AE43" i="2"/>
  <c r="AE47" i="2" s="1"/>
  <c r="AE49" i="2" s="1"/>
  <c r="AE50" i="2" s="1"/>
  <c r="AE51" i="2" s="1"/>
  <c r="AD42" i="2"/>
  <c r="AD47" i="2"/>
  <c r="AD49" i="2" s="1"/>
  <c r="AD50" i="2" s="1"/>
  <c r="AD51" i="2" s="1"/>
  <c r="AG27" i="2"/>
  <c r="AG4" i="2" s="1"/>
  <c r="AG41" i="2" s="1"/>
  <c r="AF4" i="2"/>
  <c r="AF41" i="2" s="1"/>
  <c r="AF44" i="2" l="1"/>
  <c r="AF43" i="2"/>
  <c r="AG44" i="2"/>
  <c r="AG43" i="2"/>
  <c r="AE42" i="2"/>
  <c r="AG42" i="2" l="1"/>
  <c r="AG47" i="2"/>
  <c r="AG49" i="2" s="1"/>
  <c r="AG50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AF42" i="2"/>
  <c r="AF47" i="2"/>
  <c r="AF49" i="2" s="1"/>
  <c r="AF50" i="2" s="1"/>
  <c r="AF51" i="2" s="1"/>
  <c r="AJ55" i="2" l="1"/>
  <c r="AJ56" i="2" s="1"/>
</calcChain>
</file>

<file path=xl/comments1.xml><?xml version="1.0" encoding="utf-8"?>
<comments xmlns="http://schemas.openxmlformats.org/spreadsheetml/2006/main">
  <authors>
    <author>MSMB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11/2010 Expiry</t>
        </r>
      </text>
    </comment>
  </commentList>
</comments>
</file>

<file path=xl/sharedStrings.xml><?xml version="1.0" encoding="utf-8"?>
<sst xmlns="http://schemas.openxmlformats.org/spreadsheetml/2006/main" count="163" uniqueCount="149">
  <si>
    <t>Name</t>
  </si>
  <si>
    <t>Indication</t>
  </si>
  <si>
    <t>Economics</t>
  </si>
  <si>
    <t>Phase</t>
  </si>
  <si>
    <t>Competition</t>
  </si>
  <si>
    <t>Selbex</t>
  </si>
  <si>
    <t>Ulcer</t>
  </si>
  <si>
    <t>?</t>
  </si>
  <si>
    <t>Methycobal</t>
  </si>
  <si>
    <t>Iomeron</t>
  </si>
  <si>
    <t>Azeptin</t>
  </si>
  <si>
    <t>Myonal</t>
  </si>
  <si>
    <t>Juvela nicotinate</t>
  </si>
  <si>
    <t>Nitorol R</t>
  </si>
  <si>
    <t>Glakay</t>
  </si>
  <si>
    <t>Inhibace</t>
  </si>
  <si>
    <t>Rulid</t>
  </si>
  <si>
    <t>Aricept</t>
  </si>
  <si>
    <t>Eisai US</t>
  </si>
  <si>
    <t>Aricept Japan</t>
  </si>
  <si>
    <t>Pariet Japan</t>
  </si>
  <si>
    <t>Pariet Export</t>
  </si>
  <si>
    <t>Aricept Export</t>
  </si>
  <si>
    <t>Other Drugs</t>
  </si>
  <si>
    <t>Cosmetics/Other</t>
  </si>
  <si>
    <t>Total</t>
  </si>
  <si>
    <t>Royalties</t>
  </si>
  <si>
    <t>Gurucagon</t>
  </si>
  <si>
    <t>Drugs</t>
  </si>
  <si>
    <t>E7820</t>
  </si>
  <si>
    <t>Cancer</t>
  </si>
  <si>
    <t>100%?</t>
  </si>
  <si>
    <t>II</t>
  </si>
  <si>
    <t>Approved</t>
  </si>
  <si>
    <t>Class</t>
  </si>
  <si>
    <t>E5555</t>
  </si>
  <si>
    <t>Anti-platelet</t>
  </si>
  <si>
    <t>IP</t>
  </si>
  <si>
    <t>E7389 (eribulin)</t>
  </si>
  <si>
    <t>E5564</t>
  </si>
  <si>
    <t>Severe Sepsis</t>
  </si>
  <si>
    <t>ACS</t>
  </si>
  <si>
    <t>E2012</t>
  </si>
  <si>
    <t>Alzheimer's</t>
  </si>
  <si>
    <t>Gamma-secretase</t>
  </si>
  <si>
    <t>Aciphex ER</t>
  </si>
  <si>
    <t>VEGFa2</t>
  </si>
  <si>
    <t>Shares</t>
  </si>
  <si>
    <t>Dacogen</t>
  </si>
  <si>
    <t>MDS</t>
  </si>
  <si>
    <t>JNJ</t>
  </si>
  <si>
    <t>Epilepsy</t>
  </si>
  <si>
    <t>III</t>
  </si>
  <si>
    <t>Lunesta</t>
  </si>
  <si>
    <t>Insomnia</t>
  </si>
  <si>
    <t>SEPR</t>
  </si>
  <si>
    <t>Price JPY</t>
  </si>
  <si>
    <t>MC JPY</t>
  </si>
  <si>
    <t>Cash JPY</t>
  </si>
  <si>
    <t>Debt JPY</t>
  </si>
  <si>
    <t>EV JPY</t>
  </si>
  <si>
    <t>MORAb-003</t>
  </si>
  <si>
    <t>MORAb-009</t>
  </si>
  <si>
    <t>TLR4, Endotoxin antagonist</t>
  </si>
  <si>
    <t>AMPA antagonist</t>
  </si>
  <si>
    <t>mBC</t>
  </si>
  <si>
    <t>Microtubule</t>
  </si>
  <si>
    <t>Acetylcholinesterase</t>
  </si>
  <si>
    <t>Dimebon</t>
  </si>
  <si>
    <t>Aloxi</t>
  </si>
  <si>
    <t>CINV</t>
  </si>
  <si>
    <t>Aciphex/Pariet</t>
  </si>
  <si>
    <t>PPI</t>
  </si>
  <si>
    <t>GERD</t>
  </si>
  <si>
    <t>Main</t>
  </si>
  <si>
    <t>Brand Name</t>
  </si>
  <si>
    <t>Generic Name</t>
  </si>
  <si>
    <t>eribulin mesylate</t>
  </si>
  <si>
    <t>Clinical Trials</t>
  </si>
  <si>
    <t>Phase III EMBRACE</t>
  </si>
  <si>
    <t>13.12m vs 10.65m p=0.04.</t>
  </si>
  <si>
    <t>PFE</t>
  </si>
  <si>
    <t>Banzel</t>
  </si>
  <si>
    <t>Zonegran</t>
  </si>
  <si>
    <t>Fragmin</t>
  </si>
  <si>
    <t>Lusedra</t>
  </si>
  <si>
    <t>AKR-501</t>
  </si>
  <si>
    <t>Thrombocytopenia</t>
  </si>
  <si>
    <t>Filed</t>
  </si>
  <si>
    <t>Ovarian Cancer</t>
  </si>
  <si>
    <t>Mesothelioma</t>
  </si>
  <si>
    <t>Net Income</t>
  </si>
  <si>
    <t>Taxes</t>
  </si>
  <si>
    <t>Pretax Income</t>
  </si>
  <si>
    <t>Interest Income</t>
  </si>
  <si>
    <t>Operating Income</t>
  </si>
  <si>
    <t>SG&amp;A</t>
  </si>
  <si>
    <t>Gross Profit</t>
  </si>
  <si>
    <t>COGS</t>
  </si>
  <si>
    <t>Aricept Total</t>
  </si>
  <si>
    <t>Aciphex Total</t>
  </si>
  <si>
    <t>Aricept US</t>
  </si>
  <si>
    <t>Aricept EU</t>
  </si>
  <si>
    <t>Aricept Other</t>
  </si>
  <si>
    <t>Aciphex US</t>
  </si>
  <si>
    <t>Aciphex EU</t>
  </si>
  <si>
    <t>Aciphex Other</t>
  </si>
  <si>
    <t>Aloxi US</t>
  </si>
  <si>
    <t>Dacogen US</t>
  </si>
  <si>
    <t>Zonegran US</t>
  </si>
  <si>
    <t>Zonegran Total</t>
  </si>
  <si>
    <t>Other US</t>
  </si>
  <si>
    <t>Methycobal Total</t>
  </si>
  <si>
    <t>Methycobal Japan</t>
  </si>
  <si>
    <t>Methycobal Other</t>
  </si>
  <si>
    <t>Zonegran EU</t>
  </si>
  <si>
    <t>Zonegran Asia</t>
  </si>
  <si>
    <t>Selbex Japan</t>
  </si>
  <si>
    <t>Actonel Japan</t>
  </si>
  <si>
    <t>Warfarin Japan</t>
  </si>
  <si>
    <t>Myonal Japan</t>
  </si>
  <si>
    <t>Iomeron Japan</t>
  </si>
  <si>
    <t>Humira Japan</t>
  </si>
  <si>
    <t>Glakay Japan</t>
  </si>
  <si>
    <t>Other Japan</t>
  </si>
  <si>
    <t>Gross Margin</t>
  </si>
  <si>
    <t>SG&amp;A %</t>
  </si>
  <si>
    <t>Tax Rate</t>
  </si>
  <si>
    <t>Discount</t>
  </si>
  <si>
    <t>NPV</t>
  </si>
  <si>
    <t>Maturity</t>
  </si>
  <si>
    <t>Share</t>
  </si>
  <si>
    <t>lorcaserin</t>
  </si>
  <si>
    <t>Obesity</t>
  </si>
  <si>
    <t>ARNA</t>
  </si>
  <si>
    <t>fasudil</t>
  </si>
  <si>
    <t>PAH</t>
  </si>
  <si>
    <t>Revenue Y/Y</t>
  </si>
  <si>
    <t>CFFO</t>
  </si>
  <si>
    <t>Capex</t>
  </si>
  <si>
    <t>FCF</t>
  </si>
  <si>
    <t>R&amp;D</t>
  </si>
  <si>
    <t>Operating Expenses</t>
  </si>
  <si>
    <t>Aricept % of Revenue</t>
  </si>
  <si>
    <t>Aciphex % of Revenue</t>
  </si>
  <si>
    <t>Filed petition 8/2010 asking to revoke TEVA's final approval. Final patent expires 11/25/2010.</t>
  </si>
  <si>
    <t>4895841 is COM patent, TEVA believes FTF.</t>
  </si>
  <si>
    <t>Q214</t>
  </si>
  <si>
    <t>Fycompa (perampanel)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</si>
</sst>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m/d/yy;@"/>
    <numFmt numFmtId="166" formatCode="#,##0.0"/>
  </numFmts>
  <fonts count="8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2" borderId="0" xfId="0" applyNumberFormat="1" applyFill="1"/>
    <xf numFmtId="0" fontId="2" fillId="2" borderId="0" xfId="0" applyFont="1" applyFill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1" applyAlignment="1" applyProtection="1"/>
    <xf numFmtId="0" fontId="4" fillId="2" borderId="4" xfId="1" applyFill="1" applyBorder="1" applyAlignment="1" applyProtection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2" fillId="2" borderId="0" xfId="0" applyNumberFormat="1" applyFont="1" applyFill="1" applyBorder="1" applyAlignment="1">
      <alignment horizontal="center"/>
    </xf>
    <xf numFmtId="0" fontId="2" fillId="2" borderId="4" xfId="0" applyFont="1" applyFill="1" applyBorder="1"/>
    <xf numFmtId="0" fontId="2" fillId="2" borderId="0" xfId="0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4" fontId="2" fillId="0" borderId="0" xfId="0" applyNumberFormat="1" applyFont="1"/>
    <xf numFmtId="165" fontId="0" fillId="0" borderId="0" xfId="0" applyNumberFormat="1" applyAlignment="1">
      <alignment horizontal="right"/>
    </xf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Alignment="1">
      <alignment horizontal="right"/>
    </xf>
    <xf numFmtId="166" fontId="5" fillId="0" borderId="0" xfId="0" applyNumberFormat="1" applyFont="1"/>
    <xf numFmtId="166" fontId="5" fillId="0" borderId="0" xfId="0" applyNumberFormat="1" applyFont="1" applyAlignment="1">
      <alignment horizontal="right"/>
    </xf>
    <xf numFmtId="14" fontId="0" fillId="2" borderId="5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0</xdr:row>
      <xdr:rowOff>38103</xdr:rowOff>
    </xdr:from>
    <xdr:to>
      <xdr:col>22</xdr:col>
      <xdr:colOff>47632</xdr:colOff>
      <xdr:row>83</xdr:row>
      <xdr:rowOff>152404</xdr:rowOff>
    </xdr:to>
    <xdr:cxnSp macro="">
      <xdr:nvCxnSpPr>
        <xdr:cNvPr id="3" name="Straight Connector 2"/>
        <xdr:cNvCxnSpPr/>
      </xdr:nvCxnSpPr>
      <xdr:spPr>
        <a:xfrm rot="5400000">
          <a:off x="6577016" y="6653212"/>
          <a:ext cx="13230226" cy="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0</xdr:row>
      <xdr:rowOff>0</xdr:rowOff>
    </xdr:from>
    <xdr:to>
      <xdr:col>8</xdr:col>
      <xdr:colOff>38107</xdr:colOff>
      <xdr:row>83</xdr:row>
      <xdr:rowOff>114301</xdr:rowOff>
    </xdr:to>
    <xdr:cxnSp macro="">
      <xdr:nvCxnSpPr>
        <xdr:cNvPr id="10" name="Straight Connector 9"/>
        <xdr:cNvCxnSpPr/>
      </xdr:nvCxnSpPr>
      <xdr:spPr>
        <a:xfrm rot="5400000">
          <a:off x="-1700209" y="6615109"/>
          <a:ext cx="13230226" cy="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abSelected="1" workbookViewId="0">
      <selection activeCell="C16" sqref="C16"/>
    </sheetView>
  </sheetViews>
  <sheetFormatPr defaultColWidth="9.1328125" defaultRowHeight="12.75"/>
  <cols>
    <col min="1" max="1" width="3.86328125" style="1" customWidth="1"/>
    <col min="2" max="2" width="20.33203125" style="1" customWidth="1"/>
    <col min="3" max="3" width="17.73046875" style="1" customWidth="1"/>
    <col min="4" max="4" width="17.3984375" style="1" customWidth="1"/>
    <col min="5" max="5" width="8.3984375" style="1" customWidth="1"/>
    <col min="6" max="6" width="16.3984375" style="1" bestFit="1" customWidth="1"/>
    <col min="7" max="7" width="17.1328125" style="1" customWidth="1"/>
    <col min="8" max="8" width="15.59765625" style="1" customWidth="1"/>
    <col min="9" max="9" width="4.73046875" style="1" customWidth="1"/>
    <col min="10" max="10" width="10.1328125" style="1" customWidth="1"/>
    <col min="11" max="11" width="9.3984375" style="1" customWidth="1"/>
    <col min="12" max="12" width="7.1328125" style="1" customWidth="1"/>
    <col min="13" max="16384" width="9.1328125" style="1"/>
  </cols>
  <sheetData>
    <row r="2" spans="2:12">
      <c r="B2" s="2" t="s">
        <v>0</v>
      </c>
      <c r="C2" s="3" t="s">
        <v>1</v>
      </c>
      <c r="D2" s="3" t="s">
        <v>2</v>
      </c>
      <c r="E2" s="3" t="s">
        <v>33</v>
      </c>
      <c r="F2" s="3" t="s">
        <v>34</v>
      </c>
      <c r="G2" s="3" t="s">
        <v>4</v>
      </c>
      <c r="H2" s="4" t="s">
        <v>37</v>
      </c>
      <c r="J2" s="1" t="s">
        <v>56</v>
      </c>
      <c r="K2" s="13">
        <v>4325</v>
      </c>
    </row>
    <row r="3" spans="2:12">
      <c r="B3" s="18" t="s">
        <v>17</v>
      </c>
      <c r="C3" s="6" t="s">
        <v>43</v>
      </c>
      <c r="D3" s="21" t="s">
        <v>81</v>
      </c>
      <c r="E3" s="6"/>
      <c r="F3" s="6" t="s">
        <v>67</v>
      </c>
      <c r="G3" s="6" t="s">
        <v>68</v>
      </c>
      <c r="H3" s="38">
        <v>40507</v>
      </c>
      <c r="J3" s="1" t="s">
        <v>47</v>
      </c>
      <c r="K3" s="13">
        <v>285.274</v>
      </c>
      <c r="L3" s="14" t="s">
        <v>147</v>
      </c>
    </row>
    <row r="4" spans="2:12">
      <c r="B4" s="5" t="s">
        <v>71</v>
      </c>
      <c r="C4" s="6" t="s">
        <v>73</v>
      </c>
      <c r="D4" s="7" t="s">
        <v>50</v>
      </c>
      <c r="E4" s="6"/>
      <c r="F4" s="6" t="s">
        <v>72</v>
      </c>
      <c r="G4" s="6"/>
      <c r="H4" s="8">
        <v>2013</v>
      </c>
      <c r="J4" s="1" t="s">
        <v>57</v>
      </c>
      <c r="K4" s="13">
        <f>K3*K2</f>
        <v>1233810.05</v>
      </c>
    </row>
    <row r="5" spans="2:12">
      <c r="B5" s="22" t="s">
        <v>82</v>
      </c>
      <c r="C5" s="6"/>
      <c r="D5" s="7"/>
      <c r="E5" s="6"/>
      <c r="F5" s="6"/>
      <c r="G5" s="6"/>
      <c r="H5" s="8"/>
      <c r="J5" s="1" t="s">
        <v>58</v>
      </c>
      <c r="K5" s="13">
        <f>127147+21917+40735</f>
        <v>189799</v>
      </c>
      <c r="L5" s="14" t="s">
        <v>147</v>
      </c>
    </row>
    <row r="6" spans="2:12">
      <c r="B6" s="22" t="s">
        <v>83</v>
      </c>
      <c r="C6" s="6"/>
      <c r="D6" s="7"/>
      <c r="E6" s="6"/>
      <c r="F6" s="6"/>
      <c r="G6" s="6"/>
      <c r="H6" s="8"/>
      <c r="J6" s="1" t="s">
        <v>59</v>
      </c>
      <c r="K6" s="13">
        <f>85814+4594+3107+155165</f>
        <v>248680</v>
      </c>
      <c r="L6" s="14" t="s">
        <v>147</v>
      </c>
    </row>
    <row r="7" spans="2:12">
      <c r="B7" s="22" t="s">
        <v>84</v>
      </c>
      <c r="C7" s="6"/>
      <c r="D7" s="7"/>
      <c r="E7" s="6"/>
      <c r="F7" s="6"/>
      <c r="G7" s="6"/>
      <c r="H7" s="8"/>
      <c r="J7" s="1" t="s">
        <v>60</v>
      </c>
      <c r="K7" s="13">
        <f>K4-K5+K6</f>
        <v>1292691.05</v>
      </c>
    </row>
    <row r="8" spans="2:12">
      <c r="B8" s="22" t="s">
        <v>85</v>
      </c>
      <c r="C8" s="6"/>
      <c r="D8" s="7"/>
      <c r="E8" s="6"/>
      <c r="F8" s="6"/>
      <c r="G8" s="6"/>
      <c r="H8" s="8"/>
      <c r="K8" s="13"/>
    </row>
    <row r="9" spans="2:12">
      <c r="B9" s="5" t="s">
        <v>5</v>
      </c>
      <c r="C9" s="6" t="s">
        <v>6</v>
      </c>
      <c r="D9" s="7" t="s">
        <v>7</v>
      </c>
      <c r="E9" s="6"/>
      <c r="F9" s="6"/>
      <c r="G9" s="6"/>
      <c r="H9" s="8"/>
    </row>
    <row r="10" spans="2:12">
      <c r="B10" s="5" t="s">
        <v>8</v>
      </c>
      <c r="C10" s="6"/>
      <c r="D10" s="7"/>
      <c r="E10" s="6"/>
      <c r="F10" s="6"/>
      <c r="G10" s="6"/>
      <c r="H10" s="8"/>
    </row>
    <row r="11" spans="2:12">
      <c r="B11" s="5" t="s">
        <v>9</v>
      </c>
      <c r="C11" s="6"/>
      <c r="D11" s="7"/>
      <c r="E11" s="6"/>
      <c r="F11" s="6"/>
      <c r="G11" s="6"/>
      <c r="H11" s="8"/>
    </row>
    <row r="12" spans="2:12">
      <c r="B12" s="5" t="s">
        <v>10</v>
      </c>
      <c r="C12" s="6"/>
      <c r="D12" s="7"/>
      <c r="E12" s="6"/>
      <c r="F12" s="6"/>
      <c r="G12" s="6"/>
      <c r="H12" s="8"/>
    </row>
    <row r="13" spans="2:12">
      <c r="B13" s="5" t="s">
        <v>11</v>
      </c>
      <c r="C13" s="6"/>
      <c r="D13" s="7"/>
      <c r="E13" s="6"/>
      <c r="F13" s="6"/>
      <c r="G13" s="6"/>
      <c r="H13" s="8"/>
    </row>
    <row r="14" spans="2:12">
      <c r="B14" s="5" t="s">
        <v>12</v>
      </c>
      <c r="C14" s="6"/>
      <c r="D14" s="7"/>
      <c r="E14" s="6"/>
      <c r="F14" s="6"/>
      <c r="G14" s="6"/>
      <c r="H14" s="8"/>
    </row>
    <row r="15" spans="2:12">
      <c r="B15" s="5" t="s">
        <v>13</v>
      </c>
      <c r="C15" s="6"/>
      <c r="D15" s="7"/>
      <c r="E15" s="6"/>
      <c r="F15" s="6"/>
      <c r="G15" s="6"/>
      <c r="H15" s="8"/>
    </row>
    <row r="16" spans="2:12">
      <c r="B16" s="5" t="s">
        <v>148</v>
      </c>
      <c r="C16" s="6" t="s">
        <v>51</v>
      </c>
      <c r="D16" s="7">
        <v>1</v>
      </c>
      <c r="E16" s="6"/>
      <c r="F16" s="6" t="s">
        <v>64</v>
      </c>
      <c r="G16" s="6"/>
      <c r="H16" s="8"/>
    </row>
    <row r="17" spans="2:8">
      <c r="B17" s="22" t="s">
        <v>132</v>
      </c>
      <c r="C17" s="23" t="s">
        <v>133</v>
      </c>
      <c r="D17" s="21" t="s">
        <v>134</v>
      </c>
      <c r="E17" s="23"/>
      <c r="F17" s="23"/>
      <c r="G17" s="6"/>
      <c r="H17" s="8"/>
    </row>
    <row r="18" spans="2:8">
      <c r="B18" s="5" t="s">
        <v>14</v>
      </c>
      <c r="C18" s="6"/>
      <c r="D18" s="7"/>
      <c r="E18" s="6"/>
      <c r="F18" s="6"/>
      <c r="G18" s="6"/>
      <c r="H18" s="8"/>
    </row>
    <row r="19" spans="2:8">
      <c r="B19" s="5" t="s">
        <v>15</v>
      </c>
      <c r="C19" s="6"/>
      <c r="D19" s="7"/>
      <c r="E19" s="6"/>
      <c r="F19" s="6"/>
      <c r="G19" s="6"/>
      <c r="H19" s="8"/>
    </row>
    <row r="20" spans="2:8">
      <c r="B20" s="5" t="s">
        <v>69</v>
      </c>
      <c r="C20" s="6" t="s">
        <v>70</v>
      </c>
      <c r="D20" s="7"/>
      <c r="E20" s="6"/>
      <c r="F20" s="6"/>
      <c r="G20" s="6"/>
      <c r="H20" s="8"/>
    </row>
    <row r="21" spans="2:8">
      <c r="B21" s="5" t="s">
        <v>16</v>
      </c>
      <c r="C21" s="6"/>
      <c r="D21" s="7"/>
      <c r="E21" s="6"/>
      <c r="F21" s="6"/>
      <c r="G21" s="6"/>
      <c r="H21" s="8"/>
    </row>
    <row r="22" spans="2:8">
      <c r="B22" s="9" t="s">
        <v>48</v>
      </c>
      <c r="C22" s="10" t="s">
        <v>49</v>
      </c>
      <c r="D22" s="11" t="s">
        <v>50</v>
      </c>
      <c r="E22" s="10"/>
      <c r="F22" s="10"/>
      <c r="G22" s="10"/>
      <c r="H22" s="12"/>
    </row>
    <row r="23" spans="2:8">
      <c r="B23" s="2"/>
      <c r="C23" s="3"/>
      <c r="D23" s="3"/>
      <c r="E23" s="3" t="s">
        <v>3</v>
      </c>
      <c r="F23" s="3"/>
      <c r="G23" s="3"/>
      <c r="H23" s="4"/>
    </row>
    <row r="24" spans="2:8">
      <c r="B24" s="18" t="s">
        <v>38</v>
      </c>
      <c r="C24" s="6" t="s">
        <v>65</v>
      </c>
      <c r="D24" s="7">
        <v>1</v>
      </c>
      <c r="E24" s="23" t="s">
        <v>88</v>
      </c>
      <c r="F24" s="6" t="s">
        <v>66</v>
      </c>
      <c r="G24" s="6"/>
      <c r="H24" s="8"/>
    </row>
    <row r="25" spans="2:8">
      <c r="B25" s="5" t="s">
        <v>61</v>
      </c>
      <c r="C25" s="23" t="s">
        <v>89</v>
      </c>
      <c r="D25" s="7"/>
      <c r="E25" s="23" t="s">
        <v>52</v>
      </c>
      <c r="F25" s="6"/>
      <c r="G25" s="6"/>
      <c r="H25" s="8"/>
    </row>
    <row r="26" spans="2:8">
      <c r="B26" s="5" t="s">
        <v>39</v>
      </c>
      <c r="C26" s="6" t="s">
        <v>40</v>
      </c>
      <c r="D26" s="7">
        <v>1</v>
      </c>
      <c r="E26" s="6" t="s">
        <v>52</v>
      </c>
      <c r="F26" s="6" t="s">
        <v>63</v>
      </c>
      <c r="G26" s="6"/>
      <c r="H26" s="8"/>
    </row>
    <row r="27" spans="2:8">
      <c r="B27" s="5" t="s">
        <v>29</v>
      </c>
      <c r="C27" s="6" t="s">
        <v>30</v>
      </c>
      <c r="D27" s="7" t="s">
        <v>31</v>
      </c>
      <c r="E27" s="6" t="s">
        <v>32</v>
      </c>
      <c r="F27" s="6" t="s">
        <v>46</v>
      </c>
      <c r="G27" s="6"/>
      <c r="H27" s="8"/>
    </row>
    <row r="28" spans="2:8">
      <c r="B28" s="5" t="s">
        <v>35</v>
      </c>
      <c r="C28" s="6" t="s">
        <v>41</v>
      </c>
      <c r="D28" s="7"/>
      <c r="E28" s="6" t="s">
        <v>32</v>
      </c>
      <c r="F28" s="6" t="s">
        <v>36</v>
      </c>
      <c r="G28" s="6"/>
      <c r="H28" s="8"/>
    </row>
    <row r="29" spans="2:8">
      <c r="B29" s="22" t="s">
        <v>86</v>
      </c>
      <c r="C29" s="23" t="s">
        <v>87</v>
      </c>
      <c r="D29" s="7"/>
      <c r="E29" s="6"/>
      <c r="F29" s="6"/>
      <c r="G29" s="6"/>
      <c r="H29" s="8"/>
    </row>
    <row r="30" spans="2:8">
      <c r="B30" s="5" t="s">
        <v>62</v>
      </c>
      <c r="C30" s="23" t="s">
        <v>90</v>
      </c>
      <c r="D30" s="7"/>
      <c r="E30" s="23" t="s">
        <v>32</v>
      </c>
      <c r="F30" s="6"/>
      <c r="G30" s="6"/>
      <c r="H30" s="8"/>
    </row>
    <row r="31" spans="2:8">
      <c r="B31" s="5" t="s">
        <v>42</v>
      </c>
      <c r="C31" s="6" t="s">
        <v>43</v>
      </c>
      <c r="D31" s="7"/>
      <c r="E31" s="6"/>
      <c r="F31" s="6" t="s">
        <v>44</v>
      </c>
      <c r="G31" s="6"/>
      <c r="H31" s="8"/>
    </row>
    <row r="32" spans="2:8">
      <c r="B32" s="5" t="s">
        <v>135</v>
      </c>
      <c r="C32" s="6" t="s">
        <v>136</v>
      </c>
      <c r="D32" s="7"/>
      <c r="E32" s="6"/>
      <c r="F32" s="6"/>
      <c r="G32" s="6"/>
      <c r="H32" s="8"/>
    </row>
    <row r="33" spans="2:8">
      <c r="B33" s="5" t="s">
        <v>45</v>
      </c>
      <c r="C33" s="6"/>
      <c r="D33" s="7"/>
      <c r="E33" s="6"/>
      <c r="F33" s="6"/>
      <c r="G33" s="6"/>
      <c r="H33" s="8"/>
    </row>
    <row r="34" spans="2:8">
      <c r="B34" s="9" t="s">
        <v>53</v>
      </c>
      <c r="C34" s="10" t="s">
        <v>54</v>
      </c>
      <c r="D34" s="11" t="s">
        <v>55</v>
      </c>
      <c r="E34" s="10" t="s">
        <v>52</v>
      </c>
      <c r="F34" s="10"/>
      <c r="G34" s="10"/>
      <c r="H34" s="12"/>
    </row>
  </sheetData>
  <phoneticPr fontId="1" type="noConversion"/>
  <hyperlinks>
    <hyperlink ref="B24" location="eribulin!A1" display="E7389 (eribulin)"/>
    <hyperlink ref="B3" location="Aricept!A1" display="Aricept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6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1" sqref="K21"/>
    </sheetView>
  </sheetViews>
  <sheetFormatPr defaultRowHeight="12.75"/>
  <cols>
    <col min="1" max="1" width="5.3984375" customWidth="1"/>
    <col min="2" max="2" width="20" customWidth="1"/>
    <col min="3" max="22" width="8.86328125" style="20" customWidth="1"/>
    <col min="36" max="36" width="10.73046875" bestFit="1" customWidth="1"/>
  </cols>
  <sheetData>
    <row r="1" spans="1:33">
      <c r="A1" s="17" t="s">
        <v>74</v>
      </c>
    </row>
    <row r="2" spans="1:33">
      <c r="C2" s="32">
        <v>441639</v>
      </c>
      <c r="D2" s="32">
        <v>39994</v>
      </c>
      <c r="E2" s="32">
        <v>40086</v>
      </c>
      <c r="F2" s="32">
        <v>40178</v>
      </c>
      <c r="G2" s="32">
        <v>40268</v>
      </c>
      <c r="H2" s="32">
        <v>40359</v>
      </c>
      <c r="I2" s="32">
        <v>40451</v>
      </c>
      <c r="J2" s="32">
        <v>40543</v>
      </c>
      <c r="K2" s="32">
        <v>40633</v>
      </c>
      <c r="L2" s="19"/>
      <c r="M2" s="19">
        <v>36951</v>
      </c>
      <c r="N2" s="19">
        <v>37316</v>
      </c>
      <c r="O2" s="19">
        <v>37681</v>
      </c>
      <c r="P2" s="19">
        <v>38047</v>
      </c>
      <c r="Q2" s="19">
        <v>38412</v>
      </c>
      <c r="R2" s="19">
        <v>38777</v>
      </c>
      <c r="S2" s="19">
        <v>39142</v>
      </c>
      <c r="T2" s="19">
        <v>39508</v>
      </c>
      <c r="U2" s="19">
        <v>39873</v>
      </c>
      <c r="V2" s="19">
        <v>40238</v>
      </c>
      <c r="W2" s="19">
        <v>40603</v>
      </c>
      <c r="X2" s="19">
        <v>40969</v>
      </c>
      <c r="Y2" s="19">
        <v>41334</v>
      </c>
      <c r="Z2" s="19">
        <v>41699</v>
      </c>
      <c r="AA2" s="19">
        <v>42064</v>
      </c>
      <c r="AB2" s="19">
        <v>42430</v>
      </c>
      <c r="AC2" s="19">
        <v>42795</v>
      </c>
      <c r="AD2" s="19">
        <v>43160</v>
      </c>
      <c r="AE2" s="19">
        <v>43525</v>
      </c>
      <c r="AF2" s="19">
        <v>43891</v>
      </c>
      <c r="AG2" s="19">
        <v>44256</v>
      </c>
    </row>
    <row r="3" spans="1:33" s="36" customFormat="1" ht="13.15">
      <c r="B3" s="36" t="s">
        <v>99</v>
      </c>
      <c r="C3" s="37"/>
      <c r="D3" s="37">
        <f t="shared" ref="D3:K3" si="0">SUM(D21:D24)</f>
        <v>74.899999999999991</v>
      </c>
      <c r="E3" s="37">
        <f t="shared" si="0"/>
        <v>81.2</v>
      </c>
      <c r="F3" s="37">
        <f t="shared" si="0"/>
        <v>81.499999999999986</v>
      </c>
      <c r="G3" s="37">
        <f t="shared" si="0"/>
        <v>85.3</v>
      </c>
      <c r="H3" s="37">
        <f t="shared" si="0"/>
        <v>82.971000000000004</v>
      </c>
      <c r="I3" s="37">
        <f t="shared" si="0"/>
        <v>87.771000000000001</v>
      </c>
      <c r="J3" s="37">
        <f t="shared" si="0"/>
        <v>77.771000000000001</v>
      </c>
      <c r="K3" s="37">
        <f t="shared" si="0"/>
        <v>47.771000000000001</v>
      </c>
      <c r="L3" s="37"/>
      <c r="M3" s="37"/>
      <c r="N3" s="37"/>
      <c r="O3" s="37"/>
      <c r="P3" s="37"/>
      <c r="Q3" s="37"/>
      <c r="R3" s="37"/>
      <c r="S3" s="37">
        <f t="shared" ref="S3:U3" si="1">SUM(S21:S24)</f>
        <v>218.49999999999997</v>
      </c>
      <c r="T3" s="37">
        <f t="shared" si="1"/>
        <v>257.8</v>
      </c>
      <c r="U3" s="37">
        <f t="shared" si="1"/>
        <v>274.90000000000003</v>
      </c>
      <c r="V3" s="37">
        <f>SUM(V21:V24)</f>
        <v>322.89999999999998</v>
      </c>
      <c r="W3" s="36">
        <f>SUM(H3:K3)</f>
        <v>296.28400000000005</v>
      </c>
      <c r="X3" s="36">
        <f>SUM(X21:X24)</f>
        <v>139.084</v>
      </c>
      <c r="Y3" s="36">
        <f t="shared" ref="Y3:AG3" si="2">SUM(Y21:Y24)</f>
        <v>103.9756</v>
      </c>
      <c r="Z3" s="36">
        <f t="shared" si="2"/>
        <v>93.878039999999999</v>
      </c>
      <c r="AA3" s="36">
        <f t="shared" si="2"/>
        <v>87.690235999999999</v>
      </c>
      <c r="AB3" s="36">
        <f t="shared" si="2"/>
        <v>82.321212400000007</v>
      </c>
      <c r="AC3" s="36">
        <f t="shared" si="2"/>
        <v>77.689091160000004</v>
      </c>
      <c r="AD3" s="36">
        <f t="shared" si="2"/>
        <v>73.720182044000012</v>
      </c>
      <c r="AE3" s="36">
        <f t="shared" si="2"/>
        <v>70.348163839600005</v>
      </c>
      <c r="AF3" s="36">
        <f t="shared" si="2"/>
        <v>67.513347455640002</v>
      </c>
      <c r="AG3" s="36">
        <f t="shared" si="2"/>
        <v>65.162012710075999</v>
      </c>
    </row>
    <row r="4" spans="1:33" s="36" customFormat="1" ht="13.15">
      <c r="B4" s="36" t="s">
        <v>100</v>
      </c>
      <c r="C4" s="37"/>
      <c r="D4" s="37"/>
      <c r="E4" s="37"/>
      <c r="F4" s="37"/>
      <c r="G4" s="37"/>
      <c r="H4" s="37">
        <f>SUM(H27:H30)</f>
        <v>35.272999999999996</v>
      </c>
      <c r="I4" s="37">
        <f t="shared" ref="I4:K4" si="3">SUM(I27:I30)</f>
        <v>31.7</v>
      </c>
      <c r="J4" s="37">
        <f t="shared" si="3"/>
        <v>35.300000000000004</v>
      </c>
      <c r="K4" s="37">
        <f t="shared" si="3"/>
        <v>29.899999999999995</v>
      </c>
      <c r="L4" s="37"/>
      <c r="M4" s="37"/>
      <c r="N4" s="37"/>
      <c r="O4" s="37"/>
      <c r="P4" s="37"/>
      <c r="Q4" s="37"/>
      <c r="R4" s="37"/>
      <c r="S4" s="37">
        <f t="shared" ref="S4:U4" si="4">SUM(S27:S30)</f>
        <v>174.29999999999998</v>
      </c>
      <c r="T4" s="37">
        <f t="shared" si="4"/>
        <v>175.9</v>
      </c>
      <c r="U4" s="37">
        <f t="shared" si="4"/>
        <v>159.9</v>
      </c>
      <c r="V4" s="37">
        <f>SUM(V27:V30)</f>
        <v>148</v>
      </c>
      <c r="W4" s="36">
        <f>SUM(H4:K4)</f>
        <v>132.173</v>
      </c>
      <c r="X4" s="36">
        <f t="shared" ref="X4:AG4" si="5">SUM(X27:X30)</f>
        <v>86.1477</v>
      </c>
      <c r="Y4" s="36">
        <f t="shared" si="5"/>
        <v>64.830930000000009</v>
      </c>
      <c r="Z4" s="36">
        <f t="shared" si="5"/>
        <v>43.991937000000007</v>
      </c>
      <c r="AA4" s="36">
        <f t="shared" si="5"/>
        <v>40.565148300000004</v>
      </c>
      <c r="AB4" s="36">
        <f t="shared" si="5"/>
        <v>37.529658720000008</v>
      </c>
      <c r="AC4" s="36">
        <f t="shared" si="5"/>
        <v>34.8487693605</v>
      </c>
      <c r="AD4" s="36">
        <f t="shared" si="5"/>
        <v>32.489572762575001</v>
      </c>
      <c r="AE4" s="36">
        <f t="shared" si="5"/>
        <v>30.422579841348753</v>
      </c>
      <c r="AF4" s="36">
        <f t="shared" si="5"/>
        <v>28.621384429996695</v>
      </c>
      <c r="AG4" s="36">
        <f t="shared" si="5"/>
        <v>27.062361688418978</v>
      </c>
    </row>
    <row r="5" spans="1:33" s="33" customFormat="1">
      <c r="B5" s="34" t="s">
        <v>107</v>
      </c>
      <c r="C5" s="35"/>
      <c r="D5" s="35"/>
      <c r="E5" s="35"/>
      <c r="F5" s="35"/>
      <c r="G5" s="35"/>
      <c r="H5" s="35">
        <v>8.8000000000000007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>
        <v>38.299999999999997</v>
      </c>
      <c r="W5" s="33">
        <f>+V5*1.02</f>
        <v>39.065999999999995</v>
      </c>
      <c r="X5" s="33">
        <f>+W5*1.02</f>
        <v>39.847319999999996</v>
      </c>
      <c r="Y5" s="33">
        <f>+X5*1.02</f>
        <v>40.644266399999999</v>
      </c>
      <c r="Z5" s="33">
        <f>+Y5*1.02</f>
        <v>41.457151727999999</v>
      </c>
      <c r="AA5" s="33">
        <f>+Z5*1.02</f>
        <v>42.286294762559997</v>
      </c>
      <c r="AB5" s="33">
        <f>+AA5*0.2</f>
        <v>8.4572589525119994</v>
      </c>
      <c r="AC5" s="33">
        <f t="shared" ref="AC5:AG5" si="6">+AB5*0.2</f>
        <v>1.6914517905024</v>
      </c>
      <c r="AD5" s="33">
        <f t="shared" si="6"/>
        <v>0.33829035810048003</v>
      </c>
      <c r="AE5" s="33">
        <f t="shared" si="6"/>
        <v>6.7658071620096003E-2</v>
      </c>
      <c r="AF5" s="33">
        <f t="shared" si="6"/>
        <v>1.3531614324019201E-2</v>
      </c>
      <c r="AG5" s="33">
        <f t="shared" si="6"/>
        <v>2.7063228648038402E-3</v>
      </c>
    </row>
    <row r="6" spans="1:33" s="33" customFormat="1">
      <c r="B6" s="34" t="s">
        <v>108</v>
      </c>
      <c r="C6" s="35"/>
      <c r="D6" s="35"/>
      <c r="E6" s="35"/>
      <c r="F6" s="35"/>
      <c r="G6" s="35"/>
      <c r="H6" s="35">
        <v>4.3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>
        <v>15.4</v>
      </c>
      <c r="W6" s="33">
        <f>+V6*1.05</f>
        <v>16.170000000000002</v>
      </c>
      <c r="X6" s="33">
        <f>+W6*1.05</f>
        <v>16.978500000000004</v>
      </c>
      <c r="Y6" s="33">
        <f>+X6*1.05</f>
        <v>17.827425000000005</v>
      </c>
      <c r="Z6" s="33">
        <f>+Y6*0.2</f>
        <v>3.5654850000000011</v>
      </c>
      <c r="AA6" s="33">
        <f>+Z6*0.2</f>
        <v>0.71309700000000031</v>
      </c>
      <c r="AB6" s="33">
        <f t="shared" ref="X6:AG8" si="7">+AA6*0.9</f>
        <v>0.64178730000000028</v>
      </c>
      <c r="AC6" s="33">
        <f t="shared" si="7"/>
        <v>0.57760857000000032</v>
      </c>
      <c r="AD6" s="33">
        <f t="shared" si="7"/>
        <v>0.51984771300000032</v>
      </c>
      <c r="AE6" s="33">
        <f t="shared" si="7"/>
        <v>0.46786294170000031</v>
      </c>
      <c r="AF6" s="33">
        <f t="shared" si="7"/>
        <v>0.42107664753000029</v>
      </c>
      <c r="AG6" s="33">
        <f t="shared" si="7"/>
        <v>0.37896898277700025</v>
      </c>
    </row>
    <row r="7" spans="1:33" s="33" customFormat="1">
      <c r="B7" s="34" t="s">
        <v>112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>
        <v>38.1</v>
      </c>
      <c r="T7" s="35">
        <v>38.700000000000003</v>
      </c>
      <c r="U7" s="35">
        <v>39.5</v>
      </c>
      <c r="V7" s="35">
        <v>39.799999999999997</v>
      </c>
      <c r="W7" s="33">
        <f>+V7*0.9</f>
        <v>35.82</v>
      </c>
      <c r="X7" s="33">
        <f t="shared" si="7"/>
        <v>32.238</v>
      </c>
      <c r="Y7" s="33">
        <f t="shared" si="7"/>
        <v>29.014199999999999</v>
      </c>
      <c r="Z7" s="33">
        <f t="shared" si="7"/>
        <v>26.112780000000001</v>
      </c>
      <c r="AA7" s="33">
        <f t="shared" si="7"/>
        <v>23.501502000000002</v>
      </c>
      <c r="AB7" s="33">
        <f t="shared" si="7"/>
        <v>21.151351800000004</v>
      </c>
      <c r="AC7" s="33">
        <f t="shared" si="7"/>
        <v>19.036216620000005</v>
      </c>
      <c r="AD7" s="33">
        <f t="shared" si="7"/>
        <v>17.132594958000006</v>
      </c>
      <c r="AE7" s="33">
        <f t="shared" si="7"/>
        <v>15.419335462200005</v>
      </c>
      <c r="AF7" s="33">
        <f t="shared" si="7"/>
        <v>13.877401915980004</v>
      </c>
      <c r="AG7" s="33">
        <f t="shared" si="7"/>
        <v>12.489661724382003</v>
      </c>
    </row>
    <row r="8" spans="1:33" s="33" customFormat="1">
      <c r="B8" s="34" t="s">
        <v>110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>
        <v>6.5</v>
      </c>
      <c r="W8" s="33">
        <f>+V8*0.9</f>
        <v>5.8500000000000005</v>
      </c>
      <c r="X8" s="33">
        <f t="shared" si="7"/>
        <v>5.2650000000000006</v>
      </c>
      <c r="Y8" s="33">
        <f t="shared" si="7"/>
        <v>4.738500000000001</v>
      </c>
      <c r="Z8" s="33">
        <f t="shared" si="7"/>
        <v>4.2646500000000014</v>
      </c>
      <c r="AA8" s="33">
        <f t="shared" si="7"/>
        <v>3.8381850000000015</v>
      </c>
      <c r="AB8" s="33">
        <f t="shared" si="7"/>
        <v>3.4543665000000012</v>
      </c>
      <c r="AC8" s="33">
        <f t="shared" si="7"/>
        <v>3.1089298500000013</v>
      </c>
      <c r="AD8" s="33">
        <f t="shared" si="7"/>
        <v>2.7980368650000011</v>
      </c>
      <c r="AE8" s="33">
        <f t="shared" si="7"/>
        <v>2.5182331785000009</v>
      </c>
      <c r="AF8" s="33">
        <f t="shared" si="7"/>
        <v>2.2664098606500009</v>
      </c>
      <c r="AG8" s="33">
        <f t="shared" si="7"/>
        <v>2.0397688745850009</v>
      </c>
    </row>
    <row r="9" spans="1:33" s="33" customFormat="1">
      <c r="B9" s="34" t="s">
        <v>117</v>
      </c>
      <c r="C9" s="35"/>
      <c r="D9" s="35">
        <v>4</v>
      </c>
      <c r="E9" s="35">
        <f>7.5-D9</f>
        <v>3.5</v>
      </c>
      <c r="F9" s="35">
        <f>11.6-E9-D9</f>
        <v>4.0999999999999996</v>
      </c>
      <c r="G9" s="35">
        <f>14.2-F9-E9-D9</f>
        <v>2.5999999999999996</v>
      </c>
      <c r="H9" s="35">
        <v>3.1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>
        <v>19.3</v>
      </c>
      <c r="T9" s="35">
        <v>18.2</v>
      </c>
      <c r="U9" s="35">
        <v>16</v>
      </c>
      <c r="V9" s="35">
        <v>14.2</v>
      </c>
      <c r="W9" s="33">
        <f t="shared" ref="W9:X11" si="8">+V9</f>
        <v>14.2</v>
      </c>
      <c r="X9" s="33">
        <f t="shared" si="8"/>
        <v>14.2</v>
      </c>
      <c r="Y9" s="33">
        <f t="shared" ref="W9:AG15" si="9">+X9*0.95</f>
        <v>13.489999999999998</v>
      </c>
      <c r="Z9" s="33">
        <f t="shared" si="9"/>
        <v>12.815499999999998</v>
      </c>
      <c r="AA9" s="33">
        <f t="shared" si="9"/>
        <v>12.174724999999999</v>
      </c>
      <c r="AB9" s="33">
        <f t="shared" si="9"/>
        <v>11.565988749999999</v>
      </c>
      <c r="AC9" s="33">
        <f t="shared" si="9"/>
        <v>10.987689312499999</v>
      </c>
      <c r="AD9" s="33">
        <f t="shared" si="9"/>
        <v>10.438304846874999</v>
      </c>
      <c r="AE9" s="33">
        <f t="shared" si="9"/>
        <v>9.9163896045312487</v>
      </c>
      <c r="AF9" s="33">
        <f t="shared" si="9"/>
        <v>9.4205701243046853</v>
      </c>
      <c r="AG9" s="33">
        <f t="shared" si="9"/>
        <v>8.9495416180894498</v>
      </c>
    </row>
    <row r="10" spans="1:33" s="33" customFormat="1">
      <c r="B10" s="34" t="s">
        <v>118</v>
      </c>
      <c r="C10" s="35"/>
      <c r="D10" s="35">
        <v>2.7</v>
      </c>
      <c r="E10" s="35">
        <f>5.3-D10</f>
        <v>2.5999999999999996</v>
      </c>
      <c r="F10" s="35">
        <f>8.6-E10-D10</f>
        <v>3.3</v>
      </c>
      <c r="G10" s="35">
        <f>10.8-F10-E10-D10</f>
        <v>2.2000000000000011</v>
      </c>
      <c r="H10" s="35">
        <v>2.9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>
        <v>7.5</v>
      </c>
      <c r="T10" s="35">
        <v>8.1999999999999993</v>
      </c>
      <c r="U10" s="35">
        <v>9.3000000000000007</v>
      </c>
      <c r="V10" s="35">
        <v>10.8</v>
      </c>
      <c r="W10" s="33">
        <f t="shared" si="8"/>
        <v>10.8</v>
      </c>
      <c r="X10" s="33">
        <f t="shared" si="8"/>
        <v>10.8</v>
      </c>
      <c r="Y10" s="33">
        <f t="shared" si="9"/>
        <v>10.26</v>
      </c>
      <c r="Z10" s="33">
        <f t="shared" si="9"/>
        <v>9.7469999999999999</v>
      </c>
      <c r="AA10" s="33">
        <f t="shared" si="9"/>
        <v>9.2596499999999988</v>
      </c>
      <c r="AB10" s="33">
        <f t="shared" si="9"/>
        <v>8.7966674999999981</v>
      </c>
      <c r="AC10" s="33">
        <f t="shared" si="9"/>
        <v>8.3568341249999971</v>
      </c>
      <c r="AD10" s="33">
        <f t="shared" si="9"/>
        <v>7.9389924187499972</v>
      </c>
      <c r="AE10" s="33">
        <f t="shared" si="9"/>
        <v>7.5420427978124973</v>
      </c>
      <c r="AF10" s="33">
        <f t="shared" si="9"/>
        <v>7.1649406579218722</v>
      </c>
      <c r="AG10" s="33">
        <f t="shared" si="9"/>
        <v>6.8066936250257779</v>
      </c>
    </row>
    <row r="11" spans="1:33" s="33" customFormat="1">
      <c r="B11" s="34" t="s">
        <v>119</v>
      </c>
      <c r="C11" s="35"/>
      <c r="D11" s="35">
        <v>2.2000000000000002</v>
      </c>
      <c r="E11" s="35">
        <f>4.3-D11</f>
        <v>2.0999999999999996</v>
      </c>
      <c r="F11" s="35">
        <f>6.8-E11-D11</f>
        <v>2.5</v>
      </c>
      <c r="G11" s="35">
        <f>8.7-F11-E11-D11</f>
        <v>1.8999999999999995</v>
      </c>
      <c r="H11" s="35">
        <v>2.4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>
        <v>6.3</v>
      </c>
      <c r="T11" s="35">
        <v>6.8</v>
      </c>
      <c r="U11" s="35">
        <v>7.9</v>
      </c>
      <c r="V11" s="35">
        <v>8.6999999999999993</v>
      </c>
      <c r="W11" s="33">
        <f t="shared" si="8"/>
        <v>8.6999999999999993</v>
      </c>
      <c r="X11" s="33">
        <f t="shared" si="8"/>
        <v>8.6999999999999993</v>
      </c>
      <c r="Y11" s="33">
        <f t="shared" si="9"/>
        <v>8.2649999999999988</v>
      </c>
      <c r="Z11" s="33">
        <f t="shared" si="9"/>
        <v>7.8517499999999982</v>
      </c>
      <c r="AA11" s="33">
        <f t="shared" si="9"/>
        <v>7.4591624999999979</v>
      </c>
      <c r="AB11" s="33">
        <f t="shared" si="9"/>
        <v>7.0862043749999977</v>
      </c>
      <c r="AC11" s="33">
        <f t="shared" si="9"/>
        <v>6.7318941562499974</v>
      </c>
      <c r="AD11" s="33">
        <f t="shared" si="9"/>
        <v>6.3952994484374974</v>
      </c>
      <c r="AE11" s="33">
        <f t="shared" si="9"/>
        <v>6.0755344760156227</v>
      </c>
      <c r="AF11" s="33">
        <f t="shared" si="9"/>
        <v>5.7717577522148416</v>
      </c>
      <c r="AG11" s="33">
        <f t="shared" si="9"/>
        <v>5.4831698646040996</v>
      </c>
    </row>
    <row r="12" spans="1:33" s="33" customFormat="1">
      <c r="B12" s="34" t="s">
        <v>120</v>
      </c>
      <c r="C12" s="35"/>
      <c r="D12" s="35">
        <v>2.1</v>
      </c>
      <c r="E12" s="35">
        <f>4-D12</f>
        <v>1.9</v>
      </c>
      <c r="F12" s="35">
        <f>6.1-E12-D12</f>
        <v>2.0999999999999992</v>
      </c>
      <c r="G12" s="35">
        <f>7.5-F12-E12-D12</f>
        <v>1.4000000000000004</v>
      </c>
      <c r="H12" s="35">
        <v>1.8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>
        <v>8.1999999999999993</v>
      </c>
      <c r="T12" s="35">
        <v>8</v>
      </c>
      <c r="U12" s="35">
        <v>7.7</v>
      </c>
      <c r="V12" s="35">
        <v>7.5</v>
      </c>
      <c r="W12" s="33">
        <f t="shared" si="9"/>
        <v>7.125</v>
      </c>
      <c r="X12" s="33">
        <f t="shared" si="9"/>
        <v>6.7687499999999998</v>
      </c>
      <c r="Y12" s="33">
        <f t="shared" si="9"/>
        <v>6.4303124999999994</v>
      </c>
      <c r="Z12" s="33">
        <f t="shared" si="9"/>
        <v>6.1087968749999995</v>
      </c>
      <c r="AA12" s="33">
        <f t="shared" si="9"/>
        <v>5.8033570312499991</v>
      </c>
      <c r="AB12" s="33">
        <f t="shared" si="9"/>
        <v>5.5131891796874992</v>
      </c>
      <c r="AC12" s="33">
        <f t="shared" si="9"/>
        <v>5.2375297207031242</v>
      </c>
      <c r="AD12" s="33">
        <f t="shared" si="9"/>
        <v>4.9756532346679681</v>
      </c>
      <c r="AE12" s="33">
        <f t="shared" si="9"/>
        <v>4.726870572934569</v>
      </c>
      <c r="AF12" s="33">
        <f t="shared" si="9"/>
        <v>4.4905270442878402</v>
      </c>
      <c r="AG12" s="33">
        <f t="shared" si="9"/>
        <v>4.2660006920734483</v>
      </c>
    </row>
    <row r="13" spans="1:33" s="33" customFormat="1">
      <c r="B13" s="34" t="s">
        <v>121</v>
      </c>
      <c r="C13" s="35"/>
      <c r="D13" s="35">
        <v>1.9</v>
      </c>
      <c r="E13" s="35">
        <f>3.6-D13</f>
        <v>1.7000000000000002</v>
      </c>
      <c r="F13" s="35">
        <f>5.6-E13-D13</f>
        <v>1.9999999999999996</v>
      </c>
      <c r="G13" s="35">
        <f>7-F13-E13-D13</f>
        <v>1.4</v>
      </c>
      <c r="H13" s="35">
        <v>1.8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>
        <v>8.3000000000000007</v>
      </c>
      <c r="T13" s="35">
        <v>7.9</v>
      </c>
      <c r="U13" s="35">
        <v>7.1</v>
      </c>
      <c r="V13" s="35">
        <v>7</v>
      </c>
      <c r="W13" s="33">
        <f t="shared" si="9"/>
        <v>6.6499999999999995</v>
      </c>
      <c r="X13" s="33">
        <f t="shared" si="9"/>
        <v>6.317499999999999</v>
      </c>
      <c r="Y13" s="33">
        <f t="shared" si="9"/>
        <v>6.0016249999999989</v>
      </c>
      <c r="Z13" s="33">
        <f t="shared" si="9"/>
        <v>5.701543749999999</v>
      </c>
      <c r="AA13" s="33">
        <f t="shared" si="9"/>
        <v>5.4164665624999992</v>
      </c>
      <c r="AB13" s="33">
        <f t="shared" si="9"/>
        <v>5.1456432343749992</v>
      </c>
      <c r="AC13" s="33">
        <f t="shared" si="9"/>
        <v>4.8883610726562488</v>
      </c>
      <c r="AD13" s="33">
        <f t="shared" si="9"/>
        <v>4.6439430190234363</v>
      </c>
      <c r="AE13" s="33">
        <f t="shared" si="9"/>
        <v>4.4117458680722645</v>
      </c>
      <c r="AF13" s="33">
        <f t="shared" si="9"/>
        <v>4.191158574668651</v>
      </c>
      <c r="AG13" s="33">
        <f t="shared" si="9"/>
        <v>3.9816006459352185</v>
      </c>
    </row>
    <row r="14" spans="1:33" s="33" customFormat="1">
      <c r="B14" s="34" t="s">
        <v>122</v>
      </c>
      <c r="C14" s="35"/>
      <c r="D14" s="35">
        <v>1.2</v>
      </c>
      <c r="E14" s="35">
        <f>2.8-D14</f>
        <v>1.5999999999999999</v>
      </c>
      <c r="F14" s="35">
        <f>4.8-E14-D14</f>
        <v>2</v>
      </c>
      <c r="G14" s="35">
        <f>6.6-F14-E14-D14</f>
        <v>1.8</v>
      </c>
      <c r="H14" s="35">
        <v>2.6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>
        <v>0</v>
      </c>
      <c r="T14" s="35">
        <v>0</v>
      </c>
      <c r="U14" s="35">
        <v>1.9</v>
      </c>
      <c r="V14" s="35">
        <v>6.6</v>
      </c>
      <c r="W14" s="33">
        <f>+V14*2</f>
        <v>13.2</v>
      </c>
      <c r="X14" s="33">
        <f>+W14*1.5</f>
        <v>19.799999999999997</v>
      </c>
      <c r="Y14" s="33">
        <f>+X14*1.3</f>
        <v>25.74</v>
      </c>
      <c r="Z14" s="33">
        <f>+Y14*1.1</f>
        <v>28.314</v>
      </c>
      <c r="AA14" s="33">
        <f>+Z14*1.05</f>
        <v>29.729700000000001</v>
      </c>
      <c r="AB14" s="33">
        <f t="shared" ref="AB14:AG14" si="10">+AA14*1.05</f>
        <v>31.216185000000003</v>
      </c>
      <c r="AC14" s="33">
        <f t="shared" si="10"/>
        <v>32.776994250000001</v>
      </c>
      <c r="AD14" s="33">
        <f t="shared" si="10"/>
        <v>34.415843962500006</v>
      </c>
      <c r="AE14" s="33">
        <f t="shared" si="10"/>
        <v>36.136636160625009</v>
      </c>
      <c r="AF14" s="33">
        <f t="shared" si="10"/>
        <v>37.943467968656265</v>
      </c>
      <c r="AG14" s="33">
        <f t="shared" si="10"/>
        <v>39.840641367089077</v>
      </c>
    </row>
    <row r="15" spans="1:33" s="33" customFormat="1">
      <c r="B15" s="34" t="s">
        <v>123</v>
      </c>
      <c r="C15" s="35"/>
      <c r="D15" s="35">
        <v>1.4</v>
      </c>
      <c r="E15" s="35">
        <f>2.6-D15</f>
        <v>1.2000000000000002</v>
      </c>
      <c r="F15" s="35">
        <f>4-E15-D15</f>
        <v>1.4</v>
      </c>
      <c r="G15" s="35">
        <f>4.9-F15-E15-D15</f>
        <v>0.90000000000000036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>
        <v>7.5</v>
      </c>
      <c r="T15" s="35">
        <v>6.4</v>
      </c>
      <c r="U15" s="35">
        <v>5.4</v>
      </c>
      <c r="V15" s="35">
        <v>4.9000000000000004</v>
      </c>
      <c r="W15" s="33">
        <f t="shared" si="9"/>
        <v>4.6550000000000002</v>
      </c>
      <c r="X15" s="33">
        <f t="shared" si="9"/>
        <v>4.42225</v>
      </c>
      <c r="Y15" s="33">
        <f t="shared" si="9"/>
        <v>4.2011374999999997</v>
      </c>
      <c r="Z15" s="33">
        <f t="shared" si="9"/>
        <v>3.9910806249999995</v>
      </c>
      <c r="AA15" s="33">
        <f t="shared" si="9"/>
        <v>3.7915265937499996</v>
      </c>
      <c r="AB15" s="33">
        <f t="shared" si="9"/>
        <v>3.6019502640624994</v>
      </c>
      <c r="AC15" s="33">
        <f t="shared" si="9"/>
        <v>3.4218527508593741</v>
      </c>
      <c r="AD15" s="33">
        <f t="shared" si="9"/>
        <v>3.2507601133164052</v>
      </c>
      <c r="AE15" s="33">
        <f t="shared" si="9"/>
        <v>3.0882221076505849</v>
      </c>
      <c r="AF15" s="33">
        <f t="shared" si="9"/>
        <v>2.9338110022680555</v>
      </c>
      <c r="AG15" s="33">
        <f t="shared" si="9"/>
        <v>2.7871204521546527</v>
      </c>
    </row>
    <row r="16" spans="1:33" s="33" customFormat="1">
      <c r="B16" s="34" t="s">
        <v>124</v>
      </c>
      <c r="C16" s="35"/>
      <c r="D16" s="35">
        <v>13.5</v>
      </c>
      <c r="E16" s="35">
        <f>25.6-D16</f>
        <v>12.100000000000001</v>
      </c>
      <c r="F16" s="35">
        <f>39.8-E16-D16</f>
        <v>14.199999999999996</v>
      </c>
      <c r="G16" s="35">
        <f>49.9-F16-E16-D16</f>
        <v>10.100000000000001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>
        <v>48.2</v>
      </c>
      <c r="T16" s="35">
        <v>45.2</v>
      </c>
      <c r="U16" s="35">
        <v>51</v>
      </c>
      <c r="V16" s="35">
        <v>49.9</v>
      </c>
      <c r="W16" s="33">
        <f t="shared" ref="W16:AG16" si="11">+V16*0.95</f>
        <v>47.404999999999994</v>
      </c>
      <c r="X16" s="33">
        <f t="shared" si="11"/>
        <v>45.034749999999995</v>
      </c>
      <c r="Y16" s="33">
        <f t="shared" si="11"/>
        <v>42.783012499999991</v>
      </c>
      <c r="Z16" s="33">
        <f t="shared" si="11"/>
        <v>40.643861874999992</v>
      </c>
      <c r="AA16" s="33">
        <f t="shared" si="11"/>
        <v>38.611668781249989</v>
      </c>
      <c r="AB16" s="33">
        <f t="shared" si="11"/>
        <v>36.681085342187487</v>
      </c>
      <c r="AC16" s="33">
        <f t="shared" si="11"/>
        <v>34.847031075078114</v>
      </c>
      <c r="AD16" s="33">
        <f t="shared" si="11"/>
        <v>33.104679521324208</v>
      </c>
      <c r="AE16" s="33">
        <f t="shared" si="11"/>
        <v>31.449445545257994</v>
      </c>
      <c r="AF16" s="33">
        <f t="shared" si="11"/>
        <v>29.876973267995094</v>
      </c>
      <c r="AG16" s="33">
        <f t="shared" si="11"/>
        <v>28.383124604595338</v>
      </c>
    </row>
    <row r="17" spans="2:33" s="33" customFormat="1">
      <c r="B17" s="34" t="s">
        <v>111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>
        <f>381-V22-V28-V34-V6-V5</f>
        <v>49.699999999999974</v>
      </c>
      <c r="W17" s="33">
        <f>+V17*0.95</f>
        <v>47.214999999999975</v>
      </c>
      <c r="X17" s="33">
        <f t="shared" ref="X17:AG17" si="12">+W17*0.95</f>
        <v>44.854249999999972</v>
      </c>
      <c r="Y17" s="33">
        <f t="shared" si="12"/>
        <v>42.611537499999969</v>
      </c>
      <c r="Z17" s="33">
        <f t="shared" si="12"/>
        <v>40.480960624999966</v>
      </c>
      <c r="AA17" s="33">
        <f t="shared" si="12"/>
        <v>38.456912593749969</v>
      </c>
      <c r="AB17" s="33">
        <f t="shared" si="12"/>
        <v>36.534066964062468</v>
      </c>
      <c r="AC17" s="33">
        <f t="shared" si="12"/>
        <v>34.707363615859343</v>
      </c>
      <c r="AD17" s="33">
        <f t="shared" si="12"/>
        <v>32.971995435066376</v>
      </c>
      <c r="AE17" s="33">
        <f t="shared" si="12"/>
        <v>31.323395663313054</v>
      </c>
      <c r="AF17" s="33">
        <f t="shared" si="12"/>
        <v>29.757225880147399</v>
      </c>
      <c r="AG17" s="33">
        <f t="shared" si="12"/>
        <v>28.269364586140028</v>
      </c>
    </row>
    <row r="18" spans="2:33" s="33" customFormat="1">
      <c r="B18" s="34" t="s">
        <v>124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>
        <f>V41-SUM(V3:V17)</f>
        <v>72.952000000000112</v>
      </c>
      <c r="W18" s="33">
        <f t="shared" ref="W18:AG18" si="13">+V18*0.95</f>
        <v>69.304400000000101</v>
      </c>
      <c r="X18" s="33">
        <f t="shared" si="13"/>
        <v>65.839180000000098</v>
      </c>
      <c r="Y18" s="33">
        <f t="shared" si="13"/>
        <v>62.547221000000093</v>
      </c>
      <c r="Z18" s="33">
        <f t="shared" si="13"/>
        <v>59.419859950000088</v>
      </c>
      <c r="AA18" s="33">
        <f t="shared" si="13"/>
        <v>56.448866952500083</v>
      </c>
      <c r="AB18" s="33">
        <f t="shared" si="13"/>
        <v>53.626423604875079</v>
      </c>
      <c r="AC18" s="33">
        <f t="shared" si="13"/>
        <v>50.945102424631322</v>
      </c>
      <c r="AD18" s="33">
        <f t="shared" si="13"/>
        <v>48.397847303399757</v>
      </c>
      <c r="AE18" s="33">
        <f t="shared" si="13"/>
        <v>45.977954938229765</v>
      </c>
      <c r="AF18" s="33">
        <f t="shared" si="13"/>
        <v>43.679057191318272</v>
      </c>
      <c r="AG18" s="33">
        <f t="shared" si="13"/>
        <v>41.495104331752358</v>
      </c>
    </row>
    <row r="19" spans="2:33" s="33" customFormat="1"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2:33" s="33" customFormat="1">
      <c r="B20" s="33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>
        <v>102.9</v>
      </c>
      <c r="N20" s="35">
        <v>159.9</v>
      </c>
      <c r="O20" s="35">
        <v>181.7</v>
      </c>
      <c r="P20" s="35">
        <v>196.1</v>
      </c>
      <c r="Q20" s="35">
        <v>225.1</v>
      </c>
      <c r="R20" s="35">
        <v>255</v>
      </c>
      <c r="S20" s="35"/>
      <c r="T20" s="35"/>
      <c r="U20" s="35"/>
      <c r="V20" s="35"/>
    </row>
    <row r="21" spans="2:33" s="33" customFormat="1">
      <c r="B21" s="33" t="s">
        <v>19</v>
      </c>
      <c r="C21" s="35"/>
      <c r="D21" s="35">
        <v>23.4</v>
      </c>
      <c r="E21" s="35">
        <f>45.7-D21</f>
        <v>22.300000000000004</v>
      </c>
      <c r="F21" s="35">
        <f>72.6-E21-D21</f>
        <v>26.899999999999991</v>
      </c>
      <c r="G21" s="35">
        <f>93.6-F21-E21-D21</f>
        <v>21</v>
      </c>
      <c r="H21" s="35">
        <v>25.271000000000001</v>
      </c>
      <c r="I21" s="35">
        <f>+H21</f>
        <v>25.271000000000001</v>
      </c>
      <c r="J21" s="35">
        <f>+I21</f>
        <v>25.271000000000001</v>
      </c>
      <c r="K21" s="35">
        <f>+J21</f>
        <v>25.271000000000001</v>
      </c>
      <c r="L21" s="35"/>
      <c r="M21" s="35">
        <v>8.5</v>
      </c>
      <c r="N21" s="35">
        <v>13.7</v>
      </c>
      <c r="O21" s="35">
        <v>21.9</v>
      </c>
      <c r="P21" s="35">
        <v>28.4</v>
      </c>
      <c r="Q21" s="35">
        <v>35.1</v>
      </c>
      <c r="R21" s="35">
        <v>43</v>
      </c>
      <c r="S21" s="35">
        <v>49.7</v>
      </c>
      <c r="T21" s="35">
        <v>62.3</v>
      </c>
      <c r="U21" s="35">
        <v>78.2</v>
      </c>
      <c r="V21" s="35">
        <f>SUM(D21:G21)</f>
        <v>93.6</v>
      </c>
      <c r="W21" s="33">
        <f>SUM(H21:K21)</f>
        <v>101.084</v>
      </c>
      <c r="X21" s="33">
        <f>+W21</f>
        <v>101.084</v>
      </c>
      <c r="Y21" s="33">
        <f>+X21*0.9</f>
        <v>90.9756</v>
      </c>
      <c r="Z21" s="33">
        <f t="shared" ref="Z21:AG21" si="14">+Y21*0.9</f>
        <v>81.878039999999999</v>
      </c>
      <c r="AA21" s="33">
        <f t="shared" si="14"/>
        <v>73.690235999999999</v>
      </c>
      <c r="AB21" s="33">
        <f t="shared" si="14"/>
        <v>66.321212400000007</v>
      </c>
      <c r="AC21" s="33">
        <f t="shared" si="14"/>
        <v>59.689091160000011</v>
      </c>
      <c r="AD21" s="33">
        <f t="shared" si="14"/>
        <v>53.720182044000012</v>
      </c>
      <c r="AE21" s="33">
        <f t="shared" si="14"/>
        <v>48.348163839600012</v>
      </c>
      <c r="AF21" s="33">
        <f t="shared" si="14"/>
        <v>43.513347455640009</v>
      </c>
      <c r="AG21" s="33">
        <f t="shared" si="14"/>
        <v>39.162012710076006</v>
      </c>
    </row>
    <row r="22" spans="2:33" s="33" customFormat="1">
      <c r="B22" s="34" t="s">
        <v>101</v>
      </c>
      <c r="C22" s="35"/>
      <c r="D22" s="35">
        <v>42.7</v>
      </c>
      <c r="E22" s="35">
        <v>50.1</v>
      </c>
      <c r="F22" s="35">
        <v>45.5</v>
      </c>
      <c r="G22" s="35">
        <v>56.4</v>
      </c>
      <c r="H22" s="35">
        <v>50.2</v>
      </c>
      <c r="I22" s="35">
        <v>55</v>
      </c>
      <c r="J22" s="35">
        <f>+I22-10</f>
        <v>45</v>
      </c>
      <c r="K22" s="35">
        <f>J22-30</f>
        <v>15</v>
      </c>
      <c r="L22" s="35"/>
      <c r="M22" s="35"/>
      <c r="N22" s="35"/>
      <c r="O22" s="35"/>
      <c r="P22" s="35"/>
      <c r="Q22" s="35"/>
      <c r="R22" s="35"/>
      <c r="S22" s="35">
        <v>162.19999999999999</v>
      </c>
      <c r="T22" s="35">
        <v>186.9</v>
      </c>
      <c r="U22" s="35">
        <v>189.6</v>
      </c>
      <c r="V22" s="35">
        <f>SUM(D22:G22)</f>
        <v>194.70000000000002</v>
      </c>
      <c r="W22" s="33">
        <f>SUM(H22:K22)</f>
        <v>165.2</v>
      </c>
      <c r="X22" s="33">
        <v>25</v>
      </c>
      <c r="Y22" s="33">
        <v>2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</row>
    <row r="23" spans="2:33" s="33" customFormat="1">
      <c r="B23" s="34" t="s">
        <v>102</v>
      </c>
      <c r="C23" s="35"/>
      <c r="D23" s="35">
        <v>7.2</v>
      </c>
      <c r="E23" s="35">
        <v>7.1</v>
      </c>
      <c r="F23" s="35">
        <v>7.5</v>
      </c>
      <c r="G23" s="35">
        <v>6.1</v>
      </c>
      <c r="H23" s="35">
        <v>5.8</v>
      </c>
      <c r="I23" s="35">
        <f t="shared" ref="I23:K24" si="15">+H23</f>
        <v>5.8</v>
      </c>
      <c r="J23" s="35">
        <f t="shared" si="15"/>
        <v>5.8</v>
      </c>
      <c r="K23" s="35">
        <f t="shared" si="15"/>
        <v>5.8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>
        <f>SUM(D23:G23)</f>
        <v>27.9</v>
      </c>
      <c r="W23" s="33">
        <f>SUM(H23:K23)</f>
        <v>23.2</v>
      </c>
      <c r="X23" s="33">
        <v>5</v>
      </c>
      <c r="Y23" s="33">
        <v>1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</row>
    <row r="24" spans="2:33" s="33" customFormat="1">
      <c r="B24" s="34" t="s">
        <v>103</v>
      </c>
      <c r="C24" s="35"/>
      <c r="D24" s="35">
        <f>1.4+0.2</f>
        <v>1.5999999999999999</v>
      </c>
      <c r="E24" s="35">
        <f>0.4+1.3</f>
        <v>1.7000000000000002</v>
      </c>
      <c r="F24" s="35">
        <f>0.3+1.3</f>
        <v>1.6</v>
      </c>
      <c r="G24" s="35">
        <f>0.5+1.3</f>
        <v>1.8</v>
      </c>
      <c r="H24" s="35">
        <v>1.7</v>
      </c>
      <c r="I24" s="35">
        <f t="shared" si="15"/>
        <v>1.7</v>
      </c>
      <c r="J24" s="35">
        <f t="shared" si="15"/>
        <v>1.7</v>
      </c>
      <c r="K24" s="35">
        <f t="shared" si="15"/>
        <v>1.7</v>
      </c>
      <c r="L24" s="35"/>
      <c r="M24" s="35"/>
      <c r="N24" s="35"/>
      <c r="O24" s="35"/>
      <c r="P24" s="35"/>
      <c r="Q24" s="35"/>
      <c r="R24" s="35"/>
      <c r="S24" s="35">
        <f>0.9+5.7</f>
        <v>6.6000000000000005</v>
      </c>
      <c r="T24" s="35">
        <f>1.2+7.4</f>
        <v>8.6</v>
      </c>
      <c r="U24" s="35">
        <f>0.9+6.2</f>
        <v>7.1000000000000005</v>
      </c>
      <c r="V24" s="35">
        <f>SUM(D24:G24)</f>
        <v>6.7</v>
      </c>
      <c r="W24" s="33">
        <f>SUM(H24:K24)</f>
        <v>6.8</v>
      </c>
      <c r="X24" s="33">
        <v>8</v>
      </c>
      <c r="Y24" s="33">
        <v>10</v>
      </c>
      <c r="Z24" s="33">
        <v>12</v>
      </c>
      <c r="AA24" s="33">
        <v>14</v>
      </c>
      <c r="AB24" s="33">
        <v>16</v>
      </c>
      <c r="AC24" s="33">
        <v>18</v>
      </c>
      <c r="AD24" s="33">
        <v>20</v>
      </c>
      <c r="AE24" s="33">
        <v>22</v>
      </c>
      <c r="AF24" s="33">
        <v>24</v>
      </c>
      <c r="AG24" s="33">
        <v>26</v>
      </c>
    </row>
    <row r="25" spans="2:33" s="33" customFormat="1">
      <c r="B25" s="33" t="s">
        <v>22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>
        <v>9.5</v>
      </c>
      <c r="N25" s="35">
        <v>11.8</v>
      </c>
      <c r="O25" s="35">
        <v>14.8</v>
      </c>
      <c r="P25" s="35">
        <v>16.3</v>
      </c>
      <c r="Q25" s="35">
        <v>20.6</v>
      </c>
      <c r="R25" s="35">
        <v>19.5</v>
      </c>
      <c r="S25" s="35"/>
      <c r="T25" s="35"/>
      <c r="U25" s="35"/>
      <c r="V25" s="35"/>
    </row>
    <row r="26" spans="2:33" s="33" customFormat="1">
      <c r="B26" s="33" t="s">
        <v>26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>
        <v>11.6</v>
      </c>
      <c r="N26" s="35">
        <v>18.2</v>
      </c>
      <c r="O26" s="35">
        <v>23</v>
      </c>
      <c r="P26" s="35">
        <v>24.1</v>
      </c>
      <c r="Q26" s="35">
        <v>27</v>
      </c>
      <c r="R26" s="35">
        <v>28</v>
      </c>
      <c r="S26" s="35"/>
      <c r="T26" s="35"/>
      <c r="U26" s="35"/>
      <c r="V26" s="35"/>
    </row>
    <row r="27" spans="2:33" s="33" customFormat="1">
      <c r="B27" s="33" t="s">
        <v>20</v>
      </c>
      <c r="C27" s="35"/>
      <c r="D27" s="35">
        <v>13.4</v>
      </c>
      <c r="E27" s="35">
        <f>26.2-D27</f>
        <v>12.799999999999999</v>
      </c>
      <c r="F27" s="35">
        <f>43-E27-D27</f>
        <v>16.800000000000004</v>
      </c>
      <c r="G27" s="35">
        <f>53.8-F27-E27-D27</f>
        <v>10.799999999999995</v>
      </c>
      <c r="H27" s="35">
        <v>15.093</v>
      </c>
      <c r="I27" s="35">
        <f>+E27*0.9</f>
        <v>11.52</v>
      </c>
      <c r="J27" s="35">
        <f t="shared" ref="J27:K27" si="16">+F27*0.9</f>
        <v>15.120000000000005</v>
      </c>
      <c r="K27" s="35">
        <f t="shared" si="16"/>
        <v>9.7199999999999953</v>
      </c>
      <c r="L27" s="35"/>
      <c r="M27" s="35">
        <v>6.3</v>
      </c>
      <c r="N27" s="35">
        <v>5.4</v>
      </c>
      <c r="O27" s="35">
        <v>5.8</v>
      </c>
      <c r="P27" s="35">
        <v>14.6</v>
      </c>
      <c r="Q27" s="35">
        <v>19.399999999999999</v>
      </c>
      <c r="R27" s="35">
        <v>26</v>
      </c>
      <c r="S27" s="35">
        <v>30.7</v>
      </c>
      <c r="T27" s="35">
        <v>37.1</v>
      </c>
      <c r="U27" s="35">
        <v>44.6</v>
      </c>
      <c r="V27" s="35">
        <v>53.8</v>
      </c>
      <c r="W27" s="33">
        <f t="shared" ref="W27:W30" si="17">SUM(H27:K27)</f>
        <v>51.453000000000003</v>
      </c>
      <c r="X27" s="33">
        <f>+W27*0.9</f>
        <v>46.307700000000004</v>
      </c>
      <c r="Y27" s="33">
        <f t="shared" ref="Y27:AG27" si="18">+X27*0.9</f>
        <v>41.676930000000006</v>
      </c>
      <c r="Z27" s="33">
        <f t="shared" si="18"/>
        <v>37.509237000000006</v>
      </c>
      <c r="AA27" s="33">
        <f t="shared" si="18"/>
        <v>33.758313300000005</v>
      </c>
      <c r="AB27" s="33">
        <f t="shared" si="18"/>
        <v>30.382481970000004</v>
      </c>
      <c r="AC27" s="33">
        <f t="shared" si="18"/>
        <v>27.344233773000003</v>
      </c>
      <c r="AD27" s="33">
        <f t="shared" si="18"/>
        <v>24.609810395700002</v>
      </c>
      <c r="AE27" s="33">
        <f t="shared" si="18"/>
        <v>22.148829356130001</v>
      </c>
      <c r="AF27" s="33">
        <f t="shared" si="18"/>
        <v>19.933946420517003</v>
      </c>
      <c r="AG27" s="33">
        <f t="shared" si="18"/>
        <v>17.940551778465302</v>
      </c>
    </row>
    <row r="28" spans="2:33" s="33" customFormat="1">
      <c r="B28" s="34" t="s">
        <v>104</v>
      </c>
      <c r="C28" s="35"/>
      <c r="D28" s="35"/>
      <c r="E28" s="35"/>
      <c r="F28" s="35"/>
      <c r="G28" s="35"/>
      <c r="H28" s="35">
        <v>16.98</v>
      </c>
      <c r="I28" s="35">
        <f t="shared" ref="I28:K30" si="19">+H28</f>
        <v>16.98</v>
      </c>
      <c r="J28" s="35">
        <f t="shared" si="19"/>
        <v>16.98</v>
      </c>
      <c r="K28" s="35">
        <f t="shared" si="19"/>
        <v>16.98</v>
      </c>
      <c r="L28" s="35"/>
      <c r="M28" s="35"/>
      <c r="N28" s="35"/>
      <c r="O28" s="35"/>
      <c r="P28" s="35"/>
      <c r="Q28" s="35"/>
      <c r="R28" s="35"/>
      <c r="S28" s="35">
        <v>126.9</v>
      </c>
      <c r="T28" s="35">
        <v>124.7</v>
      </c>
      <c r="U28" s="35">
        <v>101.2</v>
      </c>
      <c r="V28" s="35">
        <v>81</v>
      </c>
      <c r="W28" s="33">
        <f t="shared" si="17"/>
        <v>67.92</v>
      </c>
      <c r="X28" s="33">
        <f>+W28*0.5</f>
        <v>33.96</v>
      </c>
      <c r="Y28" s="33">
        <f>+X28*0.5</f>
        <v>16.98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</row>
    <row r="29" spans="2:33" s="33" customFormat="1">
      <c r="B29" s="34" t="s">
        <v>105</v>
      </c>
      <c r="C29" s="35"/>
      <c r="D29" s="35"/>
      <c r="E29" s="35"/>
      <c r="F29" s="35"/>
      <c r="G29" s="35"/>
      <c r="H29" s="35">
        <v>1.8</v>
      </c>
      <c r="I29" s="35">
        <f t="shared" si="19"/>
        <v>1.8</v>
      </c>
      <c r="J29" s="35">
        <f t="shared" si="19"/>
        <v>1.8</v>
      </c>
      <c r="K29" s="35">
        <f t="shared" si="19"/>
        <v>1.8</v>
      </c>
      <c r="L29" s="35"/>
      <c r="M29" s="35"/>
      <c r="N29" s="35"/>
      <c r="O29" s="35"/>
      <c r="P29" s="35"/>
      <c r="Q29" s="35"/>
      <c r="R29" s="35"/>
      <c r="S29" s="35">
        <v>12.1</v>
      </c>
      <c r="T29" s="35">
        <v>8.6</v>
      </c>
      <c r="U29" s="35">
        <v>9.1</v>
      </c>
      <c r="V29" s="35">
        <v>8.1999999999999993</v>
      </c>
      <c r="W29" s="33">
        <f t="shared" si="17"/>
        <v>7.2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3">
        <v>0</v>
      </c>
    </row>
    <row r="30" spans="2:33" s="33" customFormat="1">
      <c r="B30" s="34" t="s">
        <v>106</v>
      </c>
      <c r="C30" s="35"/>
      <c r="D30" s="35"/>
      <c r="E30" s="35"/>
      <c r="F30" s="35"/>
      <c r="G30" s="35"/>
      <c r="H30" s="35">
        <v>1.4</v>
      </c>
      <c r="I30" s="35">
        <f t="shared" si="19"/>
        <v>1.4</v>
      </c>
      <c r="J30" s="35">
        <f t="shared" si="19"/>
        <v>1.4</v>
      </c>
      <c r="K30" s="35">
        <f t="shared" si="19"/>
        <v>1.4</v>
      </c>
      <c r="L30" s="35"/>
      <c r="M30" s="35"/>
      <c r="N30" s="35"/>
      <c r="O30" s="35"/>
      <c r="P30" s="35"/>
      <c r="Q30" s="35"/>
      <c r="R30" s="35"/>
      <c r="S30" s="35">
        <f>0.6+4</f>
        <v>4.5999999999999996</v>
      </c>
      <c r="T30" s="35">
        <f>0.7+4.8</f>
        <v>5.5</v>
      </c>
      <c r="U30" s="35">
        <f>0.7+4.3</f>
        <v>5</v>
      </c>
      <c r="V30" s="35">
        <f>1.1+3.9</f>
        <v>5</v>
      </c>
      <c r="W30" s="33">
        <f t="shared" si="17"/>
        <v>5.6</v>
      </c>
      <c r="X30" s="33">
        <f>+W30*1.05</f>
        <v>5.88</v>
      </c>
      <c r="Y30" s="33">
        <f>+X30*1.05</f>
        <v>6.1740000000000004</v>
      </c>
      <c r="Z30" s="33">
        <f>+Y30*1.05</f>
        <v>6.4827000000000004</v>
      </c>
      <c r="AA30" s="33">
        <f t="shared" ref="AA30:AG30" si="20">+Z30*1.05</f>
        <v>6.8068350000000004</v>
      </c>
      <c r="AB30" s="33">
        <f t="shared" si="20"/>
        <v>7.1471767500000007</v>
      </c>
      <c r="AC30" s="33">
        <f t="shared" si="20"/>
        <v>7.5045355875000013</v>
      </c>
      <c r="AD30" s="33">
        <f t="shared" si="20"/>
        <v>7.8797623668750019</v>
      </c>
      <c r="AE30" s="33">
        <f t="shared" si="20"/>
        <v>8.273750485218752</v>
      </c>
      <c r="AF30" s="33">
        <f t="shared" si="20"/>
        <v>8.6874380094796901</v>
      </c>
      <c r="AG30" s="33">
        <f t="shared" si="20"/>
        <v>9.1218099099536758</v>
      </c>
    </row>
    <row r="31" spans="2:33" s="33" customFormat="1">
      <c r="B31" s="33" t="s">
        <v>21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>
        <v>12</v>
      </c>
      <c r="N31" s="35">
        <v>21.5</v>
      </c>
      <c r="O31" s="35">
        <v>28.9</v>
      </c>
      <c r="P31" s="35">
        <v>32.5</v>
      </c>
      <c r="Q31" s="35">
        <v>21.7</v>
      </c>
      <c r="R31" s="35">
        <v>24.5</v>
      </c>
      <c r="S31" s="35"/>
      <c r="T31" s="35"/>
      <c r="U31" s="35"/>
      <c r="V31" s="35"/>
    </row>
    <row r="32" spans="2:33" s="33" customFormat="1">
      <c r="B32" s="34" t="s">
        <v>113</v>
      </c>
      <c r="C32" s="35"/>
      <c r="D32" s="35">
        <v>8.3000000000000007</v>
      </c>
      <c r="E32" s="35">
        <f>16.1-D32</f>
        <v>7.8000000000000007</v>
      </c>
      <c r="F32" s="35">
        <f>25-E32-D32</f>
        <v>8.8999999999999986</v>
      </c>
      <c r="G32" s="35">
        <f>31.3-F32-E32-D32</f>
        <v>6.3000000000000007</v>
      </c>
      <c r="H32" s="35">
        <v>8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>
        <v>31.4</v>
      </c>
      <c r="T32" s="35">
        <v>31.7</v>
      </c>
      <c r="U32" s="35">
        <v>31.3</v>
      </c>
      <c r="V32" s="35">
        <v>31.3</v>
      </c>
    </row>
    <row r="33" spans="2:33" s="33" customFormat="1">
      <c r="B33" s="34" t="s">
        <v>114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>
        <v>6.6</v>
      </c>
      <c r="T33" s="35">
        <v>7.1</v>
      </c>
      <c r="U33" s="35">
        <v>8.3000000000000007</v>
      </c>
      <c r="V33" s="35">
        <v>8.4</v>
      </c>
    </row>
    <row r="34" spans="2:33" s="33" customFormat="1">
      <c r="B34" s="34" t="s">
        <v>109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>
        <v>3.1</v>
      </c>
      <c r="T34" s="35">
        <v>2.2000000000000002</v>
      </c>
      <c r="U34" s="35">
        <v>2.1</v>
      </c>
      <c r="V34" s="35">
        <v>1.9</v>
      </c>
    </row>
    <row r="35" spans="2:33" s="33" customFormat="1">
      <c r="B35" s="34" t="s">
        <v>115</v>
      </c>
      <c r="C35" s="35"/>
      <c r="D35" s="35"/>
      <c r="E35" s="35"/>
      <c r="F35" s="35"/>
      <c r="G35" s="35"/>
      <c r="H35" s="35">
        <v>1.1000000000000001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>
        <v>1.7</v>
      </c>
      <c r="T35" s="35">
        <v>3.2</v>
      </c>
      <c r="U35" s="35">
        <v>3.8</v>
      </c>
      <c r="V35" s="35">
        <v>4.4000000000000004</v>
      </c>
    </row>
    <row r="36" spans="2:33" s="33" customFormat="1">
      <c r="B36" s="34" t="s">
        <v>116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>
        <v>0.2</v>
      </c>
      <c r="T36" s="35">
        <v>0.2</v>
      </c>
      <c r="U36" s="35">
        <v>0.2</v>
      </c>
      <c r="V36" s="35">
        <v>2</v>
      </c>
    </row>
    <row r="37" spans="2:33" s="33" customFormat="1">
      <c r="B37" s="33" t="s">
        <v>27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>
        <v>4.5</v>
      </c>
      <c r="N37" s="35">
        <v>4.5</v>
      </c>
      <c r="O37" s="35">
        <v>4.4000000000000004</v>
      </c>
      <c r="P37" s="35">
        <v>4.4000000000000004</v>
      </c>
      <c r="Q37" s="35">
        <v>4.2</v>
      </c>
      <c r="R37" s="35">
        <v>4</v>
      </c>
      <c r="S37" s="35"/>
      <c r="T37" s="35"/>
      <c r="U37" s="35"/>
      <c r="V37" s="35"/>
    </row>
    <row r="38" spans="2:33" s="33" customFormat="1">
      <c r="B38" s="33" t="s">
        <v>28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>
        <v>122.8</v>
      </c>
      <c r="N38" s="35">
        <v>112.4</v>
      </c>
      <c r="O38" s="35">
        <v>105.1</v>
      </c>
      <c r="P38" s="35">
        <v>98.7</v>
      </c>
      <c r="Q38" s="35">
        <v>93.8</v>
      </c>
      <c r="R38" s="35">
        <v>92</v>
      </c>
      <c r="S38" s="35"/>
      <c r="T38" s="35"/>
      <c r="U38" s="35"/>
      <c r="V38" s="35"/>
    </row>
    <row r="39" spans="2:33" s="33" customFormat="1">
      <c r="B39" s="33" t="s">
        <v>23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>
        <v>42.2</v>
      </c>
      <c r="N39" s="35">
        <v>48.3</v>
      </c>
      <c r="O39" s="35">
        <v>48.5</v>
      </c>
      <c r="P39" s="35">
        <v>46</v>
      </c>
      <c r="Q39" s="35">
        <v>47.4</v>
      </c>
      <c r="R39" s="35">
        <v>47.5</v>
      </c>
      <c r="S39" s="35"/>
      <c r="T39" s="35"/>
      <c r="U39" s="35"/>
      <c r="V39" s="35"/>
    </row>
    <row r="40" spans="2:33" s="33" customFormat="1">
      <c r="B40" s="33" t="s">
        <v>24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>
        <f>23.1+16</f>
        <v>39.1</v>
      </c>
      <c r="N40" s="35">
        <f>22.8+13.4</f>
        <v>36.200000000000003</v>
      </c>
      <c r="O40" s="35">
        <f>20.8+11.9</f>
        <v>32.700000000000003</v>
      </c>
      <c r="P40" s="35">
        <f>19.5+9.7</f>
        <v>29.2</v>
      </c>
      <c r="Q40" s="35">
        <f>18.8+3.1</f>
        <v>21.900000000000002</v>
      </c>
      <c r="R40" s="35">
        <f>19+1.5</f>
        <v>20.5</v>
      </c>
      <c r="S40" s="35"/>
      <c r="T40" s="35"/>
      <c r="U40" s="35"/>
      <c r="V40" s="35"/>
    </row>
    <row r="41" spans="2:33" s="27" customFormat="1" ht="13.15">
      <c r="B41" s="27" t="s">
        <v>25</v>
      </c>
      <c r="C41" s="28"/>
      <c r="D41" s="28">
        <v>194671</v>
      </c>
      <c r="E41" s="28">
        <f>395000-D41</f>
        <v>200329</v>
      </c>
      <c r="F41" s="28">
        <f>604500-E41-D41</f>
        <v>209500</v>
      </c>
      <c r="G41" s="28">
        <f>803200-F41-E41-D41</f>
        <v>198700</v>
      </c>
      <c r="H41" s="28">
        <v>204463</v>
      </c>
      <c r="I41" s="28"/>
      <c r="J41" s="28"/>
      <c r="K41" s="28"/>
      <c r="L41" s="28"/>
      <c r="M41" s="28">
        <f>SUM(M20:M40)</f>
        <v>359.40000000000003</v>
      </c>
      <c r="N41" s="28">
        <f>SUM(N20:N40)</f>
        <v>431.9</v>
      </c>
      <c r="O41" s="28">
        <f>SUM(O20:O40)</f>
        <v>466.8</v>
      </c>
      <c r="P41" s="28">
        <v>500.2</v>
      </c>
      <c r="Q41" s="28">
        <v>533</v>
      </c>
      <c r="R41" s="28">
        <v>601.29999999999995</v>
      </c>
      <c r="S41" s="28">
        <v>674.1</v>
      </c>
      <c r="T41" s="28">
        <v>734.3</v>
      </c>
      <c r="U41" s="28">
        <v>781.74300000000005</v>
      </c>
      <c r="V41" s="28">
        <v>803.15200000000004</v>
      </c>
      <c r="W41" s="27">
        <f>SUM(W3:W18)</f>
        <v>754.6174000000002</v>
      </c>
      <c r="X41" s="27">
        <f t="shared" ref="X41:AG41" si="21">SUM(X3:X18)</f>
        <v>546.29720000000009</v>
      </c>
      <c r="Y41" s="27">
        <f t="shared" si="21"/>
        <v>483.36076740000004</v>
      </c>
      <c r="Z41" s="27">
        <f t="shared" si="21"/>
        <v>428.34439742800004</v>
      </c>
      <c r="AA41" s="27">
        <f t="shared" si="21"/>
        <v>405.74649907755997</v>
      </c>
      <c r="AB41" s="27">
        <f t="shared" si="21"/>
        <v>353.32303988676205</v>
      </c>
      <c r="AC41" s="27">
        <f t="shared" si="21"/>
        <v>329.85271985453994</v>
      </c>
      <c r="AD41" s="27">
        <f t="shared" si="21"/>
        <v>313.53184400403615</v>
      </c>
      <c r="AE41" s="27">
        <f t="shared" si="21"/>
        <v>299.89207106941149</v>
      </c>
      <c r="AF41" s="27">
        <f t="shared" si="21"/>
        <v>287.94264138790368</v>
      </c>
      <c r="AG41" s="27">
        <f t="shared" si="21"/>
        <v>277.39784209056324</v>
      </c>
    </row>
    <row r="42" spans="2:33" s="24" customFormat="1">
      <c r="B42" s="26" t="s">
        <v>98</v>
      </c>
      <c r="C42" s="25"/>
      <c r="D42" s="25">
        <v>38289</v>
      </c>
      <c r="E42" s="25">
        <f>78900-D42</f>
        <v>40611</v>
      </c>
      <c r="F42" s="25">
        <f>121500-E42-D42</f>
        <v>42600</v>
      </c>
      <c r="G42" s="25">
        <f>160700-F42-E42-D42</f>
        <v>39200</v>
      </c>
      <c r="H42" s="25">
        <v>43577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>
        <f>160.728+0.014</f>
        <v>160.74200000000002</v>
      </c>
      <c r="W42" s="24">
        <f>+W41-W43</f>
        <v>150.92348000000004</v>
      </c>
      <c r="X42" s="24">
        <f t="shared" ref="X42:AG42" si="22">+X41-X43</f>
        <v>109.25943999999998</v>
      </c>
      <c r="Y42" s="24">
        <f t="shared" si="22"/>
        <v>96.672153479999963</v>
      </c>
      <c r="Z42" s="24">
        <f t="shared" si="22"/>
        <v>85.668879485599973</v>
      </c>
      <c r="AA42" s="24">
        <f t="shared" si="22"/>
        <v>81.149299815511995</v>
      </c>
      <c r="AB42" s="24">
        <f t="shared" si="22"/>
        <v>70.664607977352375</v>
      </c>
      <c r="AC42" s="24">
        <f t="shared" si="22"/>
        <v>65.970543970907954</v>
      </c>
      <c r="AD42" s="24">
        <f t="shared" si="22"/>
        <v>62.706368800807212</v>
      </c>
      <c r="AE42" s="24">
        <f t="shared" si="22"/>
        <v>59.978414213882274</v>
      </c>
      <c r="AF42" s="24">
        <f t="shared" si="22"/>
        <v>57.588528277580735</v>
      </c>
      <c r="AG42" s="24">
        <f t="shared" si="22"/>
        <v>55.479568418112649</v>
      </c>
    </row>
    <row r="43" spans="2:33" s="24" customFormat="1">
      <c r="B43" s="26" t="s">
        <v>97</v>
      </c>
      <c r="C43" s="25"/>
      <c r="D43" s="25">
        <f>+D41-D42</f>
        <v>156382</v>
      </c>
      <c r="E43" s="25">
        <f>+E41-E42</f>
        <v>159718</v>
      </c>
      <c r="F43" s="25">
        <f>+F41-F42</f>
        <v>166900</v>
      </c>
      <c r="G43" s="25">
        <f>+G41-G42</f>
        <v>159500</v>
      </c>
      <c r="H43" s="25">
        <f>+H41-H42</f>
        <v>160886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>
        <f>+V41-V42</f>
        <v>642.41000000000008</v>
      </c>
      <c r="W43" s="24">
        <f>+W41*W53</f>
        <v>603.69392000000016</v>
      </c>
      <c r="X43" s="24">
        <f t="shared" ref="X43:AG43" si="23">+X41*X53</f>
        <v>437.03776000000011</v>
      </c>
      <c r="Y43" s="24">
        <f t="shared" si="23"/>
        <v>386.68861392000008</v>
      </c>
      <c r="Z43" s="24">
        <f t="shared" si="23"/>
        <v>342.67551794240006</v>
      </c>
      <c r="AA43" s="24">
        <f t="shared" si="23"/>
        <v>324.59719926204798</v>
      </c>
      <c r="AB43" s="24">
        <f t="shared" si="23"/>
        <v>282.65843190940967</v>
      </c>
      <c r="AC43" s="24">
        <f t="shared" si="23"/>
        <v>263.88217588363199</v>
      </c>
      <c r="AD43" s="24">
        <f t="shared" si="23"/>
        <v>250.82547520322893</v>
      </c>
      <c r="AE43" s="24">
        <f t="shared" si="23"/>
        <v>239.91365685552921</v>
      </c>
      <c r="AF43" s="24">
        <f t="shared" si="23"/>
        <v>230.35411311032294</v>
      </c>
      <c r="AG43" s="24">
        <f t="shared" si="23"/>
        <v>221.9182736724506</v>
      </c>
    </row>
    <row r="44" spans="2:33" s="24" customFormat="1">
      <c r="B44" s="26" t="s">
        <v>96</v>
      </c>
      <c r="C44" s="25"/>
      <c r="D44" s="25">
        <v>92800</v>
      </c>
      <c r="E44" s="25">
        <f>186300-D44</f>
        <v>93500</v>
      </c>
      <c r="F44" s="25">
        <f>281100-E44-D44</f>
        <v>94800</v>
      </c>
      <c r="G44" s="25">
        <f>376900-F44-E44-D44</f>
        <v>95800</v>
      </c>
      <c r="H44" s="25">
        <v>92100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>
        <v>556.00199999999995</v>
      </c>
      <c r="W44" s="24">
        <f>+W41*W54</f>
        <v>339.57783000000012</v>
      </c>
      <c r="X44" s="24">
        <f t="shared" ref="X44:AG44" si="24">+X41*X54</f>
        <v>245.83374000000003</v>
      </c>
      <c r="Y44" s="24">
        <f t="shared" si="24"/>
        <v>217.51234533000002</v>
      </c>
      <c r="Z44" s="24">
        <f t="shared" si="24"/>
        <v>192.75497884260002</v>
      </c>
      <c r="AA44" s="24">
        <f t="shared" si="24"/>
        <v>182.58592458490199</v>
      </c>
      <c r="AB44" s="24">
        <f t="shared" si="24"/>
        <v>158.99536794904293</v>
      </c>
      <c r="AC44" s="24">
        <f t="shared" si="24"/>
        <v>148.43372393454297</v>
      </c>
      <c r="AD44" s="24">
        <f t="shared" si="24"/>
        <v>141.08932980181626</v>
      </c>
      <c r="AE44" s="24">
        <f t="shared" si="24"/>
        <v>134.95143198123517</v>
      </c>
      <c r="AF44" s="24">
        <f t="shared" si="24"/>
        <v>129.57418862455665</v>
      </c>
      <c r="AG44" s="24">
        <f t="shared" si="24"/>
        <v>124.82902894075346</v>
      </c>
    </row>
    <row r="45" spans="2:33" s="24" customFormat="1">
      <c r="B45" s="26" t="s">
        <v>141</v>
      </c>
      <c r="C45" s="25"/>
      <c r="D45" s="25">
        <v>39400</v>
      </c>
      <c r="E45" s="25">
        <f>80700-D45</f>
        <v>41300</v>
      </c>
      <c r="F45" s="25">
        <f>116800-E45-D45</f>
        <v>36100</v>
      </c>
      <c r="G45" s="25">
        <f>179100-F45-E45-D45</f>
        <v>62300</v>
      </c>
      <c r="H45" s="25">
        <v>36000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2:33" s="24" customFormat="1">
      <c r="B46" s="26" t="s">
        <v>142</v>
      </c>
      <c r="C46" s="25"/>
      <c r="D46" s="25">
        <f>+D45+D44</f>
        <v>132200</v>
      </c>
      <c r="E46" s="25">
        <f>+E45+E44</f>
        <v>134800</v>
      </c>
      <c r="F46" s="25">
        <f>+F45+F44</f>
        <v>130900</v>
      </c>
      <c r="G46" s="25">
        <f>+G45+G44</f>
        <v>158100</v>
      </c>
      <c r="H46" s="25">
        <f>+H45+H44</f>
        <v>128100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2:33" s="24" customFormat="1">
      <c r="B47" s="26" t="s">
        <v>95</v>
      </c>
      <c r="C47" s="25"/>
      <c r="D47" s="25">
        <f>+D43-D46</f>
        <v>24182</v>
      </c>
      <c r="E47" s="25">
        <f>+E43-E46</f>
        <v>24918</v>
      </c>
      <c r="F47" s="25">
        <f>+F43-F46</f>
        <v>36000</v>
      </c>
      <c r="G47" s="25">
        <f>+G43-G46</f>
        <v>1400</v>
      </c>
      <c r="H47" s="25">
        <f>+H43-H46</f>
        <v>32786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>
        <f>+V43-V44</f>
        <v>86.408000000000129</v>
      </c>
      <c r="W47" s="25">
        <f>+W43-W44</f>
        <v>264.11609000000004</v>
      </c>
      <c r="X47" s="25">
        <f t="shared" ref="X47:AG47" si="25">+X43-X44</f>
        <v>191.20402000000007</v>
      </c>
      <c r="Y47" s="25">
        <f t="shared" si="25"/>
        <v>169.17626859000006</v>
      </c>
      <c r="Z47" s="25">
        <f t="shared" si="25"/>
        <v>149.92053909980004</v>
      </c>
      <c r="AA47" s="25">
        <f t="shared" si="25"/>
        <v>142.01127467714599</v>
      </c>
      <c r="AB47" s="25">
        <f t="shared" si="25"/>
        <v>123.66306396036674</v>
      </c>
      <c r="AC47" s="25">
        <f t="shared" si="25"/>
        <v>115.44845194908902</v>
      </c>
      <c r="AD47" s="25">
        <f t="shared" si="25"/>
        <v>109.73614540141267</v>
      </c>
      <c r="AE47" s="25">
        <f t="shared" si="25"/>
        <v>104.96222487429404</v>
      </c>
      <c r="AF47" s="25">
        <f t="shared" si="25"/>
        <v>100.77992448576629</v>
      </c>
      <c r="AG47" s="25">
        <f t="shared" si="25"/>
        <v>97.089244731697136</v>
      </c>
    </row>
    <row r="48" spans="2:33" s="24" customFormat="1">
      <c r="B48" s="26" t="s">
        <v>94</v>
      </c>
      <c r="C48" s="25"/>
      <c r="D48" s="25">
        <f>1397-2364</f>
        <v>-967</v>
      </c>
      <c r="E48" s="25"/>
      <c r="F48" s="25"/>
      <c r="G48" s="25"/>
      <c r="H48" s="25">
        <f>825-3431</f>
        <v>-2606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>
        <f>2.379-9.095</f>
        <v>-6.7160000000000011</v>
      </c>
    </row>
    <row r="49" spans="2:86" s="24" customFormat="1">
      <c r="B49" s="26" t="s">
        <v>93</v>
      </c>
      <c r="C49" s="25"/>
      <c r="D49" s="25">
        <f>+D47+D48</f>
        <v>23215</v>
      </c>
      <c r="E49" s="25"/>
      <c r="F49" s="25"/>
      <c r="G49" s="25"/>
      <c r="H49" s="25">
        <f>+H47+H48</f>
        <v>30180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>
        <f>+V47+V48</f>
        <v>79.692000000000121</v>
      </c>
      <c r="W49" s="25">
        <f t="shared" ref="W49:AG49" si="26">+W47+W48</f>
        <v>264.11609000000004</v>
      </c>
      <c r="X49" s="25">
        <f t="shared" si="26"/>
        <v>191.20402000000007</v>
      </c>
      <c r="Y49" s="25">
        <f t="shared" si="26"/>
        <v>169.17626859000006</v>
      </c>
      <c r="Z49" s="25">
        <f t="shared" si="26"/>
        <v>149.92053909980004</v>
      </c>
      <c r="AA49" s="25">
        <f t="shared" si="26"/>
        <v>142.01127467714599</v>
      </c>
      <c r="AB49" s="25">
        <f t="shared" si="26"/>
        <v>123.66306396036674</v>
      </c>
      <c r="AC49" s="25">
        <f t="shared" si="26"/>
        <v>115.44845194908902</v>
      </c>
      <c r="AD49" s="25">
        <f t="shared" si="26"/>
        <v>109.73614540141267</v>
      </c>
      <c r="AE49" s="25">
        <f t="shared" si="26"/>
        <v>104.96222487429404</v>
      </c>
      <c r="AF49" s="25">
        <f t="shared" si="26"/>
        <v>100.77992448576629</v>
      </c>
      <c r="AG49" s="25">
        <f t="shared" si="26"/>
        <v>97.089244731697136</v>
      </c>
    </row>
    <row r="50" spans="2:86" s="24" customFormat="1">
      <c r="B50" s="26" t="s">
        <v>92</v>
      </c>
      <c r="C50" s="25"/>
      <c r="D50" s="25">
        <v>6617</v>
      </c>
      <c r="E50" s="25"/>
      <c r="F50" s="25"/>
      <c r="G50" s="25"/>
      <c r="H50" s="25">
        <v>10287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>
        <v>33.414999999999999</v>
      </c>
      <c r="W50" s="24">
        <f>+W49*W55</f>
        <v>92.440631500000009</v>
      </c>
      <c r="X50" s="24">
        <f t="shared" ref="X50:AG50" si="27">+X49*X55</f>
        <v>66.921407000000016</v>
      </c>
      <c r="Y50" s="24">
        <f t="shared" si="27"/>
        <v>59.211694006500018</v>
      </c>
      <c r="Z50" s="24">
        <f t="shared" si="27"/>
        <v>52.472188684930011</v>
      </c>
      <c r="AA50" s="24">
        <f t="shared" si="27"/>
        <v>49.703946137001097</v>
      </c>
      <c r="AB50" s="24">
        <f t="shared" si="27"/>
        <v>43.282072386128355</v>
      </c>
      <c r="AC50" s="24">
        <f t="shared" si="27"/>
        <v>40.406958182181157</v>
      </c>
      <c r="AD50" s="24">
        <f t="shared" si="27"/>
        <v>38.40765089049443</v>
      </c>
      <c r="AE50" s="24">
        <f t="shared" si="27"/>
        <v>36.736778706002909</v>
      </c>
      <c r="AF50" s="24">
        <f t="shared" si="27"/>
        <v>35.272973570018195</v>
      </c>
      <c r="AG50" s="24">
        <f t="shared" si="27"/>
        <v>33.981235656093993</v>
      </c>
    </row>
    <row r="51" spans="2:86" s="24" customFormat="1">
      <c r="B51" s="26" t="s">
        <v>91</v>
      </c>
      <c r="C51" s="25"/>
      <c r="D51" s="25">
        <f>+D49-D50</f>
        <v>16598</v>
      </c>
      <c r="E51" s="25"/>
      <c r="F51" s="25"/>
      <c r="G51" s="25"/>
      <c r="H51" s="25">
        <f>+H49-H50</f>
        <v>19893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>
        <f>+V49-V50</f>
        <v>46.277000000000122</v>
      </c>
      <c r="W51" s="25">
        <f t="shared" ref="W51" si="28">+W49-W50</f>
        <v>171.67545850000005</v>
      </c>
      <c r="X51" s="25">
        <f t="shared" ref="X51" si="29">+X49-X50</f>
        <v>124.28261300000005</v>
      </c>
      <c r="Y51" s="25">
        <f t="shared" ref="Y51" si="30">+Y49-Y50</f>
        <v>109.96457458350005</v>
      </c>
      <c r="Z51" s="25">
        <f t="shared" ref="Z51" si="31">+Z49-Z50</f>
        <v>97.448350414870021</v>
      </c>
      <c r="AA51" s="25">
        <f t="shared" ref="AA51" si="32">+AA49-AA50</f>
        <v>92.307328540144894</v>
      </c>
      <c r="AB51" s="25">
        <f t="shared" ref="AB51" si="33">+AB49-AB50</f>
        <v>80.380991574238379</v>
      </c>
      <c r="AC51" s="25">
        <f t="shared" ref="AC51" si="34">+AC49-AC50</f>
        <v>75.041493766907863</v>
      </c>
      <c r="AD51" s="25">
        <f t="shared" ref="AD51" si="35">+AD49-AD50</f>
        <v>71.328494510918233</v>
      </c>
      <c r="AE51" s="25">
        <f t="shared" ref="AE51" si="36">+AE49-AE50</f>
        <v>68.225446168291128</v>
      </c>
      <c r="AF51" s="25">
        <f t="shared" ref="AF51" si="37">+AF49-AF50</f>
        <v>65.506950915748092</v>
      </c>
      <c r="AG51" s="25">
        <f t="shared" ref="AG51" si="38">+AG49-AG50</f>
        <v>63.108009075603142</v>
      </c>
      <c r="AH51" s="24">
        <f>AG51*(1+$AJ$53)</f>
        <v>62.476928984847113</v>
      </c>
      <c r="AI51" s="24">
        <f t="shared" ref="AI51:CH51" si="39">AH51*(1+$AJ$53)</f>
        <v>61.85215969499864</v>
      </c>
      <c r="AJ51" s="24">
        <f t="shared" si="39"/>
        <v>61.233638098048651</v>
      </c>
      <c r="AK51" s="24">
        <f t="shared" si="39"/>
        <v>60.621301717068164</v>
      </c>
      <c r="AL51" s="24">
        <f t="shared" si="39"/>
        <v>60.015088699897483</v>
      </c>
      <c r="AM51" s="24">
        <f t="shared" si="39"/>
        <v>59.414937812898508</v>
      </c>
      <c r="AN51" s="24">
        <f t="shared" si="39"/>
        <v>58.820788434769526</v>
      </c>
      <c r="AO51" s="24">
        <f t="shared" si="39"/>
        <v>58.232580550421829</v>
      </c>
      <c r="AP51" s="24">
        <f t="shared" si="39"/>
        <v>57.650254744917611</v>
      </c>
      <c r="AQ51" s="24">
        <f t="shared" si="39"/>
        <v>57.073752197468437</v>
      </c>
      <c r="AR51" s="24">
        <f t="shared" si="39"/>
        <v>56.503014675493752</v>
      </c>
      <c r="AS51" s="24">
        <f t="shared" si="39"/>
        <v>55.937984528738816</v>
      </c>
      <c r="AT51" s="24">
        <f t="shared" si="39"/>
        <v>55.378604683451428</v>
      </c>
      <c r="AU51" s="24">
        <f t="shared" si="39"/>
        <v>54.824818636616911</v>
      </c>
      <c r="AV51" s="24">
        <f t="shared" si="39"/>
        <v>54.276570450250745</v>
      </c>
      <c r="AW51" s="24">
        <f t="shared" si="39"/>
        <v>53.733804745748238</v>
      </c>
      <c r="AX51" s="24">
        <f t="shared" si="39"/>
        <v>53.196466698290756</v>
      </c>
      <c r="AY51" s="24">
        <f t="shared" si="39"/>
        <v>52.664502031307848</v>
      </c>
      <c r="AZ51" s="24">
        <f t="shared" si="39"/>
        <v>52.137857010994772</v>
      </c>
      <c r="BA51" s="24">
        <f t="shared" si="39"/>
        <v>51.616478440884826</v>
      </c>
      <c r="BB51" s="24">
        <f t="shared" si="39"/>
        <v>51.100313656475976</v>
      </c>
      <c r="BC51" s="24">
        <f t="shared" si="39"/>
        <v>50.589310519911216</v>
      </c>
      <c r="BD51" s="24">
        <f t="shared" si="39"/>
        <v>50.083417414712102</v>
      </c>
      <c r="BE51" s="24">
        <f t="shared" si="39"/>
        <v>49.582583240564979</v>
      </c>
      <c r="BF51" s="24">
        <f t="shared" si="39"/>
        <v>49.086757408159329</v>
      </c>
      <c r="BG51" s="24">
        <f t="shared" si="39"/>
        <v>48.595889834077738</v>
      </c>
      <c r="BH51" s="24">
        <f t="shared" si="39"/>
        <v>48.109930935736962</v>
      </c>
      <c r="BI51" s="24">
        <f t="shared" si="39"/>
        <v>47.628831626379593</v>
      </c>
      <c r="BJ51" s="24">
        <f t="shared" si="39"/>
        <v>47.152543310115796</v>
      </c>
      <c r="BK51" s="24">
        <f t="shared" si="39"/>
        <v>46.681017877014639</v>
      </c>
      <c r="BL51" s="24">
        <f t="shared" si="39"/>
        <v>46.214207698244493</v>
      </c>
      <c r="BM51" s="24">
        <f t="shared" si="39"/>
        <v>45.752065621262048</v>
      </c>
      <c r="BN51" s="24">
        <f t="shared" si="39"/>
        <v>45.294544965049425</v>
      </c>
      <c r="BO51" s="24">
        <f t="shared" si="39"/>
        <v>44.841599515398933</v>
      </c>
      <c r="BP51" s="24">
        <f t="shared" si="39"/>
        <v>44.393183520244946</v>
      </c>
      <c r="BQ51" s="24">
        <f t="shared" si="39"/>
        <v>43.949251685042498</v>
      </c>
      <c r="BR51" s="24">
        <f t="shared" si="39"/>
        <v>43.509759168192069</v>
      </c>
      <c r="BS51" s="24">
        <f t="shared" si="39"/>
        <v>43.074661576510145</v>
      </c>
      <c r="BT51" s="24">
        <f t="shared" si="39"/>
        <v>42.643914960745043</v>
      </c>
      <c r="BU51" s="24">
        <f t="shared" si="39"/>
        <v>42.217475811137589</v>
      </c>
      <c r="BV51" s="24">
        <f t="shared" si="39"/>
        <v>41.795301053026215</v>
      </c>
      <c r="BW51" s="24">
        <f t="shared" si="39"/>
        <v>41.377348042495953</v>
      </c>
      <c r="BX51" s="24">
        <f t="shared" si="39"/>
        <v>40.963574562070995</v>
      </c>
      <c r="BY51" s="24">
        <f t="shared" si="39"/>
        <v>40.553938816450284</v>
      </c>
      <c r="BZ51" s="24">
        <f t="shared" si="39"/>
        <v>40.148399428285778</v>
      </c>
      <c r="CA51" s="24">
        <f t="shared" si="39"/>
        <v>39.746915434002922</v>
      </c>
      <c r="CB51" s="24">
        <f t="shared" si="39"/>
        <v>39.349446279662892</v>
      </c>
      <c r="CC51" s="24">
        <f t="shared" si="39"/>
        <v>38.955951816866261</v>
      </c>
      <c r="CD51" s="24">
        <f t="shared" si="39"/>
        <v>38.5663922986976</v>
      </c>
      <c r="CE51" s="24">
        <f t="shared" si="39"/>
        <v>38.180728375710622</v>
      </c>
      <c r="CF51" s="24">
        <f t="shared" si="39"/>
        <v>37.798921091953517</v>
      </c>
      <c r="CG51" s="24">
        <f t="shared" si="39"/>
        <v>37.420931881033979</v>
      </c>
      <c r="CH51" s="24">
        <f t="shared" si="39"/>
        <v>37.046722562223643</v>
      </c>
    </row>
    <row r="53" spans="2:86">
      <c r="B53" s="26" t="s">
        <v>125</v>
      </c>
      <c r="C53" s="29"/>
      <c r="D53" s="29">
        <f>+D43/D41</f>
        <v>0.80331430978420004</v>
      </c>
      <c r="E53" s="29">
        <f>+E43/E41</f>
        <v>0.79727847690549047</v>
      </c>
      <c r="F53" s="29">
        <f>+F43/F41</f>
        <v>0.79665871121718379</v>
      </c>
      <c r="G53" s="29"/>
      <c r="H53" s="29">
        <f>+H43/H41</f>
        <v>0.7868709742104929</v>
      </c>
      <c r="V53" s="29">
        <f>V43/V41</f>
        <v>0.79986104747295661</v>
      </c>
      <c r="W53" s="29">
        <v>0.8</v>
      </c>
      <c r="X53" s="29">
        <v>0.8</v>
      </c>
      <c r="Y53" s="29">
        <v>0.8</v>
      </c>
      <c r="Z53" s="29">
        <v>0.8</v>
      </c>
      <c r="AA53" s="29">
        <v>0.8</v>
      </c>
      <c r="AB53" s="29">
        <v>0.8</v>
      </c>
      <c r="AC53" s="29">
        <v>0.8</v>
      </c>
      <c r="AD53" s="29">
        <v>0.8</v>
      </c>
      <c r="AE53" s="29">
        <v>0.8</v>
      </c>
      <c r="AF53" s="29">
        <v>0.8</v>
      </c>
      <c r="AG53" s="29">
        <v>0.8</v>
      </c>
      <c r="AI53" s="15" t="s">
        <v>130</v>
      </c>
      <c r="AJ53" s="30">
        <v>-0.01</v>
      </c>
    </row>
    <row r="54" spans="2:86">
      <c r="B54" s="26" t="s">
        <v>126</v>
      </c>
      <c r="D54" s="29">
        <f>+D44/D41</f>
        <v>0.47670171725629396</v>
      </c>
      <c r="E54" s="29">
        <f>+E44/E41</f>
        <v>0.46673222548907045</v>
      </c>
      <c r="F54" s="29">
        <f>+F44/F41</f>
        <v>0.45250596658711217</v>
      </c>
      <c r="H54" s="29">
        <f>+H44/H41</f>
        <v>0.45044824736015809</v>
      </c>
      <c r="V54" s="29">
        <f>V44/V41</f>
        <v>0.69227493674920804</v>
      </c>
      <c r="W54" s="29">
        <v>0.45</v>
      </c>
      <c r="X54" s="29">
        <v>0.45</v>
      </c>
      <c r="Y54" s="29">
        <v>0.45</v>
      </c>
      <c r="Z54" s="29">
        <v>0.45</v>
      </c>
      <c r="AA54" s="29">
        <v>0.45</v>
      </c>
      <c r="AB54" s="29">
        <v>0.45</v>
      </c>
      <c r="AC54" s="29">
        <v>0.45</v>
      </c>
      <c r="AD54" s="29">
        <v>0.45</v>
      </c>
      <c r="AE54" s="29">
        <v>0.45</v>
      </c>
      <c r="AF54" s="29">
        <v>0.45</v>
      </c>
      <c r="AG54" s="29">
        <v>0.45</v>
      </c>
      <c r="AI54" s="26" t="s">
        <v>128</v>
      </c>
      <c r="AJ54" s="30">
        <v>0.11</v>
      </c>
    </row>
    <row r="55" spans="2:86">
      <c r="B55" s="26" t="s">
        <v>127</v>
      </c>
      <c r="D55" s="29">
        <f>+D50/D49</f>
        <v>0.28503122980831358</v>
      </c>
      <c r="H55" s="29">
        <f>+H50/H49</f>
        <v>0.34085487077534793</v>
      </c>
      <c r="V55" s="29">
        <f>V50/V49</f>
        <v>0.41930181197610739</v>
      </c>
      <c r="W55" s="29">
        <v>0.35</v>
      </c>
      <c r="X55" s="29">
        <v>0.35</v>
      </c>
      <c r="Y55" s="29">
        <v>0.35</v>
      </c>
      <c r="Z55" s="29">
        <v>0.35</v>
      </c>
      <c r="AA55" s="29">
        <v>0.35</v>
      </c>
      <c r="AB55" s="29">
        <v>0.35</v>
      </c>
      <c r="AC55" s="29">
        <v>0.35</v>
      </c>
      <c r="AD55" s="29">
        <v>0.35</v>
      </c>
      <c r="AE55" s="29">
        <v>0.35</v>
      </c>
      <c r="AF55" s="29">
        <v>0.35</v>
      </c>
      <c r="AG55" s="29">
        <v>0.35</v>
      </c>
      <c r="AI55" s="15" t="s">
        <v>129</v>
      </c>
      <c r="AJ55" s="31">
        <f>NPV(AJ54,X51:CH51)+W51+((Main!K5-Main!K6)/1000)</f>
        <v>828.62205231160272</v>
      </c>
    </row>
    <row r="56" spans="2:86">
      <c r="AI56" s="15" t="s">
        <v>131</v>
      </c>
      <c r="AJ56" s="24">
        <f>AJ55/Main!K3*1000</f>
        <v>2904.6532537546454</v>
      </c>
    </row>
    <row r="57" spans="2:86">
      <c r="B57" s="26" t="s">
        <v>137</v>
      </c>
      <c r="H57" s="29">
        <f>H41/D41-1</f>
        <v>5.0300250165664195E-2</v>
      </c>
    </row>
    <row r="60" spans="2:86" s="24" customFormat="1">
      <c r="B60" s="26" t="s">
        <v>138</v>
      </c>
      <c r="C60" s="25"/>
      <c r="D60" s="25"/>
      <c r="E60" s="25"/>
      <c r="F60" s="25"/>
      <c r="G60" s="25"/>
      <c r="H60" s="25">
        <v>28178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 spans="2:86" s="24" customFormat="1">
      <c r="B61" s="26" t="s">
        <v>139</v>
      </c>
      <c r="C61" s="25"/>
      <c r="D61" s="25"/>
      <c r="E61" s="25"/>
      <c r="F61" s="25"/>
      <c r="G61" s="25"/>
      <c r="H61" s="25">
        <v>3345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</row>
    <row r="62" spans="2:86" s="24" customFormat="1">
      <c r="B62" s="26" t="s">
        <v>140</v>
      </c>
      <c r="C62" s="25"/>
      <c r="D62" s="25"/>
      <c r="E62" s="25"/>
      <c r="F62" s="25"/>
      <c r="G62" s="25"/>
      <c r="H62" s="25">
        <f>+H60-H61</f>
        <v>24833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</row>
    <row r="64" spans="2:86">
      <c r="B64" s="26" t="s">
        <v>143</v>
      </c>
      <c r="H64" s="29">
        <f>H3*1000/H41</f>
        <v>0.40579958232051766</v>
      </c>
    </row>
    <row r="65" spans="2:8">
      <c r="B65" s="26" t="s">
        <v>144</v>
      </c>
      <c r="H65" s="29">
        <f>H4*1000/H41</f>
        <v>0.17251532062035671</v>
      </c>
    </row>
  </sheetData>
  <phoneticPr fontId="1" type="noConversion"/>
  <hyperlinks>
    <hyperlink ref="A1" location="Main!A1" display="Main"/>
  </hyperlink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2.75"/>
  <cols>
    <col min="1" max="1" width="5" bestFit="1" customWidth="1"/>
    <col min="2" max="2" width="12.86328125" bestFit="1" customWidth="1"/>
  </cols>
  <sheetData>
    <row r="1" spans="1:3">
      <c r="A1" s="17" t="s">
        <v>74</v>
      </c>
    </row>
    <row r="2" spans="1:3">
      <c r="B2" s="15" t="s">
        <v>75</v>
      </c>
    </row>
    <row r="3" spans="1:3">
      <c r="B3" s="15" t="s">
        <v>76</v>
      </c>
      <c r="C3" s="15" t="s">
        <v>77</v>
      </c>
    </row>
    <row r="4" spans="1:3">
      <c r="B4" s="15" t="s">
        <v>78</v>
      </c>
    </row>
    <row r="5" spans="1:3" ht="13.15">
      <c r="C5" s="16" t="s">
        <v>79</v>
      </c>
    </row>
    <row r="6" spans="1:3">
      <c r="C6" s="15" t="s">
        <v>80</v>
      </c>
    </row>
  </sheetData>
  <hyperlinks>
    <hyperlink ref="A1" location="Main!A1" display="Ma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2.75"/>
  <cols>
    <col min="1" max="1" width="5" bestFit="1" customWidth="1"/>
    <col min="2" max="2" width="11.265625" bestFit="1" customWidth="1"/>
  </cols>
  <sheetData>
    <row r="1" spans="1:3">
      <c r="A1" s="17" t="s">
        <v>74</v>
      </c>
    </row>
    <row r="2" spans="1:3">
      <c r="B2" s="15" t="s">
        <v>75</v>
      </c>
      <c r="C2" s="15" t="s">
        <v>17</v>
      </c>
    </row>
    <row r="3" spans="1:3">
      <c r="B3" s="15" t="s">
        <v>37</v>
      </c>
      <c r="C3" s="15" t="s">
        <v>145</v>
      </c>
    </row>
    <row r="4" spans="1:3">
      <c r="C4" t="s">
        <v>146</v>
      </c>
    </row>
  </sheetData>
  <hyperlinks>
    <hyperlink ref="A1" location="Main!A1" display="Main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B4E8AA-266C-4096-9B78-3D1733173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72A435-FD47-47E5-83E0-F66BFE1A5D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1818A-A9D5-4857-90A0-44E2279C4FA6}">
  <ds:schemaRefs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eribulin</vt:lpstr>
      <vt:lpstr>Aricept</vt:lpstr>
    </vt:vector>
  </TitlesOfParts>
  <Company>Capital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MARTINSHKRELI</cp:lastModifiedBy>
  <dcterms:created xsi:type="dcterms:W3CDTF">2005-08-11T16:22:42Z</dcterms:created>
  <dcterms:modified xsi:type="dcterms:W3CDTF">2014-12-08T02:35:57Z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