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theme/themeOverride1.xml" ContentType="application/vnd.openxmlformats-officedocument.themeOverrid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artin\Dropbox (Turing Pharma)\TuringPharma Shared Drive\Models\"/>
    </mc:Choice>
  </mc:AlternateContent>
  <bookViews>
    <workbookView xWindow="360" yWindow="60" windowWidth="18195" windowHeight="8250"/>
  </bookViews>
  <sheets>
    <sheet name="Main" sheetId="2" r:id="rId1"/>
    <sheet name="Model" sheetId="1" r:id="rId2"/>
    <sheet name="Marketed products" sheetId="3" r:id="rId3"/>
    <sheet name="ONO-4641" sheetId="4" r:id="rId4"/>
    <sheet name="ONO-7165" sheetId="5" r:id="rId5"/>
    <sheet name="ONO-5163" sheetId="7" r:id="rId6"/>
    <sheet name="Ivabradine" sheetId="8" r:id="rId7"/>
    <sheet name="Deals" sheetId="9" r:id="rId8"/>
    <sheet name="Sheet1" sheetId="10" r:id="rId9"/>
  </sheets>
  <definedNames>
    <definedName name="_xlnm.Print_Area" localSheetId="1">Model!$B$2:$Z$58</definedName>
  </definedNames>
  <calcPr calcId="152511"/>
</workbook>
</file>

<file path=xl/calcChain.xml><?xml version="1.0" encoding="utf-8"?>
<calcChain xmlns="http://schemas.openxmlformats.org/spreadsheetml/2006/main">
  <c r="J6" i="2" l="1"/>
  <c r="J5" i="2"/>
  <c r="F37" i="1" l="1"/>
  <c r="J37" i="1"/>
  <c r="P16" i="1"/>
  <c r="Q16" i="1" s="1"/>
  <c r="R16" i="1" s="1"/>
  <c r="S16" i="1" s="1"/>
  <c r="T16" i="1" s="1"/>
  <c r="U16" i="1" s="1"/>
  <c r="V16" i="1" s="1"/>
  <c r="W16" i="1" s="1"/>
  <c r="X16" i="1" s="1"/>
  <c r="Y16" i="1" s="1"/>
  <c r="Z16" i="1" s="1"/>
  <c r="D17" i="1"/>
  <c r="E17" i="1"/>
  <c r="F17" i="1"/>
  <c r="G17" i="1"/>
  <c r="H17" i="1"/>
  <c r="I17" i="1"/>
  <c r="J17" i="1"/>
  <c r="D18" i="1"/>
  <c r="E18" i="1"/>
  <c r="F18" i="1"/>
  <c r="G18" i="1"/>
  <c r="H18" i="1"/>
  <c r="I18" i="1"/>
  <c r="J18" i="1"/>
  <c r="D19" i="1"/>
  <c r="E19" i="1"/>
  <c r="F19" i="1"/>
  <c r="G19" i="1"/>
  <c r="H19" i="1"/>
  <c r="I19" i="1"/>
  <c r="J19" i="1"/>
  <c r="C17" i="1"/>
  <c r="C18" i="1"/>
  <c r="C19" i="1"/>
  <c r="H16" i="1" l="1"/>
  <c r="C16" i="1"/>
  <c r="D16" i="1"/>
  <c r="G16" i="1"/>
  <c r="F16" i="1"/>
  <c r="E16" i="1"/>
  <c r="C44" i="1"/>
  <c r="D44" i="1"/>
  <c r="D38" i="1"/>
  <c r="E44" i="1"/>
  <c r="E38" i="1"/>
  <c r="G49" i="1"/>
  <c r="G44" i="1"/>
  <c r="G38" i="1"/>
  <c r="G37" i="1" s="1"/>
  <c r="H44" i="1"/>
  <c r="H38" i="1"/>
  <c r="H37" i="1" s="1"/>
  <c r="I49" i="1"/>
  <c r="I44" i="1"/>
  <c r="I38" i="1"/>
  <c r="G57" i="1"/>
  <c r="H57" i="1"/>
  <c r="I57" i="1"/>
  <c r="J57" i="1"/>
  <c r="G50" i="1"/>
  <c r="G58" i="1" s="1"/>
  <c r="J50" i="1"/>
  <c r="J45" i="1"/>
  <c r="L49" i="1"/>
  <c r="L44" i="1"/>
  <c r="L38" i="1"/>
  <c r="L37" i="1" s="1"/>
  <c r="M49" i="1"/>
  <c r="M55" i="1"/>
  <c r="M44" i="1"/>
  <c r="M38" i="1"/>
  <c r="M37" i="1" s="1"/>
  <c r="N49" i="1"/>
  <c r="N44" i="1"/>
  <c r="N38" i="1"/>
  <c r="N37" i="1" s="1"/>
  <c r="N27" i="1"/>
  <c r="N25" i="1"/>
  <c r="O27" i="1"/>
  <c r="O25" i="1"/>
  <c r="O49" i="1"/>
  <c r="O48" i="1"/>
  <c r="O46" i="1"/>
  <c r="O44" i="1"/>
  <c r="O38" i="1"/>
  <c r="O37" i="1" s="1"/>
  <c r="G45" i="1" l="1"/>
  <c r="I45" i="1"/>
  <c r="I37" i="1"/>
  <c r="E45" i="1"/>
  <c r="E37" i="1"/>
  <c r="D45" i="1"/>
  <c r="D37" i="1"/>
  <c r="J16" i="1"/>
  <c r="I16" i="1"/>
  <c r="J58" i="1"/>
  <c r="O45" i="1"/>
  <c r="H45" i="1"/>
  <c r="O6" i="3"/>
  <c r="P6" i="3" s="1"/>
  <c r="P29" i="1"/>
  <c r="Q29" i="1" s="1"/>
  <c r="R29" i="1" s="1"/>
  <c r="S29" i="1" s="1"/>
  <c r="T29" i="1" s="1"/>
  <c r="U29" i="1" s="1"/>
  <c r="V29" i="1" s="1"/>
  <c r="W29" i="1" s="1"/>
  <c r="X29" i="1" s="1"/>
  <c r="Y29" i="1" s="1"/>
  <c r="G35" i="1"/>
  <c r="L35" i="1"/>
  <c r="M35" i="1"/>
  <c r="N35" i="1"/>
  <c r="O35" i="1"/>
  <c r="C35" i="1"/>
  <c r="Q20" i="1" l="1"/>
  <c r="Q21" i="1" s="1"/>
  <c r="P20" i="1"/>
  <c r="P21" i="1" s="1"/>
  <c r="Z29" i="1"/>
  <c r="R20" i="1" l="1"/>
  <c r="R21" i="1" s="1"/>
  <c r="S20" i="1" l="1"/>
  <c r="S21" i="1" s="1"/>
  <c r="T20" i="1" l="1"/>
  <c r="T21" i="1" s="1"/>
  <c r="U20" i="1" l="1"/>
  <c r="U21" i="1" s="1"/>
  <c r="V20" i="1" l="1"/>
  <c r="V21" i="1" s="1"/>
  <c r="W20" i="1" l="1"/>
  <c r="W21" i="1" s="1"/>
  <c r="X20" i="1" l="1"/>
  <c r="X21" i="1" s="1"/>
  <c r="Z20" i="1" l="1"/>
  <c r="Y20" i="1"/>
  <c r="Y21" i="1" s="1"/>
  <c r="Y22" i="1" s="1"/>
  <c r="Y24" i="1" s="1"/>
  <c r="Y26" i="1" s="1"/>
  <c r="Z21" i="1" l="1"/>
  <c r="Z22" i="1" s="1"/>
  <c r="Z24" i="1" s="1"/>
  <c r="Z26" i="1" s="1"/>
  <c r="Y27" i="1"/>
  <c r="Y28" i="1" s="1"/>
  <c r="Y30" i="1" s="1"/>
  <c r="Y31" i="1" s="1"/>
  <c r="Z27" i="1" l="1"/>
  <c r="Z28" i="1" s="1"/>
  <c r="Z30" i="1" s="1"/>
  <c r="Z31" i="1" l="1"/>
  <c r="AA30" i="1"/>
  <c r="AB30" i="1" s="1"/>
  <c r="AC30" i="1" s="1"/>
  <c r="AD30" i="1" s="1"/>
  <c r="AE30" i="1" s="1"/>
  <c r="AF30" i="1" s="1"/>
  <c r="AG30" i="1" s="1"/>
  <c r="AH30" i="1" s="1"/>
  <c r="AI30" i="1" s="1"/>
  <c r="AJ30" i="1" s="1"/>
  <c r="L55" i="1"/>
  <c r="L50" i="1"/>
  <c r="L45" i="1"/>
  <c r="L25" i="1"/>
  <c r="C23" i="3"/>
  <c r="C29" i="3" s="1"/>
  <c r="F23" i="3"/>
  <c r="F29" i="3" s="1"/>
  <c r="E23" i="3"/>
  <c r="E29" i="3" s="1"/>
  <c r="D23" i="3"/>
  <c r="D29" i="3" s="1"/>
  <c r="M25" i="1"/>
  <c r="L22" i="1"/>
  <c r="L24" i="1" s="1"/>
  <c r="M22" i="1"/>
  <c r="M24" i="1" s="1"/>
  <c r="M57" i="1"/>
  <c r="L57" i="1"/>
  <c r="M50" i="1"/>
  <c r="M45" i="1"/>
  <c r="F29" i="1"/>
  <c r="E9" i="3"/>
  <c r="F9" i="3" s="1"/>
  <c r="E8" i="3"/>
  <c r="F8" i="3" s="1"/>
  <c r="E7" i="3"/>
  <c r="F7" i="3" s="1"/>
  <c r="E6" i="3"/>
  <c r="F6" i="3" s="1"/>
  <c r="E15" i="3"/>
  <c r="F15" i="3" s="1"/>
  <c r="E14" i="3"/>
  <c r="F14" i="3" s="1"/>
  <c r="E13" i="3"/>
  <c r="F13" i="3" s="1"/>
  <c r="E12" i="3"/>
  <c r="F12" i="3" s="1"/>
  <c r="E55" i="1"/>
  <c r="E57" i="1" s="1"/>
  <c r="E49" i="1"/>
  <c r="E50" i="1" s="1"/>
  <c r="D10" i="3"/>
  <c r="D11" i="3"/>
  <c r="E11" i="3" s="1"/>
  <c r="D27" i="1"/>
  <c r="E27" i="1" s="1"/>
  <c r="D23" i="1"/>
  <c r="E23" i="1" s="1"/>
  <c r="F23" i="1" s="1"/>
  <c r="D21" i="1"/>
  <c r="D20" i="1"/>
  <c r="E20" i="1" s="1"/>
  <c r="F20" i="1" s="1"/>
  <c r="D55" i="1"/>
  <c r="D57" i="1" s="1"/>
  <c r="D49" i="1"/>
  <c r="D50" i="1" s="1"/>
  <c r="C10" i="3"/>
  <c r="C25" i="1"/>
  <c r="D25" i="1" s="1"/>
  <c r="E25" i="1" s="1"/>
  <c r="C22" i="1"/>
  <c r="C24" i="1" s="1"/>
  <c r="C55" i="1"/>
  <c r="C57" i="1" s="1"/>
  <c r="C49" i="1"/>
  <c r="C50" i="1" s="1"/>
  <c r="C38" i="1"/>
  <c r="L26" i="1" l="1"/>
  <c r="L28" i="1" s="1"/>
  <c r="L30" i="1" s="1"/>
  <c r="C45" i="1"/>
  <c r="C37" i="1"/>
  <c r="D35" i="1"/>
  <c r="D58" i="1"/>
  <c r="E58" i="1"/>
  <c r="C58" i="1"/>
  <c r="L34" i="1"/>
  <c r="M58" i="1"/>
  <c r="M26" i="1"/>
  <c r="C26" i="1"/>
  <c r="C28" i="1" s="1"/>
  <c r="C30" i="1" s="1"/>
  <c r="C31" i="1" s="1"/>
  <c r="E10" i="3"/>
  <c r="F10" i="3" s="1"/>
  <c r="F11" i="3"/>
  <c r="E21" i="1"/>
  <c r="L58" i="1"/>
  <c r="D22" i="1"/>
  <c r="E22" i="1" l="1"/>
  <c r="E24" i="1" s="1"/>
  <c r="E26" i="1" s="1"/>
  <c r="E35" i="1"/>
  <c r="M28" i="1"/>
  <c r="M30" i="1" s="1"/>
  <c r="M32" i="1" s="1"/>
  <c r="M34" i="1"/>
  <c r="F21" i="1"/>
  <c r="F35" i="1" s="1"/>
  <c r="D24" i="1"/>
  <c r="E28" i="1" l="1"/>
  <c r="E30" i="1" s="1"/>
  <c r="E31" i="1" s="1"/>
  <c r="E34" i="1"/>
  <c r="D26" i="1"/>
  <c r="D28" i="1" l="1"/>
  <c r="D30" i="1" l="1"/>
  <c r="D31" i="1" l="1"/>
  <c r="J8" i="3" l="1"/>
  <c r="G21" i="3" s="1"/>
  <c r="I15" i="3"/>
  <c r="I13" i="3"/>
  <c r="I9" i="3"/>
  <c r="G22" i="3" s="1"/>
  <c r="I6" i="3"/>
  <c r="I14" i="3"/>
  <c r="I12" i="3"/>
  <c r="I11" i="3"/>
  <c r="H10" i="3"/>
  <c r="H7" i="3"/>
  <c r="H29" i="1"/>
  <c r="H27" i="1"/>
  <c r="H25" i="1"/>
  <c r="I25" i="1" s="1"/>
  <c r="J25" i="1" s="1"/>
  <c r="H23" i="1"/>
  <c r="H21" i="1"/>
  <c r="H20" i="1"/>
  <c r="I20" i="1" s="1"/>
  <c r="H49" i="1"/>
  <c r="H50" i="1" s="1"/>
  <c r="H58" i="1" s="1"/>
  <c r="G10" i="3"/>
  <c r="I46" i="1"/>
  <c r="I50" i="1" s="1"/>
  <c r="I58" i="1" s="1"/>
  <c r="N22" i="1"/>
  <c r="O22" i="1"/>
  <c r="O24" i="1" s="1"/>
  <c r="P22" i="1"/>
  <c r="P24" i="1" s="1"/>
  <c r="P26" i="1" s="1"/>
  <c r="Q22" i="1"/>
  <c r="Q24" i="1" s="1"/>
  <c r="Q26" i="1" s="1"/>
  <c r="R22" i="1"/>
  <c r="R24" i="1" s="1"/>
  <c r="R26" i="1" s="1"/>
  <c r="S22" i="1"/>
  <c r="S24" i="1" s="1"/>
  <c r="S26" i="1" s="1"/>
  <c r="T22" i="1"/>
  <c r="T24" i="1" s="1"/>
  <c r="T26" i="1" s="1"/>
  <c r="U22" i="1"/>
  <c r="U24" i="1" s="1"/>
  <c r="U26" i="1" s="1"/>
  <c r="V22" i="1"/>
  <c r="V24" i="1" s="1"/>
  <c r="V26" i="1" s="1"/>
  <c r="W22" i="1"/>
  <c r="W24" i="1" s="1"/>
  <c r="W26" i="1" s="1"/>
  <c r="X22" i="1"/>
  <c r="X24" i="1" s="1"/>
  <c r="X26" i="1" s="1"/>
  <c r="G22" i="1"/>
  <c r="G24" i="1" s="1"/>
  <c r="G26" i="1" s="1"/>
  <c r="O57" i="1"/>
  <c r="N57" i="1"/>
  <c r="N45" i="1"/>
  <c r="G28" i="1" l="1"/>
  <c r="G30" i="1" s="1"/>
  <c r="G31" i="1" s="1"/>
  <c r="G34" i="1"/>
  <c r="I27" i="1"/>
  <c r="F25" i="1"/>
  <c r="F27" i="1"/>
  <c r="H35" i="1"/>
  <c r="V27" i="1"/>
  <c r="V28" i="1" s="1"/>
  <c r="V30" i="1" s="1"/>
  <c r="V31" i="1" s="1"/>
  <c r="R27" i="1"/>
  <c r="R28" i="1" s="1"/>
  <c r="R30" i="1" s="1"/>
  <c r="R31" i="1" s="1"/>
  <c r="W27" i="1"/>
  <c r="W28" i="1" s="1"/>
  <c r="W30" i="1" s="1"/>
  <c r="S27" i="1"/>
  <c r="S28" i="1" s="1"/>
  <c r="S30" i="1" s="1"/>
  <c r="S31" i="1" s="1"/>
  <c r="X27" i="1"/>
  <c r="X28" i="1" s="1"/>
  <c r="X30" i="1" s="1"/>
  <c r="X31" i="1" s="1"/>
  <c r="T27" i="1"/>
  <c r="T28" i="1" s="1"/>
  <c r="T30" i="1" s="1"/>
  <c r="T31" i="1" s="1"/>
  <c r="U27" i="1"/>
  <c r="U28" i="1" s="1"/>
  <c r="U30" i="1" s="1"/>
  <c r="U31" i="1" s="1"/>
  <c r="Q27" i="1"/>
  <c r="Q28" i="1" s="1"/>
  <c r="Q30" i="1" s="1"/>
  <c r="Q31" i="1" s="1"/>
  <c r="P27" i="1"/>
  <c r="P28" i="1" s="1"/>
  <c r="P30" i="1" s="1"/>
  <c r="P37" i="1" s="1"/>
  <c r="J11" i="3"/>
  <c r="G24" i="3" s="1"/>
  <c r="J14" i="3"/>
  <c r="G27" i="3" s="1"/>
  <c r="J15" i="3"/>
  <c r="G28" i="3" s="1"/>
  <c r="J12" i="3"/>
  <c r="G25" i="3" s="1"/>
  <c r="J13" i="3"/>
  <c r="G26" i="3" s="1"/>
  <c r="I10" i="3"/>
  <c r="J10" i="3" s="1"/>
  <c r="G23" i="3" s="1"/>
  <c r="J6" i="3"/>
  <c r="G19" i="3" s="1"/>
  <c r="J20" i="1"/>
  <c r="J27" i="1"/>
  <c r="N24" i="1"/>
  <c r="F22" i="1"/>
  <c r="I23" i="1"/>
  <c r="J23" i="1" s="1"/>
  <c r="I21" i="1"/>
  <c r="I29" i="1"/>
  <c r="J29" i="1" s="1"/>
  <c r="I7" i="3"/>
  <c r="J7" i="3" s="1"/>
  <c r="G20" i="3" s="1"/>
  <c r="H22" i="1"/>
  <c r="H24" i="1" s="1"/>
  <c r="H26" i="1" s="1"/>
  <c r="H28" i="1" s="1"/>
  <c r="H30" i="1" s="1"/>
  <c r="H31" i="1" s="1"/>
  <c r="O50" i="1"/>
  <c r="O58" i="1" s="1"/>
  <c r="O26" i="1"/>
  <c r="O34" i="1" s="1"/>
  <c r="J4" i="2"/>
  <c r="N50" i="1"/>
  <c r="H34" i="1" l="1"/>
  <c r="Q37" i="1"/>
  <c r="P31" i="1"/>
  <c r="Y43" i="1"/>
  <c r="Y45" i="1" s="1"/>
  <c r="J7" i="2"/>
  <c r="J21" i="1"/>
  <c r="J35" i="1" s="1"/>
  <c r="I35" i="1"/>
  <c r="W31" i="1"/>
  <c r="G29" i="3"/>
  <c r="N26" i="1"/>
  <c r="N34" i="1" s="1"/>
  <c r="F24" i="1"/>
  <c r="I22" i="1"/>
  <c r="I24" i="1" s="1"/>
  <c r="I26" i="1" s="1"/>
  <c r="I28" i="1" s="1"/>
  <c r="I30" i="1" s="1"/>
  <c r="I31" i="1" s="1"/>
  <c r="O28" i="1"/>
  <c r="O30" i="1" s="1"/>
  <c r="O32" i="1" s="1"/>
  <c r="N58" i="1"/>
  <c r="I34" i="1" l="1"/>
  <c r="R37" i="1"/>
  <c r="J22" i="1"/>
  <c r="J24" i="1" s="1"/>
  <c r="J26" i="1" s="1"/>
  <c r="N28" i="1"/>
  <c r="F26" i="1"/>
  <c r="F34" i="1" s="1"/>
  <c r="J28" i="1" l="1"/>
  <c r="J30" i="1" s="1"/>
  <c r="J31" i="1" s="1"/>
  <c r="J34" i="1"/>
  <c r="S37" i="1"/>
  <c r="F28" i="1"/>
  <c r="N30" i="1"/>
  <c r="N32" i="1" s="1"/>
  <c r="T37" i="1" l="1"/>
  <c r="F30" i="1"/>
  <c r="F31" i="1" s="1"/>
  <c r="L32" i="1"/>
  <c r="U37" i="1" l="1"/>
  <c r="V37" i="1" l="1"/>
  <c r="W37" i="1" l="1"/>
  <c r="X37" i="1" l="1"/>
  <c r="Y37" i="1" l="1"/>
  <c r="Z37" i="1" l="1"/>
</calcChain>
</file>

<file path=xl/comments1.xml><?xml version="1.0" encoding="utf-8"?>
<comments xmlns="http://schemas.openxmlformats.org/spreadsheetml/2006/main">
  <authors>
    <author>avaino</author>
  </authors>
  <commentList>
    <comment ref="P25" authorId="0" shapeId="0">
      <text>
        <r>
          <rPr>
            <b/>
            <sz val="9"/>
            <color indexed="81"/>
            <rFont val="Tahoma"/>
            <family val="2"/>
          </rPr>
          <t>avaino:</t>
        </r>
        <r>
          <rPr>
            <sz val="9"/>
            <color indexed="81"/>
            <rFont val="Tahoma"/>
            <family val="2"/>
          </rPr>
          <t xml:space="preserve">  Assumes able to contimue generating ~2%.
</t>
        </r>
      </text>
    </comment>
    <comment ref="D26" authorId="0" shapeId="0">
      <text>
        <r>
          <rPr>
            <b/>
            <sz val="9"/>
            <color indexed="81"/>
            <rFont val="Tahoma"/>
            <family val="2"/>
          </rPr>
          <t>avaino:</t>
        </r>
        <r>
          <rPr>
            <sz val="9"/>
            <color indexed="81"/>
            <rFont val="Tahoma"/>
            <family val="2"/>
          </rPr>
          <t xml:space="preserve">  NI for Q1+2 was 14,604
</t>
        </r>
      </text>
    </comment>
    <comment ref="H30" authorId="0" shapeId="0">
      <text>
        <r>
          <rPr>
            <b/>
            <sz val="9"/>
            <color indexed="81"/>
            <rFont val="Tahoma"/>
            <family val="2"/>
          </rPr>
          <t xml:space="preserve">avaino:  </t>
        </r>
        <r>
          <rPr>
            <sz val="9"/>
            <color indexed="81"/>
            <rFont val="Tahoma"/>
            <family val="2"/>
          </rPr>
          <t xml:space="preserve">Listed as 8383 in Q1 +Q2 report
</t>
        </r>
      </text>
    </comment>
    <comment ref="H31" authorId="0" shapeId="0">
      <text>
        <r>
          <rPr>
            <b/>
            <sz val="9"/>
            <color indexed="81"/>
            <rFont val="Tahoma"/>
            <family val="2"/>
          </rPr>
          <t>avaino:</t>
        </r>
        <r>
          <rPr>
            <sz val="9"/>
            <color indexed="81"/>
            <rFont val="Tahoma"/>
            <family val="2"/>
          </rPr>
          <t xml:space="preserve">  Listed as 79.07 for q1+q2.  Unclear what ahrecount is used.
</t>
        </r>
        <r>
          <rPr>
            <sz val="9"/>
            <color indexed="81"/>
            <rFont val="Tahoma"/>
            <family val="2"/>
          </rPr>
          <t xml:space="preserve">
</t>
        </r>
      </text>
    </comment>
  </commentList>
</comments>
</file>

<file path=xl/sharedStrings.xml><?xml version="1.0" encoding="utf-8"?>
<sst xmlns="http://schemas.openxmlformats.org/spreadsheetml/2006/main" count="540" uniqueCount="376">
  <si>
    <t>Main</t>
  </si>
  <si>
    <t>Q111</t>
  </si>
  <si>
    <t>Q211</t>
  </si>
  <si>
    <t>Q311</t>
  </si>
  <si>
    <t>Q411</t>
  </si>
  <si>
    <t>Revenue</t>
  </si>
  <si>
    <t>EPS</t>
  </si>
  <si>
    <t>Shares</t>
  </si>
  <si>
    <t>Cash and equivalents</t>
  </si>
  <si>
    <t>Assets</t>
  </si>
  <si>
    <t>A/P</t>
  </si>
  <si>
    <t>Liabilities</t>
  </si>
  <si>
    <t>Common stock</t>
  </si>
  <si>
    <t>SE</t>
  </si>
  <si>
    <t>SE+L</t>
  </si>
  <si>
    <t>Name</t>
  </si>
  <si>
    <t>Indication</t>
  </si>
  <si>
    <t>Rights</t>
  </si>
  <si>
    <t>Phase</t>
  </si>
  <si>
    <t>Class</t>
  </si>
  <si>
    <t>IP</t>
  </si>
  <si>
    <t>Price</t>
  </si>
  <si>
    <t>MC</t>
  </si>
  <si>
    <t>Cash</t>
  </si>
  <si>
    <t>Debt</t>
  </si>
  <si>
    <t>EV</t>
  </si>
  <si>
    <t>Rivastach Patch</t>
  </si>
  <si>
    <t>AD</t>
  </si>
  <si>
    <t>Launched 7/11</t>
  </si>
  <si>
    <t>ACHeI</t>
  </si>
  <si>
    <t>Emend capsules</t>
  </si>
  <si>
    <t>CIN/V</t>
  </si>
  <si>
    <t>Launched 12/09</t>
  </si>
  <si>
    <t>Neurokinin (NK) 1 antagonist</t>
  </si>
  <si>
    <t>Glactiv</t>
  </si>
  <si>
    <t>T2D</t>
  </si>
  <si>
    <t>DPP4i</t>
  </si>
  <si>
    <t>Recalbon</t>
  </si>
  <si>
    <t>Osteoporosis</t>
  </si>
  <si>
    <t>Launched 4/09</t>
  </si>
  <si>
    <t>Staybla</t>
  </si>
  <si>
    <t>Overactive bladder</t>
  </si>
  <si>
    <t>Launched 6/07</t>
  </si>
  <si>
    <t>Bisphosphonate</t>
  </si>
  <si>
    <t>Muscarinic antagonist</t>
  </si>
  <si>
    <t>Onon (Capsules/syrup)</t>
  </si>
  <si>
    <t>Bronchial asthma/retinitis</t>
  </si>
  <si>
    <t>Leukotriene receptor</t>
  </si>
  <si>
    <t>Opalmon</t>
  </si>
  <si>
    <t>Peripheral circulatory disorder</t>
  </si>
  <si>
    <t>Prostaglandin</t>
  </si>
  <si>
    <t>Kindak</t>
  </si>
  <si>
    <t>Diabetic neuropathic pain</t>
  </si>
  <si>
    <t>Aldose reductase inhibitor</t>
  </si>
  <si>
    <t>Elaspol</t>
  </si>
  <si>
    <t>Acute lung injury</t>
  </si>
  <si>
    <t>Neutrophil elastase inhibitor</t>
  </si>
  <si>
    <t>Foipan</t>
  </si>
  <si>
    <t>Chronic pancreatitis</t>
  </si>
  <si>
    <t>Pancreatic enzyme inhibitor</t>
  </si>
  <si>
    <t>Onoact</t>
  </si>
  <si>
    <t>Tachyarrythymia</t>
  </si>
  <si>
    <r>
      <rPr>
        <sz val="10"/>
        <color theme="1"/>
        <rFont val="Symbol"/>
        <family val="1"/>
        <charset val="2"/>
      </rPr>
      <t>b</t>
    </r>
    <r>
      <rPr>
        <sz val="10"/>
        <color theme="1"/>
        <rFont val="Arial"/>
        <family val="2"/>
      </rPr>
      <t>1 blocker</t>
    </r>
  </si>
  <si>
    <t>ONO-4641</t>
  </si>
  <si>
    <t>MS</t>
  </si>
  <si>
    <t>SIP agonist</t>
  </si>
  <si>
    <t>Brand Name</t>
  </si>
  <si>
    <t>Generic Name</t>
  </si>
  <si>
    <t>Mechanism</t>
  </si>
  <si>
    <t>Administration</t>
  </si>
  <si>
    <t>Economics</t>
  </si>
  <si>
    <t>Clinical Trials</t>
  </si>
  <si>
    <t>Oral</t>
  </si>
  <si>
    <t>Phase 2, n = 407, relapsing/remitting MS</t>
  </si>
  <si>
    <t>Presented at AAN 2012</t>
  </si>
  <si>
    <t>Double-blond, placebo controlled</t>
  </si>
  <si>
    <t>Dosing 0, 0.05, 0.10, 0.15 mg PO QD for 26 weeks</t>
  </si>
  <si>
    <r>
      <t xml:space="preserve">Inclusion criteria required </t>
    </r>
    <r>
      <rPr>
        <u/>
        <sz val="10"/>
        <color theme="1"/>
        <rFont val="Arial"/>
        <family val="2"/>
      </rPr>
      <t>&gt;</t>
    </r>
    <r>
      <rPr>
        <sz val="10"/>
        <color theme="1"/>
        <rFont val="Arial"/>
        <family val="2"/>
      </rPr>
      <t xml:space="preserve"> 2 relapses in each of 2 prior years to starting study</t>
    </r>
  </si>
  <si>
    <t>0.05 mg</t>
  </si>
  <si>
    <t>0.10 mg</t>
  </si>
  <si>
    <t>0.15 mg</t>
  </si>
  <si>
    <t>PBO adjusted decrease in Gd brain lesions</t>
  </si>
  <si>
    <t>all p &lt; 0.0001</t>
  </si>
  <si>
    <t>Merck Kga</t>
  </si>
  <si>
    <t>Completed Dec. 2011</t>
  </si>
  <si>
    <t>23 sites in US, 3 sites Belgium, 5 sites Canada, 4 sites Czech republic, 9 sites Germany, 2 sites Greece, 9 sites Japan, 8 sites Poland, 11 sites Russia, 6 sites Spain, 6 sites Ukraine.</t>
  </si>
  <si>
    <t>Extension ongoing, expected completion in June 2014</t>
  </si>
  <si>
    <r>
      <t>Similar mechanism to Gilenyia, though Gil seems to be agonist/antagonist (</t>
    </r>
    <r>
      <rPr>
        <i/>
        <sz val="10"/>
        <color theme="1"/>
        <rFont val="Arial"/>
        <family val="2"/>
      </rPr>
      <t>Clin. Neuropharmaol.</t>
    </r>
    <r>
      <rPr>
        <sz val="10"/>
        <color theme="1"/>
        <rFont val="Arial"/>
        <family val="2"/>
      </rPr>
      <t xml:space="preserve">, </t>
    </r>
    <r>
      <rPr>
        <b/>
        <sz val="10"/>
        <color theme="1"/>
        <rFont val="Arial"/>
        <family val="2"/>
      </rPr>
      <t>2010</t>
    </r>
    <r>
      <rPr>
        <sz val="10"/>
        <color theme="1"/>
        <rFont val="Arial"/>
        <family val="2"/>
      </rPr>
      <t xml:space="preserve">, </t>
    </r>
    <r>
      <rPr>
        <i/>
        <sz val="10"/>
        <color theme="1"/>
        <rFont val="Arial"/>
        <family val="2"/>
      </rPr>
      <t>33</t>
    </r>
    <r>
      <rPr>
        <sz val="10"/>
        <color theme="1"/>
        <rFont val="Arial"/>
        <family val="2"/>
      </rPr>
      <t>, 91-101).</t>
    </r>
  </si>
  <si>
    <t>As of 5/14/12 FDA "FDA remains concerned about the cardiovascular effects of Gilenya after the first dose."</t>
  </si>
  <si>
    <t>Reports evaluation of pt who dies after first dose.</t>
  </si>
  <si>
    <t>Gil has also been associated with HR lowering.</t>
  </si>
  <si>
    <t>Kinedak</t>
  </si>
  <si>
    <t>Inventories</t>
  </si>
  <si>
    <t>Deferred tax assets</t>
  </si>
  <si>
    <t>PP&amp;E, net</t>
  </si>
  <si>
    <t>LT debt</t>
  </si>
  <si>
    <t>Taxes payable</t>
  </si>
  <si>
    <t>Other liabilities</t>
  </si>
  <si>
    <t>Capital surplus</t>
  </si>
  <si>
    <t>Treasury stock at cost</t>
  </si>
  <si>
    <t>Acc. Other</t>
  </si>
  <si>
    <t>Minority interests</t>
  </si>
  <si>
    <t>COGS</t>
  </si>
  <si>
    <t>Gross profit</t>
  </si>
  <si>
    <t>SG&amp;A</t>
  </si>
  <si>
    <t>OP Income</t>
  </si>
  <si>
    <t>Interest and other</t>
  </si>
  <si>
    <t>Income before taxes and min int.</t>
  </si>
  <si>
    <t>Taxes</t>
  </si>
  <si>
    <t>Net income before min int</t>
  </si>
  <si>
    <t>Min Int income</t>
  </si>
  <si>
    <t>Net Income</t>
  </si>
  <si>
    <t>Dividend</t>
  </si>
  <si>
    <t>Figures in million JPY, except EPS and dividend.  Note, Fiscal year ends March 31.</t>
  </si>
  <si>
    <t>Prepaids + A/R</t>
  </si>
  <si>
    <t>Retained earning</t>
  </si>
  <si>
    <t xml:space="preserve">Q111 </t>
  </si>
  <si>
    <t>Figures in 100 million JPY</t>
  </si>
  <si>
    <t>Q110</t>
  </si>
  <si>
    <t>Q210</t>
  </si>
  <si>
    <t>Q310</t>
  </si>
  <si>
    <t>Q410</t>
  </si>
  <si>
    <t>Q1110</t>
  </si>
  <si>
    <t>Sum</t>
  </si>
  <si>
    <t>Gilenya was studies in 2 phase 3 studies</t>
  </si>
  <si>
    <r>
      <t xml:space="preserve"> </t>
    </r>
    <r>
      <rPr>
        <b/>
        <u/>
        <sz val="10"/>
        <color theme="1"/>
        <rFont val="Arial"/>
        <family val="2"/>
      </rPr>
      <t>Gilenya Phase 3, n = 843, RRMS</t>
    </r>
  </si>
  <si>
    <t>PBO</t>
  </si>
  <si>
    <t>Relapse rate</t>
  </si>
  <si>
    <t>2 year observation</t>
  </si>
  <si>
    <t>% pt without relapse</t>
  </si>
  <si>
    <t>Relapsing remitting MS</t>
  </si>
  <si>
    <t># Gd lesions at 2 yrs</t>
  </si>
  <si>
    <t>p &lt; 0.001</t>
  </si>
  <si>
    <r>
      <t xml:space="preserve"> </t>
    </r>
    <r>
      <rPr>
        <b/>
        <u/>
        <sz val="10"/>
        <color theme="1"/>
        <rFont val="Arial"/>
        <family val="2"/>
      </rPr>
      <t>Gilenya Phase 3, n = 860, RRMS</t>
    </r>
  </si>
  <si>
    <t>1 year observation</t>
  </si>
  <si>
    <t>Gilenya (0.5)</t>
  </si>
  <si>
    <t>Gilenya (0.25)</t>
  </si>
  <si>
    <t>IFNB1a</t>
  </si>
  <si>
    <t>Assuming 4641 completed June 2014, could conceivably be on market by late 2018?</t>
  </si>
  <si>
    <t>AEs appeared to be dose related.  Included slower heartbeat and atrioventricular block, elevation in liver enzymes, and grade 4 lymphopenia in 4 pts.</t>
  </si>
  <si>
    <t>NSCLC</t>
  </si>
  <si>
    <t>MUC-1 vaccine</t>
  </si>
  <si>
    <t>ONO-7165 (Stimuvax)</t>
  </si>
  <si>
    <t>Stimuvax</t>
  </si>
  <si>
    <t>In 10-K, CO says patents expire in 2018.</t>
  </si>
  <si>
    <t>A 25 AA peptide (STAPPAHGVTSAPDTRPAPGSTAPP) formulated in a liposome that binds MUC-1.</t>
  </si>
  <si>
    <t>This induces T-cell proliferation and production of IFN-gamma.</t>
  </si>
  <si>
    <t>Phase III n=1476 Stage III 1L responder NSCLC "START"</t>
  </si>
  <si>
    <t>Enrollment 12/2006 (n initially expected to be 1322) to 6/2011. Final data 6/2012? (assuming 12 month mOS).</t>
  </si>
  <si>
    <t>Dosing is 300 mg/m^2 Cyclophosphamide 3d before first dose of Stimuvax.</t>
  </si>
  <si>
    <t>Stimuvax is given at 930 ug weekly for 8 weeks then at 6 week intervals.</t>
  </si>
  <si>
    <t>Only Stage 3 NSCLC (P2b was Stage 3b/4)</t>
  </si>
  <si>
    <t>Primary endpoint is OS, ONTY does have SPA. Randomization is 2:1.</t>
  </si>
  <si>
    <t>Interim looks at data at 353 and 529 deaths.  Final analysis at 705 deaths.</t>
  </si>
  <si>
    <t>First interim look was December 2010, study could proceed</t>
  </si>
  <si>
    <t>Study was on clinical hold from March 23 to June 17 2010 (85 days)</t>
  </si>
  <si>
    <t>In Augst 2010, CEO said that a "very substantial majority" of sites were enrolling patients</t>
  </si>
  <si>
    <t>In Nov 2010, CEO stated that a "substantial majority" of sites were enrolling patients</t>
  </si>
  <si>
    <t>Both companies said in Q1 11 calls that enrollment was going well</t>
  </si>
  <si>
    <t>Couple of clinical sites said closed a couple of weeks ago (early June 2011)</t>
  </si>
  <si>
    <t>Butts disclosed at ASCO that 440 were enrolled.</t>
  </si>
  <si>
    <t>1 pt in a melanoma study developed encephalitis</t>
  </si>
  <si>
    <t>Enrolled patients were not treated during this period</t>
  </si>
  <si>
    <t>Admin is weekly for first 8 weeks and then every 6 weeks until the tumor begins to progress</t>
  </si>
  <si>
    <t>Per protocol, pts are allowed to to skip 2 of the every 6 week doses and remain on study.</t>
  </si>
  <si>
    <t>From accrual graph presneted (ASCO?), looks like at least 600 pts would have missed 1 dose, and several hundred would have mised 1+ doses.</t>
  </si>
  <si>
    <t>per JP (feb 16, 2011) ONTY disclosed that the FDA permitted them to change the SPA to exclude from the ITT analysis 150 pats who were inadequately treated during the clinical hold.</t>
  </si>
  <si>
    <t>I did not see an 8-K or a PR corresponding to this</t>
  </si>
  <si>
    <t>It was mentioned in Q4 2010 EC.  Note, the patients will still be included in the analysis, though.</t>
  </si>
  <si>
    <t>RK:  "Well, they'll be included in the analysis that they will certainly affect the statistical analysis of the trial."</t>
  </si>
  <si>
    <t>Phase III, n = 909, breast cancer (STRIDE)</t>
  </si>
  <si>
    <t>Began June 2009, was placed on clinical hold in March 2010, and then discontinued.</t>
  </si>
  <si>
    <t>ONTY's rationale was that there was not as strong clinical data on efficacy in BC, and that FDA would likely have required Phase 2 study.</t>
  </si>
  <si>
    <t>Not clear how many patients were enrolled when study was stopped.</t>
  </si>
  <si>
    <t>Phase III, n = 420, NSCLS Asian study (INSPIRE)</t>
  </si>
  <si>
    <t>Began enrolling in December 2009</t>
  </si>
  <si>
    <t>Sites in HK, taiwan, Sngapore, Korea</t>
  </si>
  <si>
    <t>Final data expected in 2014</t>
  </si>
  <si>
    <t>Phase IIb n=171</t>
  </si>
  <si>
    <t>ONTY\Clin lung cancer.pdf</t>
  </si>
  <si>
    <t>ONTY\j clin oncol.pdf</t>
  </si>
  <si>
    <t>ONTY\j cancer res clin oncol 2011.pdf</t>
  </si>
  <si>
    <t>n=171, Stage IIIb or IV lung cancer</t>
  </si>
  <si>
    <t>Stimuvx was dosed at 1,000 ug weekly for first 8 weeks, then ever 6 weeks</t>
  </si>
  <si>
    <t>In control group, 26% were S3bLR.  In Stimu group, 40% were S3aLR.  Rest were 3bMPE or S4.</t>
  </si>
  <si>
    <t>Study was for pts who had stable disease or objective clinical response after first line therapy.</t>
  </si>
  <si>
    <t>Pts pretreated with IV cyclophosphamide for 3d prior to immunotherapy.</t>
  </si>
  <si>
    <t>45% had stable disease after initial therapy, and 51% had a partial response.</t>
  </si>
  <si>
    <t>Median time from initial therapy to study entry was 6.1 wks in BSC arm and 7.0 wks in Stimu arm.</t>
  </si>
  <si>
    <t>T-cell proliferation assays were done on 78 of 88 pts in Stimu arm:  16 (20%) had T-cell response.</t>
  </si>
  <si>
    <t>No correlation between T-cell response and survival.</t>
  </si>
  <si>
    <t>17 sites in Canada and UK</t>
  </si>
  <si>
    <t>Prior chemotherapy was Pt based for all but 6 pts</t>
  </si>
  <si>
    <t>Stimu + BSC (n = 88)</t>
  </si>
  <si>
    <t>BSC (n = 83)</t>
  </si>
  <si>
    <t>ECOG 0</t>
  </si>
  <si>
    <t>31 (35%)</t>
  </si>
  <si>
    <t>22 (27%)</t>
  </si>
  <si>
    <t>ECOG 1</t>
  </si>
  <si>
    <t>53 (60%)</t>
  </si>
  <si>
    <t>57 (68%)</t>
  </si>
  <si>
    <t>ECOG 2</t>
  </si>
  <si>
    <t>4 (5%)</t>
  </si>
  <si>
    <t>Stage 3b LR</t>
  </si>
  <si>
    <t>35 (40%)</t>
  </si>
  <si>
    <t>30 (36%)</t>
  </si>
  <si>
    <t>Stage 3b MPE or S4</t>
  </si>
  <si>
    <t>53 (64%)</t>
  </si>
  <si>
    <t xml:space="preserve">By comparison, in the P3 tarceva NSCLS study (n = 889), </t>
  </si>
  <si>
    <t>Tar (n = 438)</t>
  </si>
  <si>
    <t>PBO (n = 451)</t>
  </si>
  <si>
    <t>135 (35%)</t>
  </si>
  <si>
    <t>145 (32%)</t>
  </si>
  <si>
    <t>303 (69%)</t>
  </si>
  <si>
    <t>306 (68%)</t>
  </si>
  <si>
    <t>Stage 3b Unresectable</t>
  </si>
  <si>
    <t>116 (26%)</t>
  </si>
  <si>
    <t>109 (24%)</t>
  </si>
  <si>
    <t>322 (74%)</t>
  </si>
  <si>
    <t>342 (76%)</t>
  </si>
  <si>
    <t>PFS was 2.8 in Tar and 2.6 mths in PBO, p &lt;0.0001</t>
  </si>
  <si>
    <t>OS was 12.0 in Tar vs 11.0 in PBO, p = 0.0088</t>
  </si>
  <si>
    <r>
      <t xml:space="preserve">Also, in a n = 1217 study of Iressa + carboplatin/paclitaxel in 2nd line therapy OS was 18.6 mth in tm group and 17.3 mths in control (New Engl. J. Med., </t>
    </r>
    <r>
      <rPr>
        <b/>
        <sz val="10"/>
        <rFont val="Arial"/>
        <family val="2"/>
      </rPr>
      <t>2009</t>
    </r>
    <r>
      <rPr>
        <sz val="10"/>
        <rFont val="Arial"/>
        <family val="2"/>
      </rPr>
      <t xml:space="preserve">, </t>
    </r>
    <r>
      <rPr>
        <i/>
        <sz val="10"/>
        <rFont val="Arial"/>
        <family val="2"/>
      </rPr>
      <t>361</t>
    </r>
    <r>
      <rPr>
        <sz val="10"/>
        <rFont val="Arial"/>
        <family val="2"/>
      </rPr>
      <t>, 947-957)</t>
    </r>
  </si>
  <si>
    <t>This was double normal OS</t>
  </si>
  <si>
    <t>Survival in stimu arm was 17.4 mths, vs 13 mths in bsc (p = 0.112)</t>
  </si>
  <si>
    <r>
      <t>In S3B LR pts, (</t>
    </r>
    <r>
      <rPr>
        <i/>
        <sz val="10"/>
        <rFont val="Arial"/>
        <family val="2"/>
      </rPr>
      <t>J. Thorac. Oncol.</t>
    </r>
    <r>
      <rPr>
        <b/>
        <i/>
        <sz val="10"/>
        <rFont val="Arial"/>
        <family val="2"/>
      </rPr>
      <t xml:space="preserve">, </t>
    </r>
    <r>
      <rPr>
        <b/>
        <sz val="10"/>
        <rFont val="Arial"/>
        <family val="2"/>
      </rPr>
      <t xml:space="preserve">2007, </t>
    </r>
    <r>
      <rPr>
        <i/>
        <sz val="10"/>
        <rFont val="Arial"/>
        <family val="2"/>
      </rPr>
      <t>2</t>
    </r>
    <r>
      <rPr>
        <sz val="10"/>
        <rFont val="Arial"/>
        <family val="2"/>
      </rPr>
      <t>, s332) broke out data for S3b LR patients, and showd OS was 30.6 mths, vs 13.3 for BSC (p = 0.16).</t>
    </r>
  </si>
  <si>
    <r>
      <t xml:space="preserve">in </t>
    </r>
    <r>
      <rPr>
        <i/>
        <sz val="10"/>
        <rFont val="Arial"/>
        <family val="2"/>
      </rPr>
      <t xml:space="preserve">J Clin Oncol, </t>
    </r>
    <r>
      <rPr>
        <b/>
        <i/>
        <sz val="10"/>
        <rFont val="Arial"/>
        <family val="2"/>
      </rPr>
      <t>2003</t>
    </r>
    <r>
      <rPr>
        <i/>
        <sz val="10"/>
        <rFont val="Arial"/>
        <family val="2"/>
      </rPr>
      <t>,  21</t>
    </r>
    <r>
      <rPr>
        <sz val="10"/>
        <rFont val="Arial"/>
        <family val="2"/>
      </rPr>
      <t>, 2237-2246, OS for Iressa was 7.6 mths for 250 mg/d irressa vs 8.0 mths for 500 mg/d.</t>
    </r>
  </si>
  <si>
    <t>Median OS in the 9 to 12 range are typical for second line</t>
  </si>
  <si>
    <t>In overall study, 42 pts had died at 13 weeks in BSC arm, compared to 35 in stimu arm</t>
  </si>
  <si>
    <t>Looking at KM curve for S3bLR, at 13.3 months 15 pts in the BSC arm had died, and 11 in the Stimu</t>
  </si>
  <si>
    <t>Chemo-nainve pts can give OS of 22+ mths</t>
  </si>
  <si>
    <t>In J. Clin. Oncol., 2008, 26, 2450-2456, pts with stage 3 LR NSCLC (ecog 0 or 1) on iressa had OS = 27 mths and PBO was 23 mths (p = 0.013).  Again, chemo naïve.</t>
  </si>
  <si>
    <t>To</t>
  </si>
  <si>
    <t>enhance the antigenic stimulation of a greater number of draining</t>
  </si>
  <si>
    <t>lymph nodes, the vaccine was administered to four anatomic sites.</t>
  </si>
  <si>
    <t>It was hypothesized that this method of administration would</t>
  </si>
  <si>
    <t>increase the likelihood of an effective immune response against the</t>
  </si>
  <si>
    <t>disease. The 1,000_x0001_g of L-BLP25 consisted of four 0.5-mL subcutaneous</t>
  </si>
  <si>
    <t>injections, each containing one fourth of the total dose</t>
  </si>
  <si>
    <t>and administered in the deltoid or triceps region of the upper arms</t>
  </si>
  <si>
    <t>and the left and right anterolateral aspects of the abdomen.</t>
  </si>
  <si>
    <t>Merck KGAA, assume ONO has Japan rights</t>
  </si>
  <si>
    <t>ONO-3849</t>
  </si>
  <si>
    <t>OIC</t>
  </si>
  <si>
    <t>Relistor</t>
  </si>
  <si>
    <t>ONO-3849 (Relistor)</t>
  </si>
  <si>
    <t>ONO-7649 (RC-1291)</t>
  </si>
  <si>
    <t>Cancer anorexia</t>
  </si>
  <si>
    <t>Ghrelin mimic</t>
  </si>
  <si>
    <t>ONO-7057</t>
  </si>
  <si>
    <t>ONO-7057 (Carfilzomib)</t>
  </si>
  <si>
    <t>ONO-3951 (Asimadoline)</t>
  </si>
  <si>
    <t>IBS</t>
  </si>
  <si>
    <t>Proteasome inhibitor</t>
  </si>
  <si>
    <t>ONO-4538 (BMS-936558)</t>
  </si>
  <si>
    <t>RCC/HCV</t>
  </si>
  <si>
    <t>PD-1 antibody</t>
  </si>
  <si>
    <t>Q309</t>
  </si>
  <si>
    <t>Q409</t>
  </si>
  <si>
    <t>Legacy product revenue</t>
  </si>
  <si>
    <t>Gross margin</t>
  </si>
  <si>
    <t>Tax rate</t>
  </si>
  <si>
    <t>Disc. Rate</t>
  </si>
  <si>
    <t>NPV</t>
  </si>
  <si>
    <t>Per share</t>
  </si>
  <si>
    <t>US$</t>
  </si>
  <si>
    <t>JPY</t>
  </si>
  <si>
    <t>1000000 JPY</t>
  </si>
  <si>
    <t>Multiple myeloma (FDA PDUFA 7/27/12)</t>
  </si>
  <si>
    <t>ONO-5163 (KAI-4169)</t>
  </si>
  <si>
    <t xml:space="preserve">2ndry hyperparathyroidism in ESRD </t>
  </si>
  <si>
    <t>2 (? In Japan)</t>
  </si>
  <si>
    <t>Ca receptor agonist</t>
  </si>
  <si>
    <t>KAI Pharma</t>
  </si>
  <si>
    <t>Ca receptor agaonist.  Proline analog.</t>
  </si>
  <si>
    <t>Presented at 2011 ASN</t>
  </si>
  <si>
    <t>Phase 2, n = 58</t>
  </si>
  <si>
    <t>Endpoint was reduction in parathyroid hormone</t>
  </si>
  <si>
    <t>5 mg</t>
  </si>
  <si>
    <t>10 mg</t>
  </si>
  <si>
    <t>n</t>
  </si>
  <si>
    <t>Change (PBO adj.) in PTH</t>
  </si>
  <si>
    <t>Safe and well-tolerated</t>
  </si>
  <si>
    <t>Ivabridine</t>
  </si>
  <si>
    <t>Servier ($25M upfront)</t>
  </si>
  <si>
    <t>Beta blocker</t>
  </si>
  <si>
    <t>Angina (approved) and chronic heart failure</t>
  </si>
  <si>
    <t>Phase 3, n = 6558, CHF</t>
  </si>
  <si>
    <r>
      <t>The lancet</t>
    </r>
    <r>
      <rPr>
        <sz val="10"/>
        <color theme="1"/>
        <rFont val="Arial"/>
        <family val="2"/>
      </rPr>
      <t xml:space="preserve">, </t>
    </r>
    <r>
      <rPr>
        <b/>
        <sz val="10"/>
        <color theme="1"/>
        <rFont val="Arial"/>
        <family val="2"/>
      </rPr>
      <t>2010</t>
    </r>
    <r>
      <rPr>
        <sz val="10"/>
        <color theme="1"/>
        <rFont val="Arial"/>
        <family val="2"/>
      </rPr>
      <t xml:space="preserve">, </t>
    </r>
    <r>
      <rPr>
        <i/>
        <sz val="10"/>
        <color theme="1"/>
        <rFont val="Arial"/>
        <family val="2"/>
      </rPr>
      <t>376</t>
    </r>
    <r>
      <rPr>
        <sz val="10"/>
        <color theme="1"/>
        <rFont val="Arial"/>
        <family val="2"/>
      </rPr>
      <t>, 875-885.</t>
    </r>
  </si>
  <si>
    <t>Decreased rate of heart attack by 8%.</t>
  </si>
  <si>
    <t>Drug</t>
  </si>
  <si>
    <t>Terms</t>
  </si>
  <si>
    <t>Stage</t>
  </si>
  <si>
    <t>Date</t>
  </si>
  <si>
    <t>Licensed</t>
  </si>
  <si>
    <t>to Merck Kga</t>
  </si>
  <si>
    <t>$19M upfront</t>
  </si>
  <si>
    <t>Phase 3</t>
  </si>
  <si>
    <t>Carfilzomid</t>
  </si>
  <si>
    <t>MM</t>
  </si>
  <si>
    <t>From ONXX</t>
  </si>
  <si>
    <t>$63M upfront</t>
  </si>
  <si>
    <t>From PGNX</t>
  </si>
  <si>
    <t>$15M upfront</t>
  </si>
  <si>
    <t>FDA approved</t>
  </si>
  <si>
    <t>$6M upfront</t>
  </si>
  <si>
    <t>From Merck Kga</t>
  </si>
  <si>
    <t>KAI-4169</t>
  </si>
  <si>
    <t>CHF</t>
  </si>
  <si>
    <t>Hyperthyroidism</t>
  </si>
  <si>
    <t>From KAI</t>
  </si>
  <si>
    <t>$12.5M upfront</t>
  </si>
  <si>
    <t>Phase 2</t>
  </si>
  <si>
    <t>Ivabradine</t>
  </si>
  <si>
    <t>From Servier</t>
  </si>
  <si>
    <t>$25M upfront</t>
  </si>
  <si>
    <t>Inflamatory disease</t>
  </si>
  <si>
    <t>With Galapagos</t>
  </si>
  <si>
    <t>N/A</t>
  </si>
  <si>
    <t>Discovery</t>
  </si>
  <si>
    <t>With Scil Proteins</t>
  </si>
  <si>
    <t>Protein technology</t>
  </si>
  <si>
    <t>XRC/GPCR technology</t>
  </si>
  <si>
    <t>With Receptos</t>
  </si>
  <si>
    <t>Cancer</t>
  </si>
  <si>
    <t>Peptide cancer vaccine</t>
  </si>
  <si>
    <t>From OncoTherapy</t>
  </si>
  <si>
    <t>From Medarex</t>
  </si>
  <si>
    <t>MDX-1106 (PD-1 AB)</t>
  </si>
  <si>
    <t>From NVS</t>
  </si>
  <si>
    <t>Asimadline (ONO-3951)</t>
  </si>
  <si>
    <t>From Tioga</t>
  </si>
  <si>
    <t>Salirasib (ONO-7056)</t>
  </si>
  <si>
    <t>NSCLC, CRC</t>
  </si>
  <si>
    <t>From Concordia</t>
  </si>
  <si>
    <t>Drug platform</t>
  </si>
  <si>
    <t>From Array</t>
  </si>
  <si>
    <t>Kinase platform</t>
  </si>
  <si>
    <t>From Ansaris</t>
  </si>
  <si>
    <t>Fragmant platform</t>
  </si>
  <si>
    <t>Ion channel platform</t>
  </si>
  <si>
    <t>From Evotec</t>
  </si>
  <si>
    <t>From Xention</t>
  </si>
  <si>
    <t>From BioSeek</t>
  </si>
  <si>
    <t>cancer anorexia</t>
  </si>
  <si>
    <t>From Sapphire</t>
  </si>
  <si>
    <t>ONO-7643 (RC-1291)</t>
  </si>
  <si>
    <t>ONO-2745</t>
  </si>
  <si>
    <t>Anesthesia</t>
  </si>
  <si>
    <t>From CeNeS</t>
  </si>
  <si>
    <t>ONO-7746</t>
  </si>
  <si>
    <t>Thrombocytopenia</t>
  </si>
  <si>
    <t>From Nissan</t>
  </si>
  <si>
    <t xml:space="preserve">Phase 2 </t>
  </si>
  <si>
    <t xml:space="preserve">Preclinical </t>
  </si>
  <si>
    <t>Deals</t>
  </si>
  <si>
    <t>EU CHF filed</t>
  </si>
  <si>
    <t>Rivastich Patch</t>
  </si>
  <si>
    <t>Emend</t>
  </si>
  <si>
    <t>Chemo induced nausea</t>
  </si>
  <si>
    <t>Onon</t>
  </si>
  <si>
    <t>Bronchial asthma</t>
  </si>
  <si>
    <t>Circulatory disorder</t>
  </si>
  <si>
    <t>Diabetic neuropathy</t>
  </si>
  <si>
    <t>Pancreatitis</t>
  </si>
  <si>
    <t>Tachyarrthymia</t>
  </si>
  <si>
    <t>Alzheimer's</t>
  </si>
  <si>
    <t>T2 Diabetes</t>
  </si>
  <si>
    <t>FY 2010 sales (¥B)</t>
  </si>
  <si>
    <t>FY 2011 sales (¥B)</t>
  </si>
  <si>
    <t>Other</t>
  </si>
  <si>
    <t xml:space="preserve">LT investments </t>
  </si>
  <si>
    <t>Maturity</t>
  </si>
  <si>
    <t>Net cash</t>
  </si>
  <si>
    <t xml:space="preserve"> </t>
  </si>
  <si>
    <t>Q214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</si>
</sst>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mm\-yy;@"/>
    <numFmt numFmtId="165" formatCode="0.0"/>
  </numFmts>
  <fonts count="18" x14ac:knownFonts="1">
    <font>
      <sz val="11"/>
      <color theme="1"/>
      <name val="Calibri"/>
      <family val="2"/>
      <scheme val="minor"/>
    </font>
    <font>
      <sz val="10"/>
      <color theme="1"/>
      <name val="Arial"/>
      <family val="2"/>
    </font>
    <font>
      <sz val="10"/>
      <color theme="1"/>
      <name val="Arial"/>
      <family val="2"/>
    </font>
    <font>
      <u/>
      <sz val="10"/>
      <color indexed="12"/>
      <name val="Arial"/>
      <family val="2"/>
    </font>
    <font>
      <sz val="10"/>
      <color theme="1"/>
      <name val="Arial"/>
      <family val="2"/>
    </font>
    <font>
      <b/>
      <sz val="10"/>
      <color theme="1"/>
      <name val="Arial"/>
      <family val="2"/>
    </font>
    <font>
      <i/>
      <sz val="10"/>
      <name val="Arial"/>
      <family val="2"/>
    </font>
    <font>
      <sz val="10"/>
      <name val="Arial"/>
      <family val="2"/>
    </font>
    <font>
      <b/>
      <sz val="9"/>
      <color indexed="81"/>
      <name val="Tahoma"/>
      <family val="2"/>
    </font>
    <font>
      <sz val="9"/>
      <color indexed="81"/>
      <name val="Tahoma"/>
      <family val="2"/>
    </font>
    <font>
      <sz val="10"/>
      <color theme="1"/>
      <name val="Symbol"/>
      <family val="1"/>
      <charset val="2"/>
    </font>
    <font>
      <b/>
      <u/>
      <sz val="10"/>
      <name val="Arial"/>
      <family val="2"/>
    </font>
    <font>
      <u/>
      <sz val="10"/>
      <color theme="1"/>
      <name val="Arial"/>
      <family val="2"/>
    </font>
    <font>
      <i/>
      <sz val="10"/>
      <color theme="1"/>
      <name val="Arial"/>
      <family val="2"/>
    </font>
    <font>
      <b/>
      <u/>
      <sz val="10"/>
      <color theme="1"/>
      <name val="Arial"/>
      <family val="2"/>
    </font>
    <font>
      <b/>
      <sz val="10"/>
      <name val="Arial"/>
      <family val="2"/>
    </font>
    <font>
      <b/>
      <i/>
      <sz val="10"/>
      <name val="Arial"/>
      <family val="2"/>
    </font>
    <font>
      <sz val="10"/>
      <color rgb="FF000000"/>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22">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101">
    <xf numFmtId="0" fontId="0" fillId="0" borderId="0" xfId="0"/>
    <xf numFmtId="0" fontId="3" fillId="0" borderId="0" xfId="1" applyFont="1" applyFill="1" applyAlignment="1" applyProtection="1"/>
    <xf numFmtId="0" fontId="4" fillId="0" borderId="0" xfId="0" applyFont="1" applyFill="1"/>
    <xf numFmtId="0" fontId="5" fillId="0" borderId="0" xfId="0" applyFont="1" applyFill="1"/>
    <xf numFmtId="3" fontId="5" fillId="0" borderId="0" xfId="0" applyNumberFormat="1" applyFont="1" applyFill="1"/>
    <xf numFmtId="3" fontId="4" fillId="0" borderId="0" xfId="0" applyNumberFormat="1" applyFont="1" applyFill="1"/>
    <xf numFmtId="2" fontId="4" fillId="0" borderId="0" xfId="0" applyNumberFormat="1" applyFont="1" applyFill="1"/>
    <xf numFmtId="0" fontId="7" fillId="0" borderId="0" xfId="0" applyFont="1" applyFill="1" applyAlignment="1">
      <alignment horizontal="left"/>
    </xf>
    <xf numFmtId="3" fontId="7" fillId="0" borderId="0" xfId="0" applyNumberFormat="1" applyFont="1" applyFill="1"/>
    <xf numFmtId="0" fontId="4" fillId="0" borderId="0" xfId="0" applyFont="1"/>
    <xf numFmtId="0" fontId="7" fillId="0" borderId="0" xfId="0" applyFont="1" applyFill="1"/>
    <xf numFmtId="4" fontId="4" fillId="0" borderId="0" xfId="0" applyNumberFormat="1" applyFont="1" applyFill="1"/>
    <xf numFmtId="0" fontId="4" fillId="0" borderId="0" xfId="0" applyFont="1" applyFill="1" applyBorder="1" applyAlignment="1">
      <alignment horizontal="center"/>
    </xf>
    <xf numFmtId="9" fontId="7" fillId="0" borderId="0" xfId="0" applyNumberFormat="1" applyFont="1" applyFill="1" applyBorder="1" applyAlignment="1">
      <alignment horizontal="center"/>
    </xf>
    <xf numFmtId="0" fontId="7" fillId="0" borderId="2" xfId="0" applyFont="1" applyFill="1" applyBorder="1" applyAlignment="1">
      <alignment horizontal="center"/>
    </xf>
    <xf numFmtId="0" fontId="7" fillId="0" borderId="0" xfId="0" applyFont="1" applyFill="1" applyAlignment="1">
      <alignment horizontal="right"/>
    </xf>
    <xf numFmtId="0" fontId="7" fillId="0" borderId="0" xfId="0" applyFont="1" applyFill="1" applyBorder="1" applyAlignment="1">
      <alignment horizontal="center"/>
    </xf>
    <xf numFmtId="0" fontId="6" fillId="0" borderId="0" xfId="0" applyFont="1" applyFill="1" applyAlignment="1">
      <alignment horizontal="left"/>
    </xf>
    <xf numFmtId="17" fontId="6" fillId="0" borderId="0" xfId="0" applyNumberFormat="1" applyFont="1" applyFill="1" applyAlignment="1">
      <alignment horizontal="left"/>
    </xf>
    <xf numFmtId="0" fontId="4" fillId="0" borderId="0" xfId="0" applyFont="1" applyFill="1" applyAlignment="1">
      <alignment horizontal="left"/>
    </xf>
    <xf numFmtId="0" fontId="4" fillId="0" borderId="0" xfId="0" applyFont="1" applyAlignment="1">
      <alignment horizontal="left"/>
    </xf>
    <xf numFmtId="0" fontId="4" fillId="0" borderId="0" xfId="0" applyFont="1" applyFill="1" applyBorder="1" applyAlignment="1">
      <alignment horizontal="left"/>
    </xf>
    <xf numFmtId="0" fontId="7" fillId="0" borderId="0" xfId="0" applyFont="1" applyFill="1" applyBorder="1" applyAlignment="1">
      <alignment horizontal="left"/>
    </xf>
    <xf numFmtId="0" fontId="4" fillId="0" borderId="1" xfId="1" applyFont="1" applyFill="1" applyBorder="1" applyAlignment="1" applyProtection="1">
      <alignment horizontal="left"/>
    </xf>
    <xf numFmtId="0" fontId="3" fillId="0" borderId="2" xfId="1" applyFont="1" applyFill="1" applyBorder="1" applyAlignment="1" applyProtection="1">
      <alignment horizontal="center"/>
    </xf>
    <xf numFmtId="0" fontId="4" fillId="0" borderId="1" xfId="0" applyFont="1" applyFill="1" applyBorder="1" applyAlignment="1">
      <alignment horizontal="left"/>
    </xf>
    <xf numFmtId="0" fontId="4" fillId="0" borderId="0" xfId="0" applyFont="1" applyFill="1" applyBorder="1"/>
    <xf numFmtId="0" fontId="4" fillId="0" borderId="2" xfId="0" applyFont="1" applyFill="1" applyBorder="1"/>
    <xf numFmtId="0" fontId="4" fillId="0" borderId="1" xfId="0" applyFont="1" applyFill="1" applyBorder="1"/>
    <xf numFmtId="0" fontId="4" fillId="0" borderId="0" xfId="0" applyFont="1" applyBorder="1" applyAlignment="1">
      <alignment horizontal="left"/>
    </xf>
    <xf numFmtId="0" fontId="4" fillId="0" borderId="3" xfId="0" applyFont="1" applyFill="1" applyBorder="1"/>
    <xf numFmtId="0" fontId="4" fillId="0" borderId="4" xfId="0" applyFont="1" applyBorder="1" applyAlignment="1">
      <alignment horizontal="left"/>
    </xf>
    <xf numFmtId="0" fontId="4" fillId="0" borderId="4" xfId="0" applyFont="1" applyFill="1" applyBorder="1"/>
    <xf numFmtId="0" fontId="4" fillId="0" borderId="4" xfId="0" applyFont="1" applyFill="1" applyBorder="1" applyAlignment="1">
      <alignment horizontal="left"/>
    </xf>
    <xf numFmtId="0" fontId="4" fillId="0" borderId="5" xfId="0" applyFont="1" applyFill="1" applyBorder="1"/>
    <xf numFmtId="0" fontId="3" fillId="2" borderId="0" xfId="1" applyFont="1" applyFill="1" applyAlignment="1" applyProtection="1"/>
    <xf numFmtId="0" fontId="11" fillId="2" borderId="0" xfId="0" applyFont="1" applyFill="1"/>
    <xf numFmtId="0" fontId="4" fillId="2" borderId="0" xfId="0" applyFont="1" applyFill="1"/>
    <xf numFmtId="9" fontId="4" fillId="0" borderId="0" xfId="0" applyNumberFormat="1" applyFont="1"/>
    <xf numFmtId="0" fontId="5" fillId="0" borderId="0" xfId="0" applyFont="1"/>
    <xf numFmtId="0" fontId="7" fillId="2" borderId="0" xfId="0" applyFont="1" applyFill="1"/>
    <xf numFmtId="14" fontId="0" fillId="0" borderId="0" xfId="0" applyNumberFormat="1"/>
    <xf numFmtId="3" fontId="5" fillId="0" borderId="0" xfId="0" applyNumberFormat="1" applyFont="1" applyFill="1" applyAlignment="1">
      <alignment horizontal="right"/>
    </xf>
    <xf numFmtId="3" fontId="4" fillId="0" borderId="0" xfId="0" applyNumberFormat="1" applyFont="1" applyFill="1" applyAlignment="1">
      <alignment horizontal="right"/>
    </xf>
    <xf numFmtId="3" fontId="7" fillId="0" borderId="0" xfId="0" applyNumberFormat="1" applyFont="1" applyFill="1" applyAlignment="1">
      <alignment horizontal="right"/>
    </xf>
    <xf numFmtId="2" fontId="4" fillId="0" borderId="0" xfId="0" applyNumberFormat="1" applyFont="1" applyFill="1" applyAlignment="1">
      <alignment horizontal="right"/>
    </xf>
    <xf numFmtId="0" fontId="4" fillId="0" borderId="0" xfId="1" applyFont="1" applyFill="1" applyBorder="1" applyAlignment="1" applyProtection="1">
      <alignment horizontal="left"/>
    </xf>
    <xf numFmtId="0" fontId="4" fillId="0" borderId="0" xfId="1" applyFont="1" applyFill="1" applyBorder="1" applyAlignment="1" applyProtection="1">
      <alignment horizontal="right"/>
    </xf>
    <xf numFmtId="0" fontId="4" fillId="0" borderId="0" xfId="0" applyFont="1" applyFill="1" applyBorder="1" applyAlignment="1">
      <alignment horizontal="right"/>
    </xf>
    <xf numFmtId="0" fontId="0" fillId="0" borderId="4" xfId="0" applyBorder="1"/>
    <xf numFmtId="0" fontId="3" fillId="0" borderId="0" xfId="1" applyFill="1" applyAlignment="1" applyProtection="1"/>
    <xf numFmtId="0" fontId="3" fillId="0" borderId="0" xfId="1" applyAlignment="1" applyProtection="1"/>
    <xf numFmtId="0" fontId="7" fillId="0" borderId="0" xfId="0" applyFont="1"/>
    <xf numFmtId="0" fontId="11" fillId="0" borderId="0" xfId="0" applyFont="1"/>
    <xf numFmtId="0" fontId="15" fillId="0" borderId="0" xfId="0" applyFont="1"/>
    <xf numFmtId="0" fontId="7" fillId="0" borderId="0" xfId="0" applyFont="1" applyAlignment="1">
      <alignment horizontal="center"/>
    </xf>
    <xf numFmtId="0" fontId="15" fillId="0" borderId="0" xfId="0" applyFont="1" applyAlignment="1">
      <alignment horizontal="center"/>
    </xf>
    <xf numFmtId="3" fontId="0" fillId="0" borderId="0" xfId="0" applyNumberFormat="1"/>
    <xf numFmtId="0" fontId="17" fillId="0" borderId="0" xfId="0" applyFont="1"/>
    <xf numFmtId="0" fontId="3" fillId="0" borderId="0" xfId="1" applyFont="1" applyAlignment="1" applyProtection="1"/>
    <xf numFmtId="0" fontId="14" fillId="0" borderId="0" xfId="0" applyFont="1"/>
    <xf numFmtId="0" fontId="13" fillId="0" borderId="0" xfId="0" applyFont="1"/>
    <xf numFmtId="0" fontId="4" fillId="0" borderId="6" xfId="1" applyFont="1" applyFill="1" applyBorder="1" applyAlignment="1" applyProtection="1">
      <alignment horizontal="left"/>
    </xf>
    <xf numFmtId="0" fontId="4" fillId="0" borderId="11" xfId="0" applyFont="1" applyBorder="1"/>
    <xf numFmtId="0" fontId="4" fillId="0" borderId="12" xfId="0" applyFont="1" applyBorder="1"/>
    <xf numFmtId="0" fontId="4" fillId="0" borderId="13" xfId="0" applyFont="1" applyBorder="1"/>
    <xf numFmtId="0" fontId="4" fillId="0" borderId="6" xfId="0" applyFont="1" applyBorder="1"/>
    <xf numFmtId="0" fontId="4" fillId="0" borderId="0" xfId="0" applyFont="1" applyBorder="1"/>
    <xf numFmtId="0" fontId="4" fillId="0" borderId="8" xfId="0" applyFont="1" applyBorder="1"/>
    <xf numFmtId="0" fontId="4" fillId="0" borderId="9" xfId="0" applyFont="1" applyBorder="1"/>
    <xf numFmtId="164" fontId="4" fillId="0" borderId="7" xfId="0" applyNumberFormat="1" applyFont="1" applyBorder="1"/>
    <xf numFmtId="164" fontId="4" fillId="0" borderId="10" xfId="0" applyNumberFormat="1" applyFont="1" applyBorder="1"/>
    <xf numFmtId="0" fontId="4" fillId="0" borderId="6" xfId="0" applyFont="1" applyFill="1" applyBorder="1"/>
    <xf numFmtId="164" fontId="0" fillId="0" borderId="7" xfId="0" applyNumberFormat="1" applyBorder="1"/>
    <xf numFmtId="0" fontId="4" fillId="0" borderId="14" xfId="0" applyFont="1" applyBorder="1"/>
    <xf numFmtId="0" fontId="4" fillId="0" borderId="4" xfId="0" applyFont="1" applyBorder="1"/>
    <xf numFmtId="164" fontId="4" fillId="0" borderId="15" xfId="0" applyNumberFormat="1" applyFont="1" applyBorder="1"/>
    <xf numFmtId="0" fontId="5" fillId="0" borderId="16" xfId="0" applyFont="1" applyBorder="1"/>
    <xf numFmtId="0" fontId="5" fillId="0" borderId="17" xfId="0" applyFont="1" applyBorder="1"/>
    <xf numFmtId="0" fontId="5" fillId="0" borderId="17" xfId="0" applyFont="1" applyBorder="1" applyAlignment="1">
      <alignment horizontal="center"/>
    </xf>
    <xf numFmtId="0" fontId="5" fillId="0" borderId="18" xfId="0" applyFont="1" applyBorder="1" applyAlignment="1">
      <alignment horizontal="center"/>
    </xf>
    <xf numFmtId="165" fontId="4" fillId="0" borderId="0" xfId="0" applyNumberFormat="1" applyFont="1" applyBorder="1" applyAlignment="1">
      <alignment horizontal="center"/>
    </xf>
    <xf numFmtId="165" fontId="4" fillId="0" borderId="7" xfId="0" applyNumberFormat="1" applyFont="1" applyBorder="1" applyAlignment="1">
      <alignment horizontal="center"/>
    </xf>
    <xf numFmtId="165" fontId="4" fillId="0" borderId="9" xfId="0" applyNumberFormat="1" applyFont="1" applyBorder="1" applyAlignment="1">
      <alignment horizontal="center"/>
    </xf>
    <xf numFmtId="165" fontId="4" fillId="0" borderId="10" xfId="0" applyNumberFormat="1" applyFont="1" applyBorder="1" applyAlignment="1">
      <alignment horizontal="center"/>
    </xf>
    <xf numFmtId="0" fontId="4" fillId="0" borderId="0" xfId="0" applyFont="1" applyFill="1" applyAlignment="1">
      <alignment horizontal="right"/>
    </xf>
    <xf numFmtId="14" fontId="4" fillId="0" borderId="0" xfId="0" applyNumberFormat="1" applyFont="1" applyFill="1" applyAlignment="1">
      <alignment horizontal="right"/>
    </xf>
    <xf numFmtId="9" fontId="4" fillId="0" borderId="0" xfId="0" applyNumberFormat="1" applyFont="1" applyFill="1" applyAlignment="1">
      <alignment horizontal="right"/>
    </xf>
    <xf numFmtId="3" fontId="4" fillId="3" borderId="0" xfId="0" applyNumberFormat="1" applyFont="1" applyFill="1" applyAlignment="1">
      <alignment horizontal="right"/>
    </xf>
    <xf numFmtId="0" fontId="4" fillId="0" borderId="0" xfId="0" applyFont="1" applyFill="1" applyAlignment="1"/>
    <xf numFmtId="3" fontId="2" fillId="0" borderId="0" xfId="0" applyNumberFormat="1" applyFont="1" applyFill="1" applyAlignment="1">
      <alignment horizontal="right"/>
    </xf>
    <xf numFmtId="0" fontId="0" fillId="0" borderId="0" xfId="0" applyBorder="1"/>
    <xf numFmtId="14" fontId="0" fillId="0" borderId="0" xfId="0" applyNumberFormat="1" applyBorder="1"/>
    <xf numFmtId="4" fontId="4" fillId="0" borderId="0" xfId="0" applyNumberFormat="1" applyFont="1" applyFill="1" applyAlignment="1">
      <alignment horizontal="right"/>
    </xf>
    <xf numFmtId="0" fontId="2" fillId="0" borderId="0" xfId="0" applyFont="1" applyFill="1"/>
    <xf numFmtId="0" fontId="7" fillId="0" borderId="0" xfId="0" applyFont="1" applyAlignment="1">
      <alignment horizontal="center"/>
    </xf>
    <xf numFmtId="0" fontId="0" fillId="0" borderId="0" xfId="0" applyAlignment="1">
      <alignment horizontal="center"/>
    </xf>
    <xf numFmtId="0" fontId="4" fillId="0" borderId="19" xfId="0" applyFont="1" applyFill="1" applyBorder="1" applyAlignment="1">
      <alignment horizontal="left"/>
    </xf>
    <xf numFmtId="0" fontId="4" fillId="0" borderId="20" xfId="0" applyFont="1" applyFill="1" applyBorder="1" applyAlignment="1">
      <alignment horizontal="left"/>
    </xf>
    <xf numFmtId="0" fontId="4" fillId="0" borderId="20" xfId="0" applyFont="1" applyFill="1" applyBorder="1" applyAlignment="1">
      <alignment horizontal="center"/>
    </xf>
    <xf numFmtId="0" fontId="4" fillId="0" borderId="21" xfId="0" applyFont="1"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1"/>
          <c:order val="11"/>
          <c:tx>
            <c:strRef>
              <c:f>'Marketed products'!$B$29</c:f>
              <c:strCache>
                <c:ptCount val="1"/>
                <c:pt idx="0">
                  <c:v>Sum</c:v>
                </c:pt>
              </c:strCache>
            </c:strRef>
          </c:t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invertIfNegative val="0"/>
          <c:cat>
            <c:numRef>
              <c:f>'Marketed products'!$C$17:$G$17</c:f>
              <c:numCache>
                <c:formatCode>General</c:formatCode>
                <c:ptCount val="5"/>
                <c:pt idx="0">
                  <c:v>2007</c:v>
                </c:pt>
                <c:pt idx="1">
                  <c:v>2008</c:v>
                </c:pt>
                <c:pt idx="2">
                  <c:v>2009</c:v>
                </c:pt>
                <c:pt idx="3">
                  <c:v>2010</c:v>
                </c:pt>
                <c:pt idx="4">
                  <c:v>2011</c:v>
                </c:pt>
              </c:numCache>
            </c:numRef>
          </c:cat>
          <c:val>
            <c:numRef>
              <c:f>'Marketed products'!$C$29:$G$29</c:f>
              <c:numCache>
                <c:formatCode>General</c:formatCode>
                <c:ptCount val="5"/>
                <c:pt idx="0">
                  <c:v>955</c:v>
                </c:pt>
                <c:pt idx="1">
                  <c:v>1140</c:v>
                </c:pt>
                <c:pt idx="2">
                  <c:v>1092</c:v>
                </c:pt>
                <c:pt idx="3">
                  <c:v>1265</c:v>
                </c:pt>
                <c:pt idx="4">
                  <c:v>1391</c:v>
                </c:pt>
              </c:numCache>
            </c:numRef>
          </c:val>
        </c:ser>
        <c:dLbls>
          <c:showLegendKey val="0"/>
          <c:showVal val="0"/>
          <c:showCatName val="0"/>
          <c:showSerName val="0"/>
          <c:showPercent val="0"/>
          <c:showBubbleSize val="0"/>
        </c:dLbls>
        <c:gapWidth val="150"/>
        <c:axId val="649627216"/>
        <c:axId val="649626824"/>
      </c:barChart>
      <c:lineChart>
        <c:grouping val="standard"/>
        <c:varyColors val="0"/>
        <c:ser>
          <c:idx val="0"/>
          <c:order val="0"/>
          <c:tx>
            <c:strRef>
              <c:f>'Marketed products'!$B$18</c:f>
              <c:strCache>
                <c:ptCount val="1"/>
                <c:pt idx="0">
                  <c:v>Rivastach Patch</c:v>
                </c:pt>
              </c:strCache>
            </c:strRef>
          </c:tx>
          <c:cat>
            <c:numRef>
              <c:f>'Marketed products'!$C$17:$G$17</c:f>
              <c:numCache>
                <c:formatCode>General</c:formatCode>
                <c:ptCount val="5"/>
                <c:pt idx="0">
                  <c:v>2007</c:v>
                </c:pt>
                <c:pt idx="1">
                  <c:v>2008</c:v>
                </c:pt>
                <c:pt idx="2">
                  <c:v>2009</c:v>
                </c:pt>
                <c:pt idx="3">
                  <c:v>2010</c:v>
                </c:pt>
                <c:pt idx="4">
                  <c:v>2011</c:v>
                </c:pt>
              </c:numCache>
            </c:numRef>
          </c:cat>
          <c:val>
            <c:numRef>
              <c:f>'Marketed products'!$C$18:$G$18</c:f>
              <c:numCache>
                <c:formatCode>General</c:formatCode>
                <c:ptCount val="5"/>
                <c:pt idx="4">
                  <c:v>12</c:v>
                </c:pt>
              </c:numCache>
            </c:numRef>
          </c:val>
          <c:smooth val="0"/>
        </c:ser>
        <c:ser>
          <c:idx val="1"/>
          <c:order val="1"/>
          <c:tx>
            <c:strRef>
              <c:f>'Marketed products'!$B$19</c:f>
              <c:strCache>
                <c:ptCount val="1"/>
                <c:pt idx="0">
                  <c:v>Emend capsules</c:v>
                </c:pt>
              </c:strCache>
            </c:strRef>
          </c:tx>
          <c:cat>
            <c:numRef>
              <c:f>'Marketed products'!$C$17:$G$17</c:f>
              <c:numCache>
                <c:formatCode>General</c:formatCode>
                <c:ptCount val="5"/>
                <c:pt idx="0">
                  <c:v>2007</c:v>
                </c:pt>
                <c:pt idx="1">
                  <c:v>2008</c:v>
                </c:pt>
                <c:pt idx="2">
                  <c:v>2009</c:v>
                </c:pt>
                <c:pt idx="3">
                  <c:v>2010</c:v>
                </c:pt>
                <c:pt idx="4">
                  <c:v>2011</c:v>
                </c:pt>
              </c:numCache>
            </c:numRef>
          </c:cat>
          <c:val>
            <c:numRef>
              <c:f>'Marketed products'!$C$19:$G$19</c:f>
              <c:numCache>
                <c:formatCode>General</c:formatCode>
                <c:ptCount val="5"/>
                <c:pt idx="3">
                  <c:v>47</c:v>
                </c:pt>
                <c:pt idx="4">
                  <c:v>66</c:v>
                </c:pt>
              </c:numCache>
            </c:numRef>
          </c:val>
          <c:smooth val="0"/>
        </c:ser>
        <c:ser>
          <c:idx val="2"/>
          <c:order val="2"/>
          <c:tx>
            <c:strRef>
              <c:f>'Marketed products'!$B$20</c:f>
              <c:strCache>
                <c:ptCount val="1"/>
                <c:pt idx="0">
                  <c:v>Glactiv</c:v>
                </c:pt>
              </c:strCache>
            </c:strRef>
          </c:tx>
          <c:cat>
            <c:numRef>
              <c:f>'Marketed products'!$C$17:$G$17</c:f>
              <c:numCache>
                <c:formatCode>General</c:formatCode>
                <c:ptCount val="5"/>
                <c:pt idx="0">
                  <c:v>2007</c:v>
                </c:pt>
                <c:pt idx="1">
                  <c:v>2008</c:v>
                </c:pt>
                <c:pt idx="2">
                  <c:v>2009</c:v>
                </c:pt>
                <c:pt idx="3">
                  <c:v>2010</c:v>
                </c:pt>
                <c:pt idx="4">
                  <c:v>2011</c:v>
                </c:pt>
              </c:numCache>
            </c:numRef>
          </c:cat>
          <c:val>
            <c:numRef>
              <c:f>'Marketed products'!$C$20:$G$20</c:f>
              <c:numCache>
                <c:formatCode>General</c:formatCode>
                <c:ptCount val="5"/>
                <c:pt idx="3">
                  <c:v>111</c:v>
                </c:pt>
                <c:pt idx="4">
                  <c:v>279</c:v>
                </c:pt>
              </c:numCache>
            </c:numRef>
          </c:val>
          <c:smooth val="0"/>
        </c:ser>
        <c:ser>
          <c:idx val="3"/>
          <c:order val="3"/>
          <c:tx>
            <c:strRef>
              <c:f>'Marketed products'!$B$21</c:f>
              <c:strCache>
                <c:ptCount val="1"/>
                <c:pt idx="0">
                  <c:v>Recalbon</c:v>
                </c:pt>
              </c:strCache>
            </c:strRef>
          </c:tx>
          <c:cat>
            <c:numRef>
              <c:f>'Marketed products'!$C$17:$G$17</c:f>
              <c:numCache>
                <c:formatCode>General</c:formatCode>
                <c:ptCount val="5"/>
                <c:pt idx="0">
                  <c:v>2007</c:v>
                </c:pt>
                <c:pt idx="1">
                  <c:v>2008</c:v>
                </c:pt>
                <c:pt idx="2">
                  <c:v>2009</c:v>
                </c:pt>
                <c:pt idx="3">
                  <c:v>2010</c:v>
                </c:pt>
                <c:pt idx="4">
                  <c:v>2011</c:v>
                </c:pt>
              </c:numCache>
            </c:numRef>
          </c:cat>
          <c:val>
            <c:numRef>
              <c:f>'Marketed products'!$C$21:$G$21</c:f>
              <c:numCache>
                <c:formatCode>General</c:formatCode>
                <c:ptCount val="5"/>
                <c:pt idx="3">
                  <c:v>20</c:v>
                </c:pt>
                <c:pt idx="4">
                  <c:v>35</c:v>
                </c:pt>
              </c:numCache>
            </c:numRef>
          </c:val>
          <c:smooth val="0"/>
        </c:ser>
        <c:ser>
          <c:idx val="4"/>
          <c:order val="4"/>
          <c:tx>
            <c:strRef>
              <c:f>'Marketed products'!$B$22</c:f>
              <c:strCache>
                <c:ptCount val="1"/>
                <c:pt idx="0">
                  <c:v>Staybla</c:v>
                </c:pt>
              </c:strCache>
            </c:strRef>
          </c:tx>
          <c:cat>
            <c:numRef>
              <c:f>'Marketed products'!$C$17:$G$17</c:f>
              <c:numCache>
                <c:formatCode>General</c:formatCode>
                <c:ptCount val="5"/>
                <c:pt idx="0">
                  <c:v>2007</c:v>
                </c:pt>
                <c:pt idx="1">
                  <c:v>2008</c:v>
                </c:pt>
                <c:pt idx="2">
                  <c:v>2009</c:v>
                </c:pt>
                <c:pt idx="3">
                  <c:v>2010</c:v>
                </c:pt>
                <c:pt idx="4">
                  <c:v>2011</c:v>
                </c:pt>
              </c:numCache>
            </c:numRef>
          </c:cat>
          <c:val>
            <c:numRef>
              <c:f>'Marketed products'!$C$22:$G$22</c:f>
              <c:numCache>
                <c:formatCode>General</c:formatCode>
                <c:ptCount val="5"/>
                <c:pt idx="1">
                  <c:v>5</c:v>
                </c:pt>
                <c:pt idx="2">
                  <c:v>22</c:v>
                </c:pt>
                <c:pt idx="3">
                  <c:v>58</c:v>
                </c:pt>
                <c:pt idx="4">
                  <c:v>46</c:v>
                </c:pt>
              </c:numCache>
            </c:numRef>
          </c:val>
          <c:smooth val="0"/>
        </c:ser>
        <c:ser>
          <c:idx val="5"/>
          <c:order val="5"/>
          <c:tx>
            <c:strRef>
              <c:f>'Marketed products'!$B$23</c:f>
              <c:strCache>
                <c:ptCount val="1"/>
                <c:pt idx="0">
                  <c:v>Onon (Capsules/syrup)</c:v>
                </c:pt>
              </c:strCache>
            </c:strRef>
          </c:tx>
          <c:cat>
            <c:numRef>
              <c:f>'Marketed products'!$C$17:$G$17</c:f>
              <c:numCache>
                <c:formatCode>General</c:formatCode>
                <c:ptCount val="5"/>
                <c:pt idx="0">
                  <c:v>2007</c:v>
                </c:pt>
                <c:pt idx="1">
                  <c:v>2008</c:v>
                </c:pt>
                <c:pt idx="2">
                  <c:v>2009</c:v>
                </c:pt>
                <c:pt idx="3">
                  <c:v>2010</c:v>
                </c:pt>
                <c:pt idx="4">
                  <c:v>2011</c:v>
                </c:pt>
              </c:numCache>
            </c:numRef>
          </c:cat>
          <c:val>
            <c:numRef>
              <c:f>'Marketed products'!$C$23:$G$23</c:f>
              <c:numCache>
                <c:formatCode>General</c:formatCode>
                <c:ptCount val="5"/>
                <c:pt idx="0">
                  <c:v>382</c:v>
                </c:pt>
                <c:pt idx="1">
                  <c:v>381</c:v>
                </c:pt>
                <c:pt idx="2">
                  <c:v>333</c:v>
                </c:pt>
                <c:pt idx="3">
                  <c:v>300</c:v>
                </c:pt>
                <c:pt idx="4">
                  <c:v>267</c:v>
                </c:pt>
              </c:numCache>
            </c:numRef>
          </c:val>
          <c:smooth val="0"/>
        </c:ser>
        <c:ser>
          <c:idx val="6"/>
          <c:order val="6"/>
          <c:tx>
            <c:strRef>
              <c:f>'Marketed products'!$B$24</c:f>
              <c:strCache>
                <c:ptCount val="1"/>
                <c:pt idx="0">
                  <c:v>Opalmon</c:v>
                </c:pt>
              </c:strCache>
            </c:strRef>
          </c:tx>
          <c:cat>
            <c:numRef>
              <c:f>'Marketed products'!$C$17:$G$17</c:f>
              <c:numCache>
                <c:formatCode>General</c:formatCode>
                <c:ptCount val="5"/>
                <c:pt idx="0">
                  <c:v>2007</c:v>
                </c:pt>
                <c:pt idx="1">
                  <c:v>2008</c:v>
                </c:pt>
                <c:pt idx="2">
                  <c:v>2009</c:v>
                </c:pt>
                <c:pt idx="3">
                  <c:v>2010</c:v>
                </c:pt>
                <c:pt idx="4">
                  <c:v>2011</c:v>
                </c:pt>
              </c:numCache>
            </c:numRef>
          </c:cat>
          <c:val>
            <c:numRef>
              <c:f>'Marketed products'!$C$24:$G$24</c:f>
              <c:numCache>
                <c:formatCode>General</c:formatCode>
                <c:ptCount val="5"/>
                <c:pt idx="0">
                  <c:v>338</c:v>
                </c:pt>
                <c:pt idx="1">
                  <c:v>373</c:v>
                </c:pt>
                <c:pt idx="2">
                  <c:v>381</c:v>
                </c:pt>
                <c:pt idx="3">
                  <c:v>401</c:v>
                </c:pt>
                <c:pt idx="4">
                  <c:v>395</c:v>
                </c:pt>
              </c:numCache>
            </c:numRef>
          </c:val>
          <c:smooth val="0"/>
        </c:ser>
        <c:ser>
          <c:idx val="7"/>
          <c:order val="7"/>
          <c:tx>
            <c:strRef>
              <c:f>'Marketed products'!$B$25</c:f>
              <c:strCache>
                <c:ptCount val="1"/>
                <c:pt idx="0">
                  <c:v>Kinedak</c:v>
                </c:pt>
              </c:strCache>
            </c:strRef>
          </c:tx>
          <c:cat>
            <c:numRef>
              <c:f>'Marketed products'!$C$17:$G$17</c:f>
              <c:numCache>
                <c:formatCode>General</c:formatCode>
                <c:ptCount val="5"/>
                <c:pt idx="0">
                  <c:v>2007</c:v>
                </c:pt>
                <c:pt idx="1">
                  <c:v>2008</c:v>
                </c:pt>
                <c:pt idx="2">
                  <c:v>2009</c:v>
                </c:pt>
                <c:pt idx="3">
                  <c:v>2010</c:v>
                </c:pt>
                <c:pt idx="4">
                  <c:v>2011</c:v>
                </c:pt>
              </c:numCache>
            </c:numRef>
          </c:cat>
          <c:val>
            <c:numRef>
              <c:f>'Marketed products'!$C$25:$G$25</c:f>
              <c:numCache>
                <c:formatCode>General</c:formatCode>
                <c:ptCount val="5"/>
                <c:pt idx="0">
                  <c:v>173</c:v>
                </c:pt>
                <c:pt idx="1">
                  <c:v>174</c:v>
                </c:pt>
                <c:pt idx="2">
                  <c:v>158</c:v>
                </c:pt>
                <c:pt idx="3">
                  <c:v>132</c:v>
                </c:pt>
                <c:pt idx="4">
                  <c:v>112</c:v>
                </c:pt>
              </c:numCache>
            </c:numRef>
          </c:val>
          <c:smooth val="0"/>
        </c:ser>
        <c:ser>
          <c:idx val="8"/>
          <c:order val="8"/>
          <c:tx>
            <c:strRef>
              <c:f>'Marketed products'!$B$26</c:f>
              <c:strCache>
                <c:ptCount val="1"/>
                <c:pt idx="0">
                  <c:v>Elaspol</c:v>
                </c:pt>
              </c:strCache>
            </c:strRef>
          </c:tx>
          <c:cat>
            <c:numRef>
              <c:f>'Marketed products'!$C$17:$G$17</c:f>
              <c:numCache>
                <c:formatCode>General</c:formatCode>
                <c:ptCount val="5"/>
                <c:pt idx="0">
                  <c:v>2007</c:v>
                </c:pt>
                <c:pt idx="1">
                  <c:v>2008</c:v>
                </c:pt>
                <c:pt idx="2">
                  <c:v>2009</c:v>
                </c:pt>
                <c:pt idx="3">
                  <c:v>2010</c:v>
                </c:pt>
                <c:pt idx="4">
                  <c:v>2011</c:v>
                </c:pt>
              </c:numCache>
            </c:numRef>
          </c:cat>
          <c:val>
            <c:numRef>
              <c:f>'Marketed products'!$C$26:$G$26</c:f>
              <c:numCache>
                <c:formatCode>General</c:formatCode>
                <c:ptCount val="5"/>
                <c:pt idx="0">
                  <c:v>53</c:v>
                </c:pt>
                <c:pt idx="1">
                  <c:v>54</c:v>
                </c:pt>
                <c:pt idx="2">
                  <c:v>50</c:v>
                </c:pt>
                <c:pt idx="3">
                  <c:v>50</c:v>
                </c:pt>
                <c:pt idx="4">
                  <c:v>44</c:v>
                </c:pt>
              </c:numCache>
            </c:numRef>
          </c:val>
          <c:smooth val="0"/>
        </c:ser>
        <c:ser>
          <c:idx val="9"/>
          <c:order val="9"/>
          <c:tx>
            <c:strRef>
              <c:f>'Marketed products'!$B$27</c:f>
              <c:strCache>
                <c:ptCount val="1"/>
                <c:pt idx="0">
                  <c:v>Foipan</c:v>
                </c:pt>
              </c:strCache>
            </c:strRef>
          </c:tx>
          <c:cat>
            <c:numRef>
              <c:f>'Marketed products'!$C$17:$G$17</c:f>
              <c:numCache>
                <c:formatCode>General</c:formatCode>
                <c:ptCount val="5"/>
                <c:pt idx="0">
                  <c:v>2007</c:v>
                </c:pt>
                <c:pt idx="1">
                  <c:v>2008</c:v>
                </c:pt>
                <c:pt idx="2">
                  <c:v>2009</c:v>
                </c:pt>
                <c:pt idx="3">
                  <c:v>2010</c:v>
                </c:pt>
                <c:pt idx="4">
                  <c:v>2011</c:v>
                </c:pt>
              </c:numCache>
            </c:numRef>
          </c:cat>
          <c:val>
            <c:numRef>
              <c:f>'Marketed products'!$C$27:$G$27</c:f>
              <c:numCache>
                <c:formatCode>General</c:formatCode>
                <c:ptCount val="5"/>
                <c:pt idx="1">
                  <c:v>134</c:v>
                </c:pt>
                <c:pt idx="2">
                  <c:v>121</c:v>
                </c:pt>
                <c:pt idx="3">
                  <c:v>110</c:v>
                </c:pt>
                <c:pt idx="4">
                  <c:v>102</c:v>
                </c:pt>
              </c:numCache>
            </c:numRef>
          </c:val>
          <c:smooth val="0"/>
        </c:ser>
        <c:ser>
          <c:idx val="10"/>
          <c:order val="10"/>
          <c:tx>
            <c:strRef>
              <c:f>'Marketed products'!$B$28</c:f>
              <c:strCache>
                <c:ptCount val="1"/>
                <c:pt idx="0">
                  <c:v>Onoact</c:v>
                </c:pt>
              </c:strCache>
            </c:strRef>
          </c:tx>
          <c:cat>
            <c:numRef>
              <c:f>'Marketed products'!$C$17:$G$17</c:f>
              <c:numCache>
                <c:formatCode>General</c:formatCode>
                <c:ptCount val="5"/>
                <c:pt idx="0">
                  <c:v>2007</c:v>
                </c:pt>
                <c:pt idx="1">
                  <c:v>2008</c:v>
                </c:pt>
                <c:pt idx="2">
                  <c:v>2009</c:v>
                </c:pt>
                <c:pt idx="3">
                  <c:v>2010</c:v>
                </c:pt>
                <c:pt idx="4">
                  <c:v>2011</c:v>
                </c:pt>
              </c:numCache>
            </c:numRef>
          </c:cat>
          <c:val>
            <c:numRef>
              <c:f>'Marketed products'!$C$28:$G$28</c:f>
              <c:numCache>
                <c:formatCode>General</c:formatCode>
                <c:ptCount val="5"/>
                <c:pt idx="0">
                  <c:v>9</c:v>
                </c:pt>
                <c:pt idx="1">
                  <c:v>19</c:v>
                </c:pt>
                <c:pt idx="2">
                  <c:v>27</c:v>
                </c:pt>
                <c:pt idx="3">
                  <c:v>36</c:v>
                </c:pt>
                <c:pt idx="4">
                  <c:v>33</c:v>
                </c:pt>
              </c:numCache>
            </c:numRef>
          </c:val>
          <c:smooth val="0"/>
        </c:ser>
        <c:dLbls>
          <c:showLegendKey val="0"/>
          <c:showVal val="0"/>
          <c:showCatName val="0"/>
          <c:showSerName val="0"/>
          <c:showPercent val="0"/>
          <c:showBubbleSize val="0"/>
        </c:dLbls>
        <c:marker val="1"/>
        <c:smooth val="0"/>
        <c:axId val="649626040"/>
        <c:axId val="649626432"/>
      </c:lineChart>
      <c:catAx>
        <c:axId val="649626040"/>
        <c:scaling>
          <c:orientation val="minMax"/>
        </c:scaling>
        <c:delete val="0"/>
        <c:axPos val="b"/>
        <c:title>
          <c:tx>
            <c:rich>
              <a:bodyPr/>
              <a:lstStyle/>
              <a:p>
                <a:pPr>
                  <a:defRPr sz="1200"/>
                </a:pPr>
                <a:r>
                  <a:rPr lang="en-US" sz="1200"/>
                  <a:t>Year</a:t>
                </a:r>
              </a:p>
            </c:rich>
          </c:tx>
          <c:overlay val="0"/>
        </c:title>
        <c:numFmt formatCode="General" sourceLinked="1"/>
        <c:majorTickMark val="in"/>
        <c:minorTickMark val="none"/>
        <c:tickLblPos val="nextTo"/>
        <c:spPr>
          <a:ln w="28575">
            <a:solidFill>
              <a:sysClr val="windowText" lastClr="000000"/>
            </a:solidFill>
          </a:ln>
        </c:spPr>
        <c:crossAx val="649626432"/>
        <c:crosses val="autoZero"/>
        <c:auto val="1"/>
        <c:lblAlgn val="ctr"/>
        <c:lblOffset val="100"/>
        <c:noMultiLvlLbl val="0"/>
      </c:catAx>
      <c:valAx>
        <c:axId val="649626432"/>
        <c:scaling>
          <c:orientation val="minMax"/>
        </c:scaling>
        <c:delete val="0"/>
        <c:axPos val="l"/>
        <c:majorGridlines>
          <c:spPr>
            <a:ln>
              <a:solidFill>
                <a:srgbClr val="4F81BD">
                  <a:alpha val="0"/>
                </a:srgbClr>
              </a:solidFill>
            </a:ln>
          </c:spPr>
        </c:majorGridlines>
        <c:title>
          <c:tx>
            <c:rich>
              <a:bodyPr rot="-5400000" vert="horz"/>
              <a:lstStyle/>
              <a:p>
                <a:pPr>
                  <a:defRPr sz="1200"/>
                </a:pPr>
                <a:r>
                  <a:rPr lang="en-US" sz="1200"/>
                  <a:t>Sales (100 mill JPY)</a:t>
                </a:r>
              </a:p>
            </c:rich>
          </c:tx>
          <c:overlay val="0"/>
        </c:title>
        <c:numFmt formatCode="General" sourceLinked="1"/>
        <c:majorTickMark val="in"/>
        <c:minorTickMark val="none"/>
        <c:tickLblPos val="nextTo"/>
        <c:spPr>
          <a:noFill/>
          <a:ln w="28575">
            <a:solidFill>
              <a:schemeClr val="tx1"/>
            </a:solidFill>
          </a:ln>
        </c:spPr>
        <c:crossAx val="649626040"/>
        <c:crosses val="autoZero"/>
        <c:crossBetween val="between"/>
      </c:valAx>
      <c:valAx>
        <c:axId val="649626824"/>
        <c:scaling>
          <c:orientation val="minMax"/>
        </c:scaling>
        <c:delete val="0"/>
        <c:axPos val="r"/>
        <c:title>
          <c:tx>
            <c:rich>
              <a:bodyPr rot="-5400000" vert="horz"/>
              <a:lstStyle/>
              <a:p>
                <a:pPr>
                  <a:defRPr sz="1200"/>
                </a:pPr>
                <a:r>
                  <a:rPr lang="en-US" sz="1200" b="1" i="0" baseline="0"/>
                  <a:t>Sales (100 mill JPY)</a:t>
                </a:r>
                <a:endParaRPr lang="en-US" sz="1200"/>
              </a:p>
            </c:rich>
          </c:tx>
          <c:overlay val="0"/>
        </c:title>
        <c:numFmt formatCode="General" sourceLinked="1"/>
        <c:majorTickMark val="in"/>
        <c:minorTickMark val="none"/>
        <c:tickLblPos val="nextTo"/>
        <c:spPr>
          <a:ln w="28575">
            <a:solidFill>
              <a:sysClr val="windowText" lastClr="000000"/>
            </a:solidFill>
          </a:ln>
        </c:spPr>
        <c:crossAx val="649627216"/>
        <c:crosses val="max"/>
        <c:crossBetween val="between"/>
      </c:valAx>
      <c:catAx>
        <c:axId val="649627216"/>
        <c:scaling>
          <c:orientation val="minMax"/>
        </c:scaling>
        <c:delete val="1"/>
        <c:axPos val="b"/>
        <c:numFmt formatCode="General" sourceLinked="1"/>
        <c:majorTickMark val="out"/>
        <c:minorTickMark val="none"/>
        <c:tickLblPos val="none"/>
        <c:crossAx val="649626824"/>
        <c:crosses val="autoZero"/>
        <c:auto val="1"/>
        <c:lblAlgn val="ctr"/>
        <c:lblOffset val="100"/>
        <c:noMultiLvlLbl val="0"/>
      </c:catAx>
    </c:plotArea>
    <c:legend>
      <c:legendPos val="r"/>
      <c:layout>
        <c:manualLayout>
          <c:xMode val="edge"/>
          <c:yMode val="edge"/>
          <c:x val="0.7614400359436696"/>
          <c:y val="0.14008444596599345"/>
          <c:w val="0.22500638325631189"/>
          <c:h val="0.56524151872320305"/>
        </c:manualLayout>
      </c:layout>
      <c:overlay val="0"/>
    </c:legend>
    <c:plotVisOnly val="1"/>
    <c:dispBlanksAs val="gap"/>
    <c:showDLblsOverMax val="0"/>
  </c:chart>
  <c:txPr>
    <a:bodyPr/>
    <a:lstStyle/>
    <a:p>
      <a:pPr>
        <a:defRPr>
          <a:latin typeface="Arial" pitchFamily="34" charset="0"/>
          <a:cs typeface="Arial" pitchFamily="34" charset="0"/>
        </a:defRPr>
      </a:pPr>
      <a:endParaRPr lang="en-US"/>
    </a:p>
  </c:txPr>
  <c:printSettings>
    <c:headerFooter/>
    <c:pageMargins b="0.75000000000000044" l="0.7000000000000004" r="0.7000000000000004" t="0.75000000000000044" header="0.30000000000000021" footer="0.3000000000000002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overlay val="0"/>
    </c:title>
    <c:autoTitleDeleted val="0"/>
    <c:plotArea>
      <c:layout/>
      <c:lineChart>
        <c:grouping val="standard"/>
        <c:varyColors val="0"/>
        <c:ser>
          <c:idx val="0"/>
          <c:order val="0"/>
          <c:tx>
            <c:strRef>
              <c:f>'Marketed products'!$B$38</c:f>
              <c:strCache>
                <c:ptCount val="1"/>
                <c:pt idx="0">
                  <c:v>Glactiv</c:v>
                </c:pt>
              </c:strCache>
            </c:strRef>
          </c:tx>
          <c:cat>
            <c:strRef>
              <c:f>'Marketed products'!$C$37:$L$37</c:f>
              <c:strCache>
                <c:ptCount val="10"/>
                <c:pt idx="0">
                  <c:v>Q309</c:v>
                </c:pt>
                <c:pt idx="1">
                  <c:v>Q409</c:v>
                </c:pt>
                <c:pt idx="2">
                  <c:v>Q1110</c:v>
                </c:pt>
                <c:pt idx="3">
                  <c:v>Q210</c:v>
                </c:pt>
                <c:pt idx="4">
                  <c:v>Q310</c:v>
                </c:pt>
                <c:pt idx="5">
                  <c:v>Q410</c:v>
                </c:pt>
                <c:pt idx="6">
                  <c:v>Q111 </c:v>
                </c:pt>
                <c:pt idx="7">
                  <c:v>Q211</c:v>
                </c:pt>
                <c:pt idx="8">
                  <c:v>Q311</c:v>
                </c:pt>
                <c:pt idx="9">
                  <c:v>Q411</c:v>
                </c:pt>
              </c:strCache>
            </c:strRef>
          </c:cat>
          <c:val>
            <c:numRef>
              <c:f>'Marketed products'!$C$38:$L$38</c:f>
              <c:numCache>
                <c:formatCode>General</c:formatCode>
                <c:ptCount val="10"/>
                <c:pt idx="0">
                  <c:v>4</c:v>
                </c:pt>
                <c:pt idx="1">
                  <c:v>5</c:v>
                </c:pt>
                <c:pt idx="2">
                  <c:v>15</c:v>
                </c:pt>
                <c:pt idx="3">
                  <c:v>19</c:v>
                </c:pt>
                <c:pt idx="4">
                  <c:v>31</c:v>
                </c:pt>
                <c:pt idx="5">
                  <c:v>46</c:v>
                </c:pt>
                <c:pt idx="6">
                  <c:v>62</c:v>
                </c:pt>
                <c:pt idx="7">
                  <c:v>66</c:v>
                </c:pt>
                <c:pt idx="8">
                  <c:v>80</c:v>
                </c:pt>
                <c:pt idx="9">
                  <c:v>71</c:v>
                </c:pt>
              </c:numCache>
            </c:numRef>
          </c:val>
          <c:smooth val="0"/>
        </c:ser>
        <c:dLbls>
          <c:showLegendKey val="0"/>
          <c:showVal val="0"/>
          <c:showCatName val="0"/>
          <c:showSerName val="0"/>
          <c:showPercent val="0"/>
          <c:showBubbleSize val="0"/>
        </c:dLbls>
        <c:marker val="1"/>
        <c:smooth val="0"/>
        <c:axId val="649628000"/>
        <c:axId val="649628392"/>
      </c:lineChart>
      <c:catAx>
        <c:axId val="649628000"/>
        <c:scaling>
          <c:orientation val="minMax"/>
        </c:scaling>
        <c:delete val="0"/>
        <c:axPos val="b"/>
        <c:title>
          <c:tx>
            <c:rich>
              <a:bodyPr/>
              <a:lstStyle/>
              <a:p>
                <a:pPr>
                  <a:defRPr sz="1200"/>
                </a:pPr>
                <a:r>
                  <a:rPr lang="en-US"/>
                  <a:t>Quarter</a:t>
                </a:r>
              </a:p>
            </c:rich>
          </c:tx>
          <c:overlay val="0"/>
        </c:title>
        <c:numFmt formatCode="General" sourceLinked="1"/>
        <c:majorTickMark val="in"/>
        <c:minorTickMark val="none"/>
        <c:tickLblPos val="nextTo"/>
        <c:spPr>
          <a:ln w="28575">
            <a:solidFill>
              <a:sysClr val="windowText" lastClr="000000"/>
            </a:solidFill>
          </a:ln>
        </c:spPr>
        <c:crossAx val="649628392"/>
        <c:crosses val="autoZero"/>
        <c:auto val="1"/>
        <c:lblAlgn val="ctr"/>
        <c:lblOffset val="100"/>
        <c:noMultiLvlLbl val="0"/>
      </c:catAx>
      <c:valAx>
        <c:axId val="649628392"/>
        <c:scaling>
          <c:orientation val="minMax"/>
        </c:scaling>
        <c:delete val="0"/>
        <c:axPos val="l"/>
        <c:majorGridlines>
          <c:spPr>
            <a:ln>
              <a:solidFill>
                <a:srgbClr val="4F81BD">
                  <a:alpha val="0"/>
                </a:srgbClr>
              </a:solidFill>
            </a:ln>
          </c:spPr>
        </c:majorGridlines>
        <c:title>
          <c:tx>
            <c:rich>
              <a:bodyPr rot="-5400000" vert="horz"/>
              <a:lstStyle/>
              <a:p>
                <a:pPr>
                  <a:defRPr sz="1200"/>
                </a:pPr>
                <a:r>
                  <a:rPr lang="en-US"/>
                  <a:t>Sales (100 million JPY)</a:t>
                </a:r>
              </a:p>
            </c:rich>
          </c:tx>
          <c:overlay val="0"/>
        </c:title>
        <c:numFmt formatCode="General" sourceLinked="1"/>
        <c:majorTickMark val="in"/>
        <c:minorTickMark val="none"/>
        <c:tickLblPos val="nextTo"/>
        <c:spPr>
          <a:noFill/>
          <a:ln w="28575">
            <a:solidFill>
              <a:schemeClr val="tx1"/>
            </a:solidFill>
          </a:ln>
        </c:spPr>
        <c:crossAx val="649628000"/>
        <c:crosses val="autoZero"/>
        <c:crossBetween val="between"/>
      </c:valAx>
    </c:plotArea>
    <c:plotVisOnly val="1"/>
    <c:dispBlanksAs val="gap"/>
    <c:showDLblsOverMax val="0"/>
  </c:chart>
  <c:txPr>
    <a:bodyPr/>
    <a:lstStyle/>
    <a:p>
      <a:pPr>
        <a:defRPr>
          <a:latin typeface="Arial" pitchFamily="34" charset="0"/>
          <a:cs typeface="Arial" pitchFamily="34" charset="0"/>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Deals!$K$6</c:f>
              <c:strCache>
                <c:ptCount val="1"/>
                <c:pt idx="0">
                  <c:v>Deals</c:v>
                </c:pt>
              </c:strCache>
            </c:strRef>
          </c:tx>
          <c:spPr>
            <a:solidFill>
              <a:schemeClr val="tx2">
                <a:lumMod val="75000"/>
              </a:schemeClr>
            </a:solidFill>
          </c:spPr>
          <c:invertIfNegative val="0"/>
          <c:cat>
            <c:numRef>
              <c:f>Deals!$J$7:$J$14</c:f>
              <c:numCache>
                <c:formatCode>General</c:formatCode>
                <c:ptCount val="8"/>
                <c:pt idx="0">
                  <c:v>2005</c:v>
                </c:pt>
                <c:pt idx="1">
                  <c:v>2006</c:v>
                </c:pt>
                <c:pt idx="2">
                  <c:v>2007</c:v>
                </c:pt>
                <c:pt idx="3">
                  <c:v>2008</c:v>
                </c:pt>
                <c:pt idx="4">
                  <c:v>2009</c:v>
                </c:pt>
                <c:pt idx="5">
                  <c:v>2010</c:v>
                </c:pt>
                <c:pt idx="6">
                  <c:v>2011</c:v>
                </c:pt>
                <c:pt idx="7">
                  <c:v>2012</c:v>
                </c:pt>
              </c:numCache>
            </c:numRef>
          </c:cat>
          <c:val>
            <c:numRef>
              <c:f>Deals!$K$7:$K$14</c:f>
              <c:numCache>
                <c:formatCode>General</c:formatCode>
                <c:ptCount val="8"/>
                <c:pt idx="0">
                  <c:v>3</c:v>
                </c:pt>
                <c:pt idx="1">
                  <c:v>2</c:v>
                </c:pt>
                <c:pt idx="2">
                  <c:v>2</c:v>
                </c:pt>
                <c:pt idx="3">
                  <c:v>2</c:v>
                </c:pt>
                <c:pt idx="4">
                  <c:v>2</c:v>
                </c:pt>
                <c:pt idx="5">
                  <c:v>3</c:v>
                </c:pt>
                <c:pt idx="6">
                  <c:v>6</c:v>
                </c:pt>
                <c:pt idx="7">
                  <c:v>2</c:v>
                </c:pt>
              </c:numCache>
            </c:numRef>
          </c:val>
        </c:ser>
        <c:dLbls>
          <c:showLegendKey val="0"/>
          <c:showVal val="0"/>
          <c:showCatName val="0"/>
          <c:showSerName val="0"/>
          <c:showPercent val="0"/>
          <c:showBubbleSize val="0"/>
        </c:dLbls>
        <c:gapWidth val="150"/>
        <c:axId val="649629176"/>
        <c:axId val="586899312"/>
      </c:barChart>
      <c:catAx>
        <c:axId val="649629176"/>
        <c:scaling>
          <c:orientation val="minMax"/>
        </c:scaling>
        <c:delete val="0"/>
        <c:axPos val="b"/>
        <c:title>
          <c:tx>
            <c:rich>
              <a:bodyPr/>
              <a:lstStyle/>
              <a:p>
                <a:pPr>
                  <a:defRPr sz="1200">
                    <a:latin typeface="Arial" pitchFamily="34" charset="0"/>
                    <a:cs typeface="Arial" pitchFamily="34" charset="0"/>
                  </a:defRPr>
                </a:pPr>
                <a:r>
                  <a:rPr lang="en-US" sz="1200">
                    <a:latin typeface="Arial" pitchFamily="34" charset="0"/>
                    <a:cs typeface="Arial" pitchFamily="34" charset="0"/>
                  </a:rPr>
                  <a:t>Year</a:t>
                </a:r>
              </a:p>
            </c:rich>
          </c:tx>
          <c:overlay val="0"/>
        </c:title>
        <c:numFmt formatCode="General" sourceLinked="1"/>
        <c:majorTickMark val="in"/>
        <c:minorTickMark val="none"/>
        <c:tickLblPos val="nextTo"/>
        <c:spPr>
          <a:ln w="28575">
            <a:solidFill>
              <a:schemeClr val="tx1"/>
            </a:solidFill>
          </a:ln>
        </c:spPr>
        <c:txPr>
          <a:bodyPr/>
          <a:lstStyle/>
          <a:p>
            <a:pPr>
              <a:defRPr>
                <a:latin typeface="Arial" pitchFamily="34" charset="0"/>
                <a:cs typeface="Arial" pitchFamily="34" charset="0"/>
              </a:defRPr>
            </a:pPr>
            <a:endParaRPr lang="en-US"/>
          </a:p>
        </c:txPr>
        <c:crossAx val="586899312"/>
        <c:crosses val="autoZero"/>
        <c:auto val="1"/>
        <c:lblAlgn val="ctr"/>
        <c:lblOffset val="100"/>
        <c:noMultiLvlLbl val="0"/>
      </c:catAx>
      <c:valAx>
        <c:axId val="586899312"/>
        <c:scaling>
          <c:orientation val="minMax"/>
        </c:scaling>
        <c:delete val="0"/>
        <c:axPos val="l"/>
        <c:majorGridlines>
          <c:spPr>
            <a:ln>
              <a:solidFill>
                <a:srgbClr val="4F81BD">
                  <a:alpha val="0"/>
                </a:srgbClr>
              </a:solidFill>
            </a:ln>
          </c:spPr>
        </c:majorGridlines>
        <c:title>
          <c:tx>
            <c:rich>
              <a:bodyPr rot="-5400000" vert="horz"/>
              <a:lstStyle/>
              <a:p>
                <a:pPr>
                  <a:defRPr sz="1200">
                    <a:latin typeface="Arial" pitchFamily="34" charset="0"/>
                    <a:cs typeface="Arial" pitchFamily="34" charset="0"/>
                  </a:defRPr>
                </a:pPr>
                <a:r>
                  <a:rPr lang="en-US" sz="1200">
                    <a:latin typeface="Arial" pitchFamily="34" charset="0"/>
                    <a:cs typeface="Arial" pitchFamily="34" charset="0"/>
                  </a:rPr>
                  <a:t># Deals</a:t>
                </a:r>
              </a:p>
            </c:rich>
          </c:tx>
          <c:overlay val="0"/>
        </c:title>
        <c:numFmt formatCode="General" sourceLinked="1"/>
        <c:majorTickMark val="in"/>
        <c:minorTickMark val="none"/>
        <c:tickLblPos val="nextTo"/>
        <c:spPr>
          <a:ln w="28575">
            <a:solidFill>
              <a:sysClr val="windowText" lastClr="000000"/>
            </a:solidFill>
          </a:ln>
        </c:spPr>
        <c:crossAx val="649629176"/>
        <c:crosses val="autoZero"/>
        <c:crossBetween val="between"/>
      </c:valAx>
    </c:plotArea>
    <c:plotVisOnly val="1"/>
    <c:dispBlanksAs val="gap"/>
    <c:showDLblsOverMax val="0"/>
  </c:chart>
  <c:spPr>
    <a:ln>
      <a:noFill/>
    </a:ln>
  </c:spPr>
  <c:printSettings>
    <c:headerFooter/>
    <c:pageMargins b="0.75000000000000033" l="0.70000000000000029" r="0.70000000000000029" t="0.75000000000000033" header="0.30000000000000016" footer="0.30000000000000016"/>
    <c:pageSetup/>
  </c:printSettings>
</c:chartSpac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emf"/><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28575</xdr:colOff>
      <xdr:row>0</xdr:row>
      <xdr:rowOff>0</xdr:rowOff>
    </xdr:from>
    <xdr:to>
      <xdr:col>10</xdr:col>
      <xdr:colOff>28575</xdr:colOff>
      <xdr:row>61</xdr:row>
      <xdr:rowOff>123825</xdr:rowOff>
    </xdr:to>
    <xdr:cxnSp macro="">
      <xdr:nvCxnSpPr>
        <xdr:cNvPr id="2" name="Straight Connector 1"/>
        <xdr:cNvCxnSpPr/>
      </xdr:nvCxnSpPr>
      <xdr:spPr>
        <a:xfrm>
          <a:off x="4962525" y="0"/>
          <a:ext cx="0" cy="74104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38100</xdr:colOff>
      <xdr:row>0</xdr:row>
      <xdr:rowOff>57150</xdr:rowOff>
    </xdr:from>
    <xdr:to>
      <xdr:col>15</xdr:col>
      <xdr:colOff>38100</xdr:colOff>
      <xdr:row>62</xdr:row>
      <xdr:rowOff>19050</xdr:rowOff>
    </xdr:to>
    <xdr:cxnSp macro="">
      <xdr:nvCxnSpPr>
        <xdr:cNvPr id="3" name="Straight Connector 2"/>
        <xdr:cNvCxnSpPr/>
      </xdr:nvCxnSpPr>
      <xdr:spPr>
        <a:xfrm>
          <a:off x="6286500" y="57150"/>
          <a:ext cx="0" cy="66008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476251</xdr:colOff>
      <xdr:row>10</xdr:row>
      <xdr:rowOff>19050</xdr:rowOff>
    </xdr:from>
    <xdr:to>
      <xdr:col>23</xdr:col>
      <xdr:colOff>47625</xdr:colOff>
      <xdr:row>34</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190500</xdr:colOff>
      <xdr:row>16</xdr:row>
      <xdr:rowOff>47625</xdr:rowOff>
    </xdr:from>
    <xdr:to>
      <xdr:col>16</xdr:col>
      <xdr:colOff>542925</xdr:colOff>
      <xdr:row>23</xdr:row>
      <xdr:rowOff>104775</xdr:rowOff>
    </xdr:to>
    <xdr:cxnSp macro="">
      <xdr:nvCxnSpPr>
        <xdr:cNvPr id="5" name="Straight Arrow Connector 4"/>
        <xdr:cNvCxnSpPr/>
      </xdr:nvCxnSpPr>
      <xdr:spPr>
        <a:xfrm>
          <a:off x="9972675" y="3095625"/>
          <a:ext cx="1571625" cy="139065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209550</xdr:colOff>
      <xdr:row>14</xdr:row>
      <xdr:rowOff>152400</xdr:rowOff>
    </xdr:from>
    <xdr:ext cx="619465" cy="264560"/>
    <xdr:sp macro="" textlink="">
      <xdr:nvSpPr>
        <xdr:cNvPr id="7" name="TextBox 6"/>
        <xdr:cNvSpPr txBox="1"/>
      </xdr:nvSpPr>
      <xdr:spPr>
        <a:xfrm>
          <a:off x="9382125" y="2819400"/>
          <a:ext cx="61946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100"/>
            <a:t>Growth</a:t>
          </a:r>
        </a:p>
      </xdr:txBody>
    </xdr:sp>
    <xdr:clientData/>
  </xdr:oneCellAnchor>
  <xdr:twoCellAnchor>
    <xdr:from>
      <xdr:col>12</xdr:col>
      <xdr:colOff>47625</xdr:colOff>
      <xdr:row>36</xdr:row>
      <xdr:rowOff>171450</xdr:rowOff>
    </xdr:from>
    <xdr:to>
      <xdr:col>21</xdr:col>
      <xdr:colOff>19050</xdr:colOff>
      <xdr:row>55</xdr:row>
      <xdr:rowOff>19050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600075</xdr:colOff>
      <xdr:row>12</xdr:row>
      <xdr:rowOff>95250</xdr:rowOff>
    </xdr:from>
    <xdr:to>
      <xdr:col>22</xdr:col>
      <xdr:colOff>514350</xdr:colOff>
      <xdr:row>32</xdr:row>
      <xdr:rowOff>38100</xdr:rowOff>
    </xdr:to>
    <xdr:pic>
      <xdr:nvPicPr>
        <xdr:cNvPr id="2"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9248775" y="2038350"/>
          <a:ext cx="6010275" cy="3752850"/>
        </a:xfrm>
        <a:prstGeom prst="rect">
          <a:avLst/>
        </a:prstGeom>
        <a:noFill/>
        <a:ln w="9525">
          <a:noFill/>
          <a:miter lim="800000"/>
          <a:headEnd/>
          <a:tailEnd/>
        </a:ln>
      </xdr:spPr>
    </xdr:pic>
    <xdr:clientData/>
  </xdr:twoCellAnchor>
  <xdr:twoCellAnchor editAs="oneCell">
    <xdr:from>
      <xdr:col>16</xdr:col>
      <xdr:colOff>419100</xdr:colOff>
      <xdr:row>47</xdr:row>
      <xdr:rowOff>38100</xdr:rowOff>
    </xdr:from>
    <xdr:to>
      <xdr:col>22</xdr:col>
      <xdr:colOff>590550</xdr:colOff>
      <xdr:row>63</xdr:row>
      <xdr:rowOff>66675</xdr:rowOff>
    </xdr:to>
    <xdr:pic>
      <xdr:nvPicPr>
        <xdr:cNvPr id="3" name="Picture 63"/>
        <xdr:cNvPicPr>
          <a:picLocks noChangeAspect="1" noChangeArrowheads="1"/>
        </xdr:cNvPicPr>
      </xdr:nvPicPr>
      <xdr:blipFill>
        <a:blip xmlns:r="http://schemas.openxmlformats.org/officeDocument/2006/relationships" r:embed="rId2" cstate="print"/>
        <a:srcRect/>
        <a:stretch>
          <a:fillRect/>
        </a:stretch>
      </xdr:blipFill>
      <xdr:spPr bwMode="auto">
        <a:xfrm>
          <a:off x="11506200" y="7648575"/>
          <a:ext cx="3829050" cy="3076575"/>
        </a:xfrm>
        <a:prstGeom prst="rect">
          <a:avLst/>
        </a:prstGeom>
        <a:noFill/>
        <a:ln w="9525">
          <a:noFill/>
          <a:miter lim="800000"/>
          <a:headEnd/>
          <a:tailEnd/>
        </a:ln>
      </xdr:spPr>
    </xdr:pic>
    <xdr:clientData/>
  </xdr:twoCellAnchor>
  <xdr:twoCellAnchor editAs="oneCell">
    <xdr:from>
      <xdr:col>13</xdr:col>
      <xdr:colOff>190500</xdr:colOff>
      <xdr:row>106</xdr:row>
      <xdr:rowOff>19050</xdr:rowOff>
    </xdr:from>
    <xdr:to>
      <xdr:col>26</xdr:col>
      <xdr:colOff>542925</xdr:colOff>
      <xdr:row>134</xdr:row>
      <xdr:rowOff>171450</xdr:rowOff>
    </xdr:to>
    <xdr:pic>
      <xdr:nvPicPr>
        <xdr:cNvPr id="4" name="Picture 68"/>
        <xdr:cNvPicPr>
          <a:picLocks noChangeAspect="1" noChangeArrowheads="1"/>
        </xdr:cNvPicPr>
      </xdr:nvPicPr>
      <xdr:blipFill>
        <a:blip xmlns:r="http://schemas.openxmlformats.org/officeDocument/2006/relationships" r:embed="rId3" cstate="print"/>
        <a:srcRect l="2290" t="15274" r="18057" b="18538"/>
        <a:stretch>
          <a:fillRect/>
        </a:stretch>
      </xdr:blipFill>
      <xdr:spPr bwMode="auto">
        <a:xfrm>
          <a:off x="9448800" y="17306925"/>
          <a:ext cx="8277225" cy="4829175"/>
        </a:xfrm>
        <a:prstGeom prst="rect">
          <a:avLst/>
        </a:prstGeom>
        <a:noFill/>
        <a:ln w="1">
          <a:noFill/>
          <a:miter lim="800000"/>
          <a:headEnd/>
          <a:tailEnd/>
        </a:ln>
      </xdr:spPr>
    </xdr:pic>
    <xdr:clientData/>
  </xdr:twoCellAnchor>
  <xdr:twoCellAnchor>
    <xdr:from>
      <xdr:col>13</xdr:col>
      <xdr:colOff>561978</xdr:colOff>
      <xdr:row>119</xdr:row>
      <xdr:rowOff>76200</xdr:rowOff>
    </xdr:from>
    <xdr:to>
      <xdr:col>23</xdr:col>
      <xdr:colOff>57150</xdr:colOff>
      <xdr:row>119</xdr:row>
      <xdr:rowOff>95254</xdr:rowOff>
    </xdr:to>
    <xdr:cxnSp macro="">
      <xdr:nvCxnSpPr>
        <xdr:cNvPr id="5" name="Straight Connector 4"/>
        <xdr:cNvCxnSpPr/>
      </xdr:nvCxnSpPr>
      <xdr:spPr>
        <a:xfrm flipV="1">
          <a:off x="9820278" y="19469100"/>
          <a:ext cx="5591172" cy="19054"/>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400053</xdr:colOff>
      <xdr:row>113</xdr:row>
      <xdr:rowOff>76203</xdr:rowOff>
    </xdr:from>
    <xdr:to>
      <xdr:col>17</xdr:col>
      <xdr:colOff>428627</xdr:colOff>
      <xdr:row>132</xdr:row>
      <xdr:rowOff>104778</xdr:rowOff>
    </xdr:to>
    <xdr:cxnSp macro="">
      <xdr:nvCxnSpPr>
        <xdr:cNvPr id="6" name="Straight Connector 5"/>
        <xdr:cNvCxnSpPr/>
      </xdr:nvCxnSpPr>
      <xdr:spPr>
        <a:xfrm rot="16200000" flipH="1">
          <a:off x="10558465" y="20035841"/>
          <a:ext cx="3105150" cy="28574"/>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552453</xdr:colOff>
      <xdr:row>116</xdr:row>
      <xdr:rowOff>123829</xdr:rowOff>
    </xdr:from>
    <xdr:to>
      <xdr:col>21</xdr:col>
      <xdr:colOff>581028</xdr:colOff>
      <xdr:row>132</xdr:row>
      <xdr:rowOff>47629</xdr:rowOff>
    </xdr:to>
    <xdr:cxnSp macro="">
      <xdr:nvCxnSpPr>
        <xdr:cNvPr id="7" name="Straight Connector 6"/>
        <xdr:cNvCxnSpPr/>
      </xdr:nvCxnSpPr>
      <xdr:spPr>
        <a:xfrm rot="16200000" flipH="1">
          <a:off x="13444541" y="20273966"/>
          <a:ext cx="2514600" cy="28575"/>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104778</xdr:colOff>
      <xdr:row>115</xdr:row>
      <xdr:rowOff>0</xdr:rowOff>
    </xdr:from>
    <xdr:to>
      <xdr:col>23</xdr:col>
      <xdr:colOff>209550</xdr:colOff>
      <xdr:row>115</xdr:row>
      <xdr:rowOff>19054</xdr:rowOff>
    </xdr:to>
    <xdr:cxnSp macro="">
      <xdr:nvCxnSpPr>
        <xdr:cNvPr id="8" name="Straight Connector 7"/>
        <xdr:cNvCxnSpPr/>
      </xdr:nvCxnSpPr>
      <xdr:spPr>
        <a:xfrm flipV="1">
          <a:off x="9972678" y="18745200"/>
          <a:ext cx="5591172" cy="19054"/>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495300</xdr:colOff>
      <xdr:row>120</xdr:row>
      <xdr:rowOff>123825</xdr:rowOff>
    </xdr:from>
    <xdr:to>
      <xdr:col>25</xdr:col>
      <xdr:colOff>552450</xdr:colOff>
      <xdr:row>120</xdr:row>
      <xdr:rowOff>133350</xdr:rowOff>
    </xdr:to>
    <xdr:cxnSp macro="">
      <xdr:nvCxnSpPr>
        <xdr:cNvPr id="9" name="Straight Connector 8"/>
        <xdr:cNvCxnSpPr/>
      </xdr:nvCxnSpPr>
      <xdr:spPr>
        <a:xfrm flipV="1">
          <a:off x="9753600" y="19678650"/>
          <a:ext cx="7372350" cy="9525"/>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552450</xdr:colOff>
      <xdr:row>110</xdr:row>
      <xdr:rowOff>28575</xdr:rowOff>
    </xdr:from>
    <xdr:ext cx="337290" cy="274358"/>
    <xdr:sp macro="" textlink="">
      <xdr:nvSpPr>
        <xdr:cNvPr id="10" name="TextBox 9"/>
        <xdr:cNvSpPr txBox="1"/>
      </xdr:nvSpPr>
      <xdr:spPr>
        <a:xfrm>
          <a:off x="12249150" y="17964150"/>
          <a:ext cx="337290" cy="274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100"/>
            <a:t>11</a:t>
          </a:r>
        </a:p>
      </xdr:txBody>
    </xdr:sp>
    <xdr:clientData/>
  </xdr:oneCellAnchor>
  <xdr:twoCellAnchor>
    <xdr:from>
      <xdr:col>17</xdr:col>
      <xdr:colOff>419100</xdr:colOff>
      <xdr:row>112</xdr:row>
      <xdr:rowOff>19052</xdr:rowOff>
    </xdr:from>
    <xdr:to>
      <xdr:col>18</xdr:col>
      <xdr:colOff>47625</xdr:colOff>
      <xdr:row>114</xdr:row>
      <xdr:rowOff>152402</xdr:rowOff>
    </xdr:to>
    <xdr:cxnSp macro="">
      <xdr:nvCxnSpPr>
        <xdr:cNvPr id="11" name="Straight Arrow Connector 10"/>
        <xdr:cNvCxnSpPr/>
      </xdr:nvCxnSpPr>
      <xdr:spPr>
        <a:xfrm rot="5400000">
          <a:off x="12006263" y="18388014"/>
          <a:ext cx="457200" cy="2381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22</xdr:col>
      <xdr:colOff>285750</xdr:colOff>
      <xdr:row>117</xdr:row>
      <xdr:rowOff>63500</xdr:rowOff>
    </xdr:from>
    <xdr:ext cx="327654" cy="264560"/>
    <xdr:sp macro="" textlink="">
      <xdr:nvSpPr>
        <xdr:cNvPr id="12" name="TextBox 11"/>
        <xdr:cNvSpPr txBox="1"/>
      </xdr:nvSpPr>
      <xdr:spPr>
        <a:xfrm>
          <a:off x="15030450" y="19132550"/>
          <a:ext cx="3276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100"/>
            <a:t>18</a:t>
          </a:r>
        </a:p>
      </xdr:txBody>
    </xdr:sp>
    <xdr:clientData/>
  </xdr:oneCellAnchor>
  <xdr:twoCellAnchor>
    <xdr:from>
      <xdr:col>22</xdr:col>
      <xdr:colOff>63502</xdr:colOff>
      <xdr:row>118</xdr:row>
      <xdr:rowOff>37029</xdr:rowOff>
    </xdr:from>
    <xdr:to>
      <xdr:col>22</xdr:col>
      <xdr:colOff>285751</xdr:colOff>
      <xdr:row>119</xdr:row>
      <xdr:rowOff>66678</xdr:rowOff>
    </xdr:to>
    <xdr:cxnSp macro="">
      <xdr:nvCxnSpPr>
        <xdr:cNvPr id="13" name="Straight Arrow Connector 12"/>
        <xdr:cNvCxnSpPr>
          <a:stCxn id="12" idx="1"/>
        </xdr:cNvCxnSpPr>
      </xdr:nvCxnSpPr>
      <xdr:spPr>
        <a:xfrm rot="10800000" flipV="1">
          <a:off x="14808202" y="19268004"/>
          <a:ext cx="222249" cy="1915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0</xdr:colOff>
      <xdr:row>1</xdr:row>
      <xdr:rowOff>0</xdr:rowOff>
    </xdr:from>
    <xdr:to>
      <xdr:col>10</xdr:col>
      <xdr:colOff>209550</xdr:colOff>
      <xdr:row>9</xdr:row>
      <xdr:rowOff>133350</xdr:rowOff>
    </xdr:to>
    <xdr:pic>
      <xdr:nvPicPr>
        <xdr:cNvPr id="3073" name="il_fi" descr="http://www.chemspider.com/ImagesHandler.ashx?id=97018"/>
        <xdr:cNvPicPr>
          <a:picLocks noChangeAspect="1" noChangeArrowheads="1"/>
        </xdr:cNvPicPr>
      </xdr:nvPicPr>
      <xdr:blipFill>
        <a:blip xmlns:r="http://schemas.openxmlformats.org/officeDocument/2006/relationships" r:embed="rId1" cstate="print"/>
        <a:srcRect/>
        <a:stretch>
          <a:fillRect/>
        </a:stretch>
      </xdr:blipFill>
      <xdr:spPr bwMode="auto">
        <a:xfrm>
          <a:off x="4876800" y="190500"/>
          <a:ext cx="1428750" cy="1428750"/>
        </a:xfrm>
        <a:prstGeom prst="rect">
          <a:avLst/>
        </a:prstGeom>
        <a:noFill/>
      </xdr:spPr>
    </xdr:pic>
    <xdr:clientData/>
  </xdr:twoCellAnchor>
</xdr:wsDr>
</file>

<file path=xl/drawings/drawing5.xml><?xml version="1.0" encoding="utf-8"?>
<xdr:wsDr xmlns:xdr="http://schemas.openxmlformats.org/drawingml/2006/spreadsheetDrawing" xmlns:a="http://schemas.openxmlformats.org/drawingml/2006/main">
  <xdr:twoCellAnchor>
    <xdr:from>
      <xdr:col>11</xdr:col>
      <xdr:colOff>352425</xdr:colOff>
      <xdr:row>5</xdr:row>
      <xdr:rowOff>152399</xdr:rowOff>
    </xdr:from>
    <xdr:to>
      <xdr:col>20</xdr:col>
      <xdr:colOff>95250</xdr:colOff>
      <xdr:row>22</xdr:row>
      <xdr:rowOff>9524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hyperlink" Target="file:///\\MARTIN-PC\..\..\..\AppData\Roaming\Microsoft\Excel\ONTY\j%20cancer%20res%20clin%20oncol%202011.pdf" TargetMode="External"/><Relationship Id="rId2" Type="http://schemas.openxmlformats.org/officeDocument/2006/relationships/hyperlink" Target="file:///\\MARTIN-PC\..\..\..\AppData\Roaming\Microsoft\Excel\ONTY\j%20clin%20oncol.pdf" TargetMode="External"/><Relationship Id="rId1" Type="http://schemas.openxmlformats.org/officeDocument/2006/relationships/hyperlink" Target="file:///\\MARTIN-PC\..\..\..\AppData\Roaming\Microsoft\Excel\ONTY\Clin%20lung%20cancer.pdf" TargetMode="Externa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26"/>
  <sheetViews>
    <sheetView tabSelected="1" workbookViewId="0">
      <selection activeCell="K5" sqref="K5"/>
    </sheetView>
  </sheetViews>
  <sheetFormatPr defaultRowHeight="12.75" x14ac:dyDescent="0.2"/>
  <cols>
    <col min="1" max="1" width="2.7109375" style="9" customWidth="1"/>
    <col min="2" max="2" width="23.5703125" style="9" customWidth="1"/>
    <col min="3" max="3" width="27.28515625" style="20" customWidth="1"/>
    <col min="4" max="4" width="18.42578125" style="9" bestFit="1" customWidth="1"/>
    <col min="5" max="5" width="16.7109375" style="9" customWidth="1"/>
    <col min="6" max="6" width="25.140625" style="20" bestFit="1" customWidth="1"/>
    <col min="7" max="16384" width="9.140625" style="9"/>
  </cols>
  <sheetData>
    <row r="2" spans="2:13" x14ac:dyDescent="0.2">
      <c r="B2" s="97" t="s">
        <v>15</v>
      </c>
      <c r="C2" s="98" t="s">
        <v>16</v>
      </c>
      <c r="D2" s="99" t="s">
        <v>17</v>
      </c>
      <c r="E2" s="99" t="s">
        <v>18</v>
      </c>
      <c r="F2" s="98" t="s">
        <v>19</v>
      </c>
      <c r="G2" s="100" t="s">
        <v>20</v>
      </c>
      <c r="H2" s="2"/>
      <c r="I2" s="10" t="s">
        <v>21</v>
      </c>
      <c r="J2" s="5">
        <v>10120</v>
      </c>
      <c r="K2" s="2"/>
      <c r="L2" s="6"/>
      <c r="M2" s="2"/>
    </row>
    <row r="3" spans="2:13" x14ac:dyDescent="0.2">
      <c r="B3" s="23" t="s">
        <v>26</v>
      </c>
      <c r="C3" s="21" t="s">
        <v>27</v>
      </c>
      <c r="D3" s="13"/>
      <c r="E3" s="12" t="s">
        <v>28</v>
      </c>
      <c r="F3" s="21" t="s">
        <v>29</v>
      </c>
      <c r="G3" s="14"/>
      <c r="H3" s="2"/>
      <c r="I3" s="10" t="s">
        <v>7</v>
      </c>
      <c r="J3" s="5">
        <v>106</v>
      </c>
      <c r="K3" s="15" t="s">
        <v>375</v>
      </c>
      <c r="L3" s="2"/>
      <c r="M3" s="2"/>
    </row>
    <row r="4" spans="2:13" x14ac:dyDescent="0.2">
      <c r="B4" s="23" t="s">
        <v>30</v>
      </c>
      <c r="C4" s="22" t="s">
        <v>31</v>
      </c>
      <c r="D4" s="13"/>
      <c r="E4" s="16" t="s">
        <v>32</v>
      </c>
      <c r="F4" s="22" t="s">
        <v>33</v>
      </c>
      <c r="G4" s="14"/>
      <c r="H4" s="10"/>
      <c r="I4" s="10" t="s">
        <v>22</v>
      </c>
      <c r="J4" s="8">
        <f>J2*J3</f>
        <v>1072720</v>
      </c>
      <c r="K4" s="10"/>
      <c r="L4" s="5"/>
      <c r="M4" s="10"/>
    </row>
    <row r="5" spans="2:13" x14ac:dyDescent="0.2">
      <c r="B5" s="23" t="s">
        <v>34</v>
      </c>
      <c r="C5" s="21" t="s">
        <v>35</v>
      </c>
      <c r="D5" s="13"/>
      <c r="E5" s="16" t="s">
        <v>32</v>
      </c>
      <c r="F5" s="22" t="s">
        <v>36</v>
      </c>
      <c r="G5" s="24"/>
      <c r="H5" s="2"/>
      <c r="I5" s="10" t="s">
        <v>23</v>
      </c>
      <c r="J5" s="5">
        <f>91117+22160+191073</f>
        <v>304350</v>
      </c>
      <c r="K5" s="15" t="s">
        <v>375</v>
      </c>
      <c r="L5" s="5"/>
      <c r="M5" s="2"/>
    </row>
    <row r="6" spans="2:13" x14ac:dyDescent="0.2">
      <c r="B6" s="25" t="s">
        <v>37</v>
      </c>
      <c r="C6" s="21" t="s">
        <v>38</v>
      </c>
      <c r="D6" s="26"/>
      <c r="E6" s="16" t="s">
        <v>39</v>
      </c>
      <c r="F6" s="21" t="s">
        <v>43</v>
      </c>
      <c r="G6" s="27"/>
      <c r="H6" s="2"/>
      <c r="I6" s="10" t="s">
        <v>24</v>
      </c>
      <c r="J6" s="5">
        <f>492+393</f>
        <v>885</v>
      </c>
      <c r="K6" s="15" t="s">
        <v>375</v>
      </c>
      <c r="L6" s="5"/>
      <c r="M6" s="2"/>
    </row>
    <row r="7" spans="2:13" x14ac:dyDescent="0.2">
      <c r="B7" s="28" t="s">
        <v>40</v>
      </c>
      <c r="C7" s="21" t="s">
        <v>41</v>
      </c>
      <c r="D7" s="26"/>
      <c r="E7" s="16" t="s">
        <v>42</v>
      </c>
      <c r="F7" s="21" t="s">
        <v>44</v>
      </c>
      <c r="G7" s="27"/>
      <c r="H7" s="2"/>
      <c r="I7" s="10" t="s">
        <v>25</v>
      </c>
      <c r="J7" s="5">
        <f>J4-J5+J6</f>
        <v>769255</v>
      </c>
      <c r="K7" s="2"/>
      <c r="L7" s="5"/>
      <c r="M7" s="2"/>
    </row>
    <row r="8" spans="2:13" x14ac:dyDescent="0.2">
      <c r="B8" s="28" t="s">
        <v>45</v>
      </c>
      <c r="C8" s="21" t="s">
        <v>46</v>
      </c>
      <c r="D8" s="26"/>
      <c r="E8" s="26"/>
      <c r="F8" s="21" t="s">
        <v>47</v>
      </c>
      <c r="G8" s="27"/>
      <c r="H8" s="2"/>
      <c r="I8" s="2"/>
      <c r="J8" s="11"/>
      <c r="K8" s="2"/>
      <c r="L8" s="2"/>
      <c r="M8" s="2"/>
    </row>
    <row r="9" spans="2:13" x14ac:dyDescent="0.2">
      <c r="B9" s="28" t="s">
        <v>48</v>
      </c>
      <c r="C9" s="29" t="s">
        <v>49</v>
      </c>
      <c r="D9" s="26"/>
      <c r="E9" s="26"/>
      <c r="F9" s="21" t="s">
        <v>50</v>
      </c>
      <c r="G9" s="27"/>
      <c r="H9" s="2"/>
      <c r="I9" s="2"/>
      <c r="J9" s="11"/>
      <c r="K9" s="2"/>
      <c r="L9" s="2"/>
      <c r="M9" s="2"/>
    </row>
    <row r="10" spans="2:13" x14ac:dyDescent="0.2">
      <c r="B10" s="28" t="s">
        <v>51</v>
      </c>
      <c r="C10" s="29" t="s">
        <v>52</v>
      </c>
      <c r="D10" s="26"/>
      <c r="E10" s="26"/>
      <c r="F10" s="21" t="s">
        <v>53</v>
      </c>
      <c r="G10" s="27"/>
      <c r="H10" s="2"/>
      <c r="I10" s="2"/>
      <c r="J10" s="11"/>
      <c r="K10" s="2"/>
      <c r="L10" s="2"/>
      <c r="M10" s="2"/>
    </row>
    <row r="11" spans="2:13" x14ac:dyDescent="0.2">
      <c r="B11" s="28" t="s">
        <v>54</v>
      </c>
      <c r="C11" s="29" t="s">
        <v>55</v>
      </c>
      <c r="D11" s="26"/>
      <c r="E11" s="26"/>
      <c r="F11" s="21" t="s">
        <v>56</v>
      </c>
      <c r="G11" s="27"/>
      <c r="H11" s="2"/>
      <c r="I11" s="2"/>
      <c r="J11" s="11"/>
      <c r="K11" s="2"/>
      <c r="L11" s="2"/>
      <c r="M11" s="2"/>
    </row>
    <row r="12" spans="2:13" x14ac:dyDescent="0.2">
      <c r="B12" s="28" t="s">
        <v>57</v>
      </c>
      <c r="C12" s="29" t="s">
        <v>58</v>
      </c>
      <c r="D12" s="26"/>
      <c r="E12" s="26"/>
      <c r="F12" s="21" t="s">
        <v>59</v>
      </c>
      <c r="G12" s="27"/>
      <c r="H12" s="2"/>
      <c r="I12" s="2"/>
      <c r="J12" s="11"/>
      <c r="K12" s="2"/>
      <c r="L12" s="2"/>
      <c r="M12" s="2"/>
    </row>
    <row r="13" spans="2:13" x14ac:dyDescent="0.2">
      <c r="B13" s="30" t="s">
        <v>60</v>
      </c>
      <c r="C13" s="31" t="s">
        <v>61</v>
      </c>
      <c r="D13" s="32"/>
      <c r="E13" s="32"/>
      <c r="F13" s="33" t="s">
        <v>62</v>
      </c>
      <c r="G13" s="34"/>
      <c r="H13" s="2"/>
      <c r="I13" s="2"/>
      <c r="J13" s="11"/>
      <c r="K13" s="2"/>
      <c r="L13" s="2"/>
      <c r="M13" s="2"/>
    </row>
    <row r="14" spans="2:13" x14ac:dyDescent="0.2">
      <c r="B14" s="2"/>
      <c r="D14" s="2"/>
      <c r="E14" s="2"/>
      <c r="F14" s="19"/>
      <c r="G14" s="2"/>
      <c r="H14" s="2"/>
      <c r="I14" s="2"/>
      <c r="J14" s="11"/>
      <c r="K14" s="2"/>
      <c r="L14" s="2"/>
      <c r="M14" s="2"/>
    </row>
    <row r="15" spans="2:13" x14ac:dyDescent="0.2">
      <c r="B15" s="50" t="s">
        <v>63</v>
      </c>
      <c r="C15" s="20" t="s">
        <v>64</v>
      </c>
      <c r="D15" s="2"/>
      <c r="E15" s="2">
        <v>2</v>
      </c>
      <c r="F15" s="19" t="s">
        <v>65</v>
      </c>
      <c r="G15" s="2"/>
      <c r="H15" s="2"/>
      <c r="I15" s="2"/>
      <c r="J15" s="11"/>
      <c r="K15" s="2"/>
      <c r="L15" s="2"/>
      <c r="M15" s="2"/>
    </row>
    <row r="16" spans="2:13" x14ac:dyDescent="0.2">
      <c r="B16" s="50" t="s">
        <v>142</v>
      </c>
      <c r="C16" s="20" t="s">
        <v>140</v>
      </c>
      <c r="D16" s="2"/>
      <c r="E16" s="2">
        <v>3</v>
      </c>
      <c r="F16" s="19" t="s">
        <v>141</v>
      </c>
      <c r="G16" s="2"/>
      <c r="H16" s="2"/>
      <c r="I16" s="2"/>
      <c r="J16" s="11"/>
      <c r="K16" s="2"/>
      <c r="L16" s="2"/>
      <c r="M16" s="2"/>
    </row>
    <row r="17" spans="2:13" x14ac:dyDescent="0.2">
      <c r="B17" s="2" t="s">
        <v>245</v>
      </c>
      <c r="C17" s="20" t="s">
        <v>243</v>
      </c>
      <c r="D17" s="2"/>
      <c r="E17" s="2">
        <v>2</v>
      </c>
      <c r="F17" s="19" t="s">
        <v>244</v>
      </c>
      <c r="G17" s="2"/>
      <c r="H17" s="2"/>
      <c r="I17" s="2"/>
      <c r="J17" s="11"/>
      <c r="K17" s="2"/>
      <c r="L17" s="2"/>
      <c r="M17" s="2"/>
    </row>
    <row r="18" spans="2:13" x14ac:dyDescent="0.2">
      <c r="B18" s="2" t="s">
        <v>246</v>
      </c>
      <c r="C18" s="20" t="s">
        <v>247</v>
      </c>
      <c r="D18" s="2"/>
      <c r="E18" s="2">
        <v>2</v>
      </c>
      <c r="F18" s="19" t="s">
        <v>248</v>
      </c>
      <c r="G18" s="2"/>
      <c r="H18" s="2"/>
      <c r="I18" s="2"/>
      <c r="J18" s="11"/>
      <c r="K18" s="2"/>
      <c r="L18" s="2"/>
      <c r="M18" s="2"/>
    </row>
    <row r="19" spans="2:13" x14ac:dyDescent="0.2">
      <c r="B19" s="2" t="s">
        <v>250</v>
      </c>
      <c r="C19" s="20" t="s">
        <v>268</v>
      </c>
      <c r="D19" s="2"/>
      <c r="E19" s="2">
        <v>2</v>
      </c>
      <c r="F19" s="19" t="s">
        <v>253</v>
      </c>
      <c r="G19" s="2"/>
      <c r="H19" s="2"/>
      <c r="I19" s="2"/>
      <c r="J19" s="11"/>
      <c r="K19" s="2"/>
      <c r="L19" s="2"/>
      <c r="M19" s="2"/>
    </row>
    <row r="20" spans="2:13" x14ac:dyDescent="0.2">
      <c r="B20" s="2" t="s">
        <v>251</v>
      </c>
      <c r="C20" s="20" t="s">
        <v>252</v>
      </c>
      <c r="D20" s="2"/>
      <c r="E20" s="2">
        <v>1</v>
      </c>
      <c r="F20" s="19"/>
      <c r="G20" s="2"/>
      <c r="H20" s="2"/>
      <c r="I20" s="2"/>
      <c r="J20" s="11"/>
      <c r="K20" s="2"/>
      <c r="L20" s="2"/>
      <c r="M20" s="2"/>
    </row>
    <row r="21" spans="2:13" x14ac:dyDescent="0.2">
      <c r="B21" s="2" t="s">
        <v>254</v>
      </c>
      <c r="C21" s="20" t="s">
        <v>255</v>
      </c>
      <c r="D21" s="2"/>
      <c r="E21" s="2">
        <v>2</v>
      </c>
      <c r="F21" s="19" t="s">
        <v>256</v>
      </c>
      <c r="G21" s="2"/>
      <c r="H21" s="2"/>
      <c r="I21" s="2"/>
      <c r="J21" s="11"/>
      <c r="K21" s="2"/>
      <c r="L21" s="2"/>
      <c r="M21" s="2"/>
    </row>
    <row r="22" spans="2:13" x14ac:dyDescent="0.2">
      <c r="B22" s="50" t="s">
        <v>269</v>
      </c>
      <c r="C22" s="58" t="s">
        <v>270</v>
      </c>
      <c r="D22" s="2"/>
      <c r="E22" s="2" t="s">
        <v>271</v>
      </c>
      <c r="F22" s="19" t="s">
        <v>272</v>
      </c>
      <c r="G22" s="2"/>
      <c r="H22" s="2"/>
      <c r="I22" s="2"/>
      <c r="J22" s="11"/>
      <c r="K22" s="2"/>
      <c r="L22" s="2"/>
      <c r="M22" s="2"/>
    </row>
    <row r="23" spans="2:13" x14ac:dyDescent="0.2">
      <c r="B23" s="17"/>
      <c r="D23" s="2"/>
      <c r="E23" s="2"/>
      <c r="F23" s="19"/>
      <c r="G23" s="2"/>
      <c r="H23" s="2"/>
      <c r="I23" s="2"/>
      <c r="J23" s="11"/>
      <c r="K23" s="2"/>
      <c r="L23" s="2"/>
      <c r="M23" s="2"/>
    </row>
    <row r="24" spans="2:13" x14ac:dyDescent="0.2">
      <c r="B24" s="18"/>
      <c r="D24" s="2"/>
      <c r="E24" s="2"/>
      <c r="F24" s="19"/>
      <c r="G24" s="2"/>
      <c r="H24" s="2"/>
      <c r="I24" s="2"/>
      <c r="J24" s="2"/>
      <c r="K24" s="2"/>
      <c r="L24" s="2"/>
      <c r="M24" s="2"/>
    </row>
    <row r="25" spans="2:13" x14ac:dyDescent="0.2">
      <c r="B25" s="17"/>
      <c r="D25" s="2"/>
      <c r="E25" s="2"/>
      <c r="F25" s="19"/>
      <c r="G25" s="2"/>
      <c r="H25" s="2"/>
      <c r="I25" s="2"/>
      <c r="J25" s="2"/>
      <c r="K25" s="2"/>
      <c r="L25" s="2"/>
      <c r="M25" s="2"/>
    </row>
    <row r="26" spans="2:13" x14ac:dyDescent="0.2">
      <c r="B26" s="17"/>
      <c r="D26" s="2"/>
      <c r="E26" s="2"/>
      <c r="F26" s="19"/>
      <c r="G26" s="2"/>
      <c r="H26" s="2"/>
      <c r="I26" s="2"/>
      <c r="J26" s="2"/>
      <c r="K26" s="2"/>
      <c r="L26" s="2"/>
      <c r="M26" s="2"/>
    </row>
  </sheetData>
  <hyperlinks>
    <hyperlink ref="B15" location="'ONO-4641'!A1" display="ONO-4641"/>
    <hyperlink ref="B16" location="'ONO-7165'!A1" display="ONO-7165 (Stimuvax)"/>
    <hyperlink ref="B22" location="'ONO-5163'!A1" display="ONO-5163 (KAI-4169)"/>
  </hyperlinks>
  <pageMargins left="0.7" right="0.7" top="0.75" bottom="0.75" header="0.3" footer="0.3"/>
  <pageSetup orientation="portrait"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J61"/>
  <sheetViews>
    <sheetView showGridLines="0" zoomScaleNormal="100" workbookViewId="0">
      <pane xSplit="2" ySplit="4" topLeftCell="C5" activePane="bottomRight" state="frozen"/>
      <selection pane="topRight" activeCell="C1" sqref="C1"/>
      <selection pane="bottomLeft" activeCell="A5" sqref="A5"/>
      <selection pane="bottomRight"/>
    </sheetView>
  </sheetViews>
  <sheetFormatPr defaultColWidth="21.140625" defaultRowHeight="12.75" x14ac:dyDescent="0.2"/>
  <cols>
    <col min="1" max="1" width="5.5703125" style="2" customWidth="1"/>
    <col min="2" max="2" width="28.5703125" style="2" bestFit="1" customWidth="1"/>
    <col min="3" max="4" width="9.7109375" style="85" customWidth="1"/>
    <col min="5" max="5" width="10.5703125" style="85" customWidth="1"/>
    <col min="6" max="6" width="9.7109375" style="85" customWidth="1"/>
    <col min="7" max="7" width="9.7109375" style="43" customWidth="1"/>
    <col min="8" max="10" width="10.5703125" style="43" customWidth="1"/>
    <col min="11" max="11" width="7.85546875" style="43" customWidth="1"/>
    <col min="12" max="13" width="9.85546875" style="43" bestFit="1" customWidth="1"/>
    <col min="14" max="14" width="10.42578125" style="43" customWidth="1"/>
    <col min="15" max="15" width="9.85546875" style="43" bestFit="1" customWidth="1"/>
    <col min="16" max="16" width="9.42578125" style="43" customWidth="1"/>
    <col min="17" max="21" width="8.140625" style="43" bestFit="1" customWidth="1"/>
    <col min="22" max="22" width="8" style="43" bestFit="1" customWidth="1"/>
    <col min="23" max="23" width="8.140625" style="43" bestFit="1" customWidth="1"/>
    <col min="24" max="24" width="9" style="43" customWidth="1"/>
    <col min="25" max="25" width="9.5703125" style="43" customWidth="1"/>
    <col min="26" max="26" width="10.28515625" style="43" customWidth="1"/>
    <col min="27" max="36" width="9.7109375" style="5" customWidth="1"/>
    <col min="37" max="16384" width="21.140625" style="5"/>
  </cols>
  <sheetData>
    <row r="1" spans="1:36" s="2" customFormat="1" x14ac:dyDescent="0.2">
      <c r="A1" s="1" t="s">
        <v>0</v>
      </c>
      <c r="C1" s="85"/>
      <c r="D1" s="85"/>
      <c r="E1" s="85"/>
      <c r="F1" s="85"/>
      <c r="G1" s="85"/>
      <c r="H1" s="85"/>
      <c r="I1" s="85"/>
      <c r="J1" s="85"/>
      <c r="K1" s="85"/>
      <c r="L1" s="85"/>
      <c r="M1" s="85"/>
      <c r="N1" s="85"/>
      <c r="O1" s="85"/>
      <c r="P1" s="85"/>
      <c r="Q1" s="85"/>
      <c r="R1" s="85"/>
      <c r="S1" s="85"/>
      <c r="T1" s="85"/>
      <c r="U1" s="85"/>
      <c r="V1" s="85"/>
      <c r="W1" s="85"/>
      <c r="X1" s="85"/>
      <c r="Y1" s="85"/>
      <c r="Z1" s="85"/>
    </row>
    <row r="2" spans="1:36" s="2" customFormat="1" x14ac:dyDescent="0.2">
      <c r="A2" s="1"/>
      <c r="B2" s="94" t="s">
        <v>374</v>
      </c>
      <c r="C2" s="89" t="s">
        <v>113</v>
      </c>
      <c r="D2" s="19"/>
      <c r="E2" s="85"/>
      <c r="F2" s="85"/>
      <c r="G2" s="85"/>
      <c r="H2" s="85"/>
      <c r="I2" s="85"/>
      <c r="J2" s="85"/>
      <c r="K2" s="85"/>
      <c r="L2" s="85"/>
      <c r="M2" s="85"/>
      <c r="N2" s="85"/>
      <c r="O2" s="85"/>
      <c r="P2" s="85"/>
      <c r="Q2" s="85"/>
      <c r="R2" s="85"/>
      <c r="S2" s="85"/>
      <c r="T2" s="85"/>
      <c r="U2" s="85"/>
      <c r="V2" s="85"/>
      <c r="W2" s="85"/>
      <c r="X2" s="85"/>
      <c r="Y2" s="85"/>
      <c r="Z2" s="85"/>
    </row>
    <row r="3" spans="1:36" s="2" customFormat="1" x14ac:dyDescent="0.2">
      <c r="C3" s="85" t="s">
        <v>118</v>
      </c>
      <c r="D3" s="85" t="s">
        <v>119</v>
      </c>
      <c r="E3" s="85" t="s">
        <v>120</v>
      </c>
      <c r="F3" s="85" t="s">
        <v>121</v>
      </c>
      <c r="G3" s="85" t="s">
        <v>1</v>
      </c>
      <c r="H3" s="85" t="s">
        <v>2</v>
      </c>
      <c r="I3" s="85" t="s">
        <v>3</v>
      </c>
      <c r="J3" s="85" t="s">
        <v>4</v>
      </c>
      <c r="K3" s="85"/>
      <c r="L3" s="85">
        <v>2008</v>
      </c>
      <c r="M3" s="85">
        <v>2009</v>
      </c>
      <c r="N3" s="85">
        <v>2010</v>
      </c>
      <c r="O3" s="85">
        <v>2011</v>
      </c>
      <c r="P3" s="85">
        <v>2012</v>
      </c>
      <c r="Q3" s="85">
        <v>2013</v>
      </c>
      <c r="R3" s="85">
        <v>2014</v>
      </c>
      <c r="S3" s="85">
        <v>2015</v>
      </c>
      <c r="T3" s="85">
        <v>2016</v>
      </c>
      <c r="U3" s="85">
        <v>2017</v>
      </c>
      <c r="V3" s="85">
        <v>2018</v>
      </c>
      <c r="W3" s="85">
        <v>2019</v>
      </c>
      <c r="X3" s="85">
        <v>2020</v>
      </c>
      <c r="Y3" s="85">
        <v>2021</v>
      </c>
      <c r="Z3" s="85">
        <v>2022</v>
      </c>
      <c r="AA3" s="85">
        <v>2023</v>
      </c>
      <c r="AB3" s="85">
        <v>2024</v>
      </c>
      <c r="AC3" s="85">
        <v>2025</v>
      </c>
      <c r="AD3" s="85">
        <v>2026</v>
      </c>
      <c r="AE3" s="85">
        <v>2027</v>
      </c>
      <c r="AF3" s="85">
        <v>2028</v>
      </c>
      <c r="AG3" s="85">
        <v>2029</v>
      </c>
      <c r="AH3" s="85">
        <v>2030</v>
      </c>
      <c r="AI3" s="85">
        <v>2031</v>
      </c>
      <c r="AJ3" s="85">
        <v>2032</v>
      </c>
    </row>
    <row r="4" spans="1:36" s="2" customFormat="1" x14ac:dyDescent="0.2">
      <c r="C4" s="86">
        <v>40359</v>
      </c>
      <c r="D4" s="86">
        <v>40451</v>
      </c>
      <c r="E4" s="86">
        <v>40543</v>
      </c>
      <c r="F4" s="86">
        <v>40633</v>
      </c>
      <c r="G4" s="86">
        <v>40724</v>
      </c>
      <c r="H4" s="86">
        <v>40816</v>
      </c>
      <c r="I4" s="86">
        <v>40908</v>
      </c>
      <c r="J4" s="86">
        <v>40999</v>
      </c>
      <c r="K4" s="85"/>
      <c r="L4" s="86">
        <v>39903</v>
      </c>
      <c r="M4" s="86">
        <v>40268</v>
      </c>
      <c r="N4" s="86">
        <v>40633</v>
      </c>
      <c r="O4" s="86">
        <v>40999</v>
      </c>
      <c r="P4" s="85"/>
      <c r="Q4" s="85"/>
      <c r="R4" s="85"/>
      <c r="S4" s="85"/>
      <c r="T4" s="85"/>
      <c r="U4" s="85"/>
      <c r="V4" s="85"/>
      <c r="W4" s="85"/>
      <c r="X4" s="85"/>
      <c r="Y4" s="85"/>
      <c r="Z4" s="85"/>
    </row>
    <row r="5" spans="1:36" s="2" customFormat="1" x14ac:dyDescent="0.2">
      <c r="B5" s="46" t="s">
        <v>26</v>
      </c>
      <c r="C5" s="43">
        <v>0</v>
      </c>
      <c r="D5" s="43">
        <v>0</v>
      </c>
      <c r="E5" s="43">
        <v>0</v>
      </c>
      <c r="F5" s="43">
        <v>0</v>
      </c>
      <c r="G5" s="43">
        <v>0</v>
      </c>
      <c r="H5" s="43">
        <v>0</v>
      </c>
      <c r="I5" s="43">
        <v>0</v>
      </c>
      <c r="J5" s="43">
        <v>1200</v>
      </c>
      <c r="K5" s="85"/>
      <c r="L5" s="43">
        <v>0</v>
      </c>
      <c r="M5" s="43">
        <v>0</v>
      </c>
      <c r="N5" s="43">
        <v>0</v>
      </c>
      <c r="O5" s="43">
        <v>1200</v>
      </c>
      <c r="P5" s="85"/>
      <c r="Q5" s="85"/>
      <c r="R5" s="85"/>
      <c r="S5" s="85"/>
      <c r="T5" s="85"/>
      <c r="U5" s="85"/>
      <c r="V5" s="85"/>
      <c r="W5" s="85"/>
      <c r="X5" s="85"/>
      <c r="Y5" s="85"/>
      <c r="Z5" s="85"/>
    </row>
    <row r="6" spans="1:36" s="2" customFormat="1" x14ac:dyDescent="0.2">
      <c r="B6" s="46" t="s">
        <v>30</v>
      </c>
      <c r="C6" s="43">
        <v>900</v>
      </c>
      <c r="D6" s="43">
        <v>1100</v>
      </c>
      <c r="E6" s="43">
        <v>1500</v>
      </c>
      <c r="F6" s="43">
        <v>1200</v>
      </c>
      <c r="G6" s="43">
        <v>1600</v>
      </c>
      <c r="H6" s="43">
        <v>1600</v>
      </c>
      <c r="I6" s="43">
        <v>1800</v>
      </c>
      <c r="J6" s="43">
        <v>1600</v>
      </c>
      <c r="K6" s="85"/>
      <c r="L6" s="43">
        <v>0</v>
      </c>
      <c r="M6" s="43">
        <v>0</v>
      </c>
      <c r="N6" s="43">
        <v>4700</v>
      </c>
      <c r="O6" s="43">
        <v>6600</v>
      </c>
      <c r="P6" s="85"/>
      <c r="Q6" s="85"/>
      <c r="R6" s="85"/>
      <c r="S6" s="85"/>
      <c r="T6" s="85"/>
      <c r="U6" s="85"/>
      <c r="V6" s="85"/>
      <c r="W6" s="85"/>
      <c r="X6" s="85"/>
      <c r="Y6" s="85"/>
      <c r="Z6" s="85"/>
    </row>
    <row r="7" spans="1:36" s="2" customFormat="1" x14ac:dyDescent="0.2">
      <c r="B7" s="46" t="s">
        <v>34</v>
      </c>
      <c r="C7" s="43">
        <v>1500</v>
      </c>
      <c r="D7" s="43">
        <v>1900</v>
      </c>
      <c r="E7" s="43">
        <v>3100</v>
      </c>
      <c r="F7" s="43">
        <v>4600</v>
      </c>
      <c r="G7" s="43">
        <v>6200</v>
      </c>
      <c r="H7" s="43">
        <v>6600</v>
      </c>
      <c r="I7" s="43">
        <v>8000</v>
      </c>
      <c r="J7" s="43">
        <v>7100</v>
      </c>
      <c r="K7" s="85"/>
      <c r="L7" s="43">
        <v>0</v>
      </c>
      <c r="M7" s="43">
        <v>0</v>
      </c>
      <c r="N7" s="43">
        <v>11100</v>
      </c>
      <c r="O7" s="43">
        <v>27900</v>
      </c>
      <c r="P7" s="85"/>
      <c r="Q7" s="85"/>
      <c r="R7" s="85"/>
      <c r="S7" s="85"/>
      <c r="T7" s="85"/>
      <c r="U7" s="85"/>
      <c r="V7" s="85"/>
      <c r="W7" s="85"/>
      <c r="X7" s="85"/>
      <c r="Y7" s="85"/>
      <c r="Z7" s="85"/>
    </row>
    <row r="8" spans="1:36" s="2" customFormat="1" x14ac:dyDescent="0.2">
      <c r="B8" s="21" t="s">
        <v>37</v>
      </c>
      <c r="C8" s="43">
        <v>500</v>
      </c>
      <c r="D8" s="43">
        <v>400</v>
      </c>
      <c r="E8" s="43">
        <v>600</v>
      </c>
      <c r="F8" s="43">
        <v>500</v>
      </c>
      <c r="G8" s="43">
        <v>500</v>
      </c>
      <c r="H8" s="43">
        <v>800</v>
      </c>
      <c r="I8" s="43">
        <v>900</v>
      </c>
      <c r="J8" s="43">
        <v>1300</v>
      </c>
      <c r="K8" s="85"/>
      <c r="L8" s="43">
        <v>0</v>
      </c>
      <c r="M8" s="43">
        <v>0</v>
      </c>
      <c r="N8" s="43">
        <v>2000</v>
      </c>
      <c r="O8" s="43">
        <v>3500</v>
      </c>
      <c r="P8" s="85"/>
      <c r="Q8" s="85"/>
      <c r="R8" s="85"/>
      <c r="S8" s="85"/>
      <c r="T8" s="85"/>
      <c r="U8" s="85"/>
      <c r="V8" s="85"/>
      <c r="W8" s="85"/>
      <c r="X8" s="85"/>
      <c r="Y8" s="85"/>
      <c r="Z8" s="85"/>
    </row>
    <row r="9" spans="1:36" s="2" customFormat="1" x14ac:dyDescent="0.2">
      <c r="B9" s="26" t="s">
        <v>40</v>
      </c>
      <c r="C9" s="43">
        <v>1500</v>
      </c>
      <c r="D9" s="43">
        <v>1200</v>
      </c>
      <c r="E9" s="43">
        <v>1600</v>
      </c>
      <c r="F9" s="43">
        <v>1500</v>
      </c>
      <c r="G9" s="43">
        <v>1600</v>
      </c>
      <c r="H9" s="43">
        <v>1300</v>
      </c>
      <c r="I9" s="43">
        <v>1700</v>
      </c>
      <c r="J9" s="43">
        <v>0</v>
      </c>
      <c r="K9" s="85"/>
      <c r="L9" s="43">
        <v>500</v>
      </c>
      <c r="M9" s="43">
        <v>2200</v>
      </c>
      <c r="N9" s="43">
        <v>5800</v>
      </c>
      <c r="O9" s="43">
        <v>4600</v>
      </c>
      <c r="P9" s="85"/>
      <c r="Q9" s="85"/>
      <c r="R9" s="85"/>
      <c r="S9" s="85"/>
      <c r="T9" s="85"/>
      <c r="U9" s="85"/>
      <c r="V9" s="85"/>
      <c r="W9" s="85"/>
      <c r="X9" s="85"/>
      <c r="Y9" s="85"/>
      <c r="Z9" s="85"/>
    </row>
    <row r="10" spans="1:36" s="2" customFormat="1" x14ac:dyDescent="0.2">
      <c r="B10" s="26" t="s">
        <v>45</v>
      </c>
      <c r="C10" s="43">
        <v>7300</v>
      </c>
      <c r="D10" s="43">
        <v>5600</v>
      </c>
      <c r="E10" s="43">
        <v>8200</v>
      </c>
      <c r="F10" s="43">
        <v>8900</v>
      </c>
      <c r="G10" s="43">
        <v>7100</v>
      </c>
      <c r="H10" s="43">
        <v>5000</v>
      </c>
      <c r="I10" s="43">
        <v>7500</v>
      </c>
      <c r="J10" s="43">
        <v>7100</v>
      </c>
      <c r="K10" s="85"/>
      <c r="L10" s="43">
        <v>38100</v>
      </c>
      <c r="M10" s="43">
        <v>33300</v>
      </c>
      <c r="N10" s="43">
        <v>30000</v>
      </c>
      <c r="O10" s="43">
        <v>26700</v>
      </c>
      <c r="P10" s="85"/>
      <c r="Q10" s="85"/>
      <c r="R10" s="85"/>
      <c r="S10" s="85"/>
      <c r="T10" s="85"/>
      <c r="U10" s="85"/>
      <c r="V10" s="85"/>
      <c r="W10" s="85"/>
      <c r="X10" s="85"/>
      <c r="Y10" s="85"/>
      <c r="Z10" s="85"/>
    </row>
    <row r="11" spans="1:36" s="2" customFormat="1" x14ac:dyDescent="0.2">
      <c r="B11" s="26" t="s">
        <v>48</v>
      </c>
      <c r="C11" s="43">
        <v>10500</v>
      </c>
      <c r="D11" s="43">
        <v>9800</v>
      </c>
      <c r="E11" s="43">
        <v>11100</v>
      </c>
      <c r="F11" s="43">
        <v>8700</v>
      </c>
      <c r="G11" s="43">
        <v>10100</v>
      </c>
      <c r="H11" s="43">
        <v>10000</v>
      </c>
      <c r="I11" s="43">
        <v>11100</v>
      </c>
      <c r="J11" s="43">
        <v>8300</v>
      </c>
      <c r="K11" s="85"/>
      <c r="L11" s="43">
        <v>37300</v>
      </c>
      <c r="M11" s="43">
        <v>38100</v>
      </c>
      <c r="N11" s="43">
        <v>40100</v>
      </c>
      <c r="O11" s="43">
        <v>39500</v>
      </c>
      <c r="P11" s="85"/>
      <c r="Q11" s="85"/>
      <c r="R11" s="85"/>
      <c r="S11" s="85"/>
      <c r="T11" s="85"/>
      <c r="U11" s="85"/>
      <c r="V11" s="85"/>
      <c r="W11" s="85"/>
      <c r="X11" s="85"/>
      <c r="Y11" s="85"/>
      <c r="Z11" s="85"/>
    </row>
    <row r="12" spans="1:36" s="2" customFormat="1" x14ac:dyDescent="0.2">
      <c r="B12" s="26" t="s">
        <v>91</v>
      </c>
      <c r="C12" s="43">
        <v>3700</v>
      </c>
      <c r="D12" s="43">
        <v>3200</v>
      </c>
      <c r="E12" s="43">
        <v>3600</v>
      </c>
      <c r="F12" s="43">
        <v>2700</v>
      </c>
      <c r="G12" s="43">
        <v>3100</v>
      </c>
      <c r="H12" s="43">
        <v>2800</v>
      </c>
      <c r="I12" s="43">
        <v>3100</v>
      </c>
      <c r="J12" s="43">
        <v>2200</v>
      </c>
      <c r="K12" s="85"/>
      <c r="L12" s="43">
        <v>17400</v>
      </c>
      <c r="M12" s="43">
        <v>15800</v>
      </c>
      <c r="N12" s="43">
        <v>13200</v>
      </c>
      <c r="O12" s="43">
        <v>11200</v>
      </c>
      <c r="P12" s="85"/>
      <c r="Q12" s="85"/>
      <c r="R12" s="85"/>
      <c r="S12" s="85"/>
      <c r="T12" s="85"/>
      <c r="U12" s="85"/>
      <c r="V12" s="85"/>
      <c r="W12" s="85"/>
      <c r="X12" s="85"/>
      <c r="Y12" s="85"/>
      <c r="Z12" s="85"/>
    </row>
    <row r="13" spans="1:36" s="2" customFormat="1" x14ac:dyDescent="0.2">
      <c r="B13" s="26" t="s">
        <v>54</v>
      </c>
      <c r="C13" s="43">
        <v>1300</v>
      </c>
      <c r="D13" s="43">
        <v>1100</v>
      </c>
      <c r="E13" s="43">
        <v>1500</v>
      </c>
      <c r="F13" s="43">
        <v>1100</v>
      </c>
      <c r="G13" s="43">
        <v>1100</v>
      </c>
      <c r="H13" s="43">
        <v>1000</v>
      </c>
      <c r="I13" s="43">
        <v>1300</v>
      </c>
      <c r="J13" s="43">
        <v>1000</v>
      </c>
      <c r="K13" s="85"/>
      <c r="L13" s="43">
        <v>5400</v>
      </c>
      <c r="M13" s="43">
        <v>5000</v>
      </c>
      <c r="N13" s="43">
        <v>5000</v>
      </c>
      <c r="O13" s="43">
        <v>4400</v>
      </c>
      <c r="P13" s="85"/>
      <c r="Q13" s="85"/>
      <c r="R13" s="85"/>
      <c r="S13" s="85"/>
      <c r="T13" s="85"/>
      <c r="U13" s="85"/>
      <c r="V13" s="85"/>
      <c r="W13" s="85"/>
      <c r="X13" s="85"/>
      <c r="Y13" s="85"/>
      <c r="Z13" s="85"/>
    </row>
    <row r="14" spans="1:36" s="2" customFormat="1" x14ac:dyDescent="0.2">
      <c r="B14" s="26" t="s">
        <v>57</v>
      </c>
      <c r="C14" s="43">
        <v>3000</v>
      </c>
      <c r="D14" s="43">
        <v>2600</v>
      </c>
      <c r="E14" s="43">
        <v>3100</v>
      </c>
      <c r="F14" s="43">
        <v>2300</v>
      </c>
      <c r="G14" s="43">
        <v>2700</v>
      </c>
      <c r="H14" s="43">
        <v>2500</v>
      </c>
      <c r="I14" s="43">
        <v>2900</v>
      </c>
      <c r="J14" s="43">
        <v>2100</v>
      </c>
      <c r="K14" s="85"/>
      <c r="L14" s="43">
        <v>13400</v>
      </c>
      <c r="M14" s="43">
        <v>12100</v>
      </c>
      <c r="N14" s="43">
        <v>11000</v>
      </c>
      <c r="O14" s="43">
        <v>10200</v>
      </c>
      <c r="P14" s="85"/>
      <c r="Q14" s="85"/>
      <c r="R14" s="85"/>
      <c r="S14" s="85"/>
      <c r="T14" s="85"/>
      <c r="U14" s="85"/>
      <c r="V14" s="85"/>
      <c r="W14" s="85"/>
      <c r="X14" s="85"/>
      <c r="Y14" s="85"/>
      <c r="Z14" s="85"/>
    </row>
    <row r="15" spans="1:36" s="2" customFormat="1" x14ac:dyDescent="0.2">
      <c r="B15" s="26" t="s">
        <v>60</v>
      </c>
      <c r="C15" s="43">
        <v>900</v>
      </c>
      <c r="D15" s="43">
        <v>1700</v>
      </c>
      <c r="E15" s="43">
        <v>300</v>
      </c>
      <c r="F15" s="43">
        <v>700</v>
      </c>
      <c r="G15" s="43">
        <v>900</v>
      </c>
      <c r="H15" s="43">
        <v>800</v>
      </c>
      <c r="I15" s="43">
        <v>1000</v>
      </c>
      <c r="J15" s="43">
        <v>600</v>
      </c>
      <c r="K15" s="85"/>
      <c r="L15" s="43">
        <v>1900</v>
      </c>
      <c r="M15" s="43">
        <v>2700</v>
      </c>
      <c r="N15" s="43">
        <v>3600</v>
      </c>
      <c r="O15" s="43">
        <v>3300</v>
      </c>
      <c r="P15" s="85"/>
      <c r="Q15" s="85"/>
      <c r="R15" s="85"/>
      <c r="S15" s="85"/>
      <c r="T15" s="85"/>
      <c r="U15" s="85"/>
      <c r="V15" s="85"/>
      <c r="W15" s="85"/>
      <c r="X15" s="85"/>
      <c r="Y15" s="85"/>
      <c r="Z15" s="85"/>
    </row>
    <row r="16" spans="1:36" s="2" customFormat="1" x14ac:dyDescent="0.2">
      <c r="B16" s="2" t="s">
        <v>259</v>
      </c>
      <c r="C16" s="43">
        <f>SUM(C5:C15)</f>
        <v>31100</v>
      </c>
      <c r="D16" s="43">
        <f t="shared" ref="D16:J16" si="0">SUM(D5:D15)</f>
        <v>28600</v>
      </c>
      <c r="E16" s="43">
        <f t="shared" si="0"/>
        <v>34600</v>
      </c>
      <c r="F16" s="43">
        <f t="shared" si="0"/>
        <v>32200</v>
      </c>
      <c r="G16" s="43">
        <f t="shared" si="0"/>
        <v>34900</v>
      </c>
      <c r="H16" s="43">
        <f t="shared" si="0"/>
        <v>32400</v>
      </c>
      <c r="I16" s="43">
        <f t="shared" si="0"/>
        <v>39300</v>
      </c>
      <c r="J16" s="43">
        <f t="shared" si="0"/>
        <v>32500</v>
      </c>
      <c r="K16" s="85"/>
      <c r="L16" s="43">
        <v>114000</v>
      </c>
      <c r="M16" s="43">
        <v>109200</v>
      </c>
      <c r="N16" s="43">
        <v>126500</v>
      </c>
      <c r="O16" s="43">
        <v>139100</v>
      </c>
      <c r="P16" s="43">
        <f>O20*1.015</f>
        <v>147965.685</v>
      </c>
      <c r="Q16" s="43">
        <f>P16*1.015</f>
        <v>150185.17027499998</v>
      </c>
      <c r="R16" s="43">
        <f t="shared" ref="R16:Z16" si="1">Q16*1.015</f>
        <v>152437.94782912495</v>
      </c>
      <c r="S16" s="43">
        <f t="shared" si="1"/>
        <v>154724.51704656181</v>
      </c>
      <c r="T16" s="43">
        <f t="shared" si="1"/>
        <v>157045.38480226023</v>
      </c>
      <c r="U16" s="43">
        <f t="shared" si="1"/>
        <v>159401.06557429413</v>
      </c>
      <c r="V16" s="43">
        <f t="shared" si="1"/>
        <v>161792.08155790853</v>
      </c>
      <c r="W16" s="43">
        <f t="shared" si="1"/>
        <v>164218.96278127714</v>
      </c>
      <c r="X16" s="43">
        <f t="shared" si="1"/>
        <v>166682.24722299629</v>
      </c>
      <c r="Y16" s="43">
        <f t="shared" si="1"/>
        <v>169182.48093134121</v>
      </c>
      <c r="Z16" s="43">
        <f t="shared" si="1"/>
        <v>171720.21814531132</v>
      </c>
    </row>
    <row r="17" spans="1:36" x14ac:dyDescent="0.2">
      <c r="A17" s="5"/>
      <c r="B17" s="5" t="s">
        <v>63</v>
      </c>
      <c r="C17" s="43">
        <f t="shared" ref="C17:J19" si="2">S63*100</f>
        <v>0</v>
      </c>
      <c r="D17" s="43">
        <f t="shared" si="2"/>
        <v>0</v>
      </c>
      <c r="E17" s="43">
        <f t="shared" si="2"/>
        <v>0</v>
      </c>
      <c r="F17" s="43">
        <f t="shared" si="2"/>
        <v>0</v>
      </c>
      <c r="G17" s="43">
        <f t="shared" si="2"/>
        <v>0</v>
      </c>
      <c r="H17" s="43">
        <f t="shared" si="2"/>
        <v>0</v>
      </c>
      <c r="I17" s="43">
        <f t="shared" si="2"/>
        <v>0</v>
      </c>
      <c r="J17" s="43">
        <f t="shared" si="2"/>
        <v>0</v>
      </c>
      <c r="V17" s="43">
        <v>8000</v>
      </c>
      <c r="W17" s="43">
        <v>16000</v>
      </c>
      <c r="X17" s="43">
        <v>24000</v>
      </c>
      <c r="Y17" s="43">
        <v>32000</v>
      </c>
      <c r="Z17" s="43">
        <v>40000</v>
      </c>
    </row>
    <row r="18" spans="1:36" x14ac:dyDescent="0.2">
      <c r="A18" s="5"/>
      <c r="B18" s="5" t="s">
        <v>249</v>
      </c>
      <c r="C18" s="43">
        <f t="shared" si="2"/>
        <v>0</v>
      </c>
      <c r="D18" s="43">
        <f t="shared" si="2"/>
        <v>0</v>
      </c>
      <c r="E18" s="43">
        <f t="shared" si="2"/>
        <v>0</v>
      </c>
      <c r="F18" s="43">
        <f t="shared" si="2"/>
        <v>0</v>
      </c>
      <c r="G18" s="43">
        <f t="shared" si="2"/>
        <v>0</v>
      </c>
      <c r="H18" s="43">
        <f t="shared" si="2"/>
        <v>0</v>
      </c>
      <c r="I18" s="43">
        <f t="shared" si="2"/>
        <v>0</v>
      </c>
      <c r="J18" s="43">
        <f t="shared" si="2"/>
        <v>0</v>
      </c>
      <c r="S18" s="43">
        <v>8000</v>
      </c>
      <c r="T18" s="43">
        <v>16000</v>
      </c>
      <c r="U18" s="43">
        <v>24000</v>
      </c>
      <c r="V18" s="43">
        <v>32000</v>
      </c>
      <c r="W18" s="43">
        <v>40000</v>
      </c>
      <c r="X18" s="43">
        <v>45000</v>
      </c>
      <c r="Y18" s="43">
        <v>50000</v>
      </c>
      <c r="Z18" s="43">
        <v>50000</v>
      </c>
    </row>
    <row r="19" spans="1:36" x14ac:dyDescent="0.2">
      <c r="A19" s="5"/>
      <c r="B19" s="5" t="s">
        <v>242</v>
      </c>
      <c r="C19" s="43">
        <f t="shared" si="2"/>
        <v>0</v>
      </c>
      <c r="D19" s="43">
        <f t="shared" si="2"/>
        <v>0</v>
      </c>
      <c r="E19" s="43">
        <f t="shared" si="2"/>
        <v>0</v>
      </c>
      <c r="F19" s="43">
        <f t="shared" si="2"/>
        <v>0</v>
      </c>
      <c r="G19" s="43">
        <f t="shared" si="2"/>
        <v>0</v>
      </c>
      <c r="H19" s="43">
        <f t="shared" si="2"/>
        <v>0</v>
      </c>
      <c r="I19" s="43">
        <f t="shared" si="2"/>
        <v>0</v>
      </c>
      <c r="J19" s="43">
        <f t="shared" si="2"/>
        <v>0</v>
      </c>
      <c r="T19" s="43">
        <v>500</v>
      </c>
      <c r="U19" s="43">
        <v>1000</v>
      </c>
      <c r="V19" s="43">
        <v>1500</v>
      </c>
      <c r="W19" s="43">
        <v>2000</v>
      </c>
      <c r="X19" s="43">
        <v>2500</v>
      </c>
      <c r="Y19" s="43">
        <v>3000</v>
      </c>
      <c r="Z19" s="43">
        <v>3500</v>
      </c>
    </row>
    <row r="20" spans="1:36" s="4" customFormat="1" x14ac:dyDescent="0.2">
      <c r="A20" s="3"/>
      <c r="B20" s="3" t="s">
        <v>5</v>
      </c>
      <c r="C20" s="42">
        <v>33830</v>
      </c>
      <c r="D20" s="42">
        <f>63778-33830</f>
        <v>29948</v>
      </c>
      <c r="E20" s="42">
        <f>101609-D20-C20</f>
        <v>37831</v>
      </c>
      <c r="F20" s="42">
        <f t="shared" ref="F20:F30" si="3">N20-SUM(C20:E20)</f>
        <v>33646</v>
      </c>
      <c r="G20" s="42">
        <v>36329</v>
      </c>
      <c r="H20" s="42">
        <f>70170-G20</f>
        <v>33841</v>
      </c>
      <c r="I20" s="42">
        <f>112786-H20-G20</f>
        <v>42616</v>
      </c>
      <c r="J20" s="42">
        <f>O20-SUM(G20:I20)</f>
        <v>32993</v>
      </c>
      <c r="K20" s="42"/>
      <c r="L20" s="42">
        <v>145898</v>
      </c>
      <c r="M20" s="42">
        <v>136557</v>
      </c>
      <c r="N20" s="42">
        <v>135255</v>
      </c>
      <c r="O20" s="42">
        <v>145779</v>
      </c>
      <c r="P20" s="42">
        <f t="shared" ref="P20:Z20" si="4">SUM(P16:P19)</f>
        <v>147965.685</v>
      </c>
      <c r="Q20" s="42">
        <f t="shared" si="4"/>
        <v>150185.17027499998</v>
      </c>
      <c r="R20" s="42">
        <f t="shared" si="4"/>
        <v>152437.94782912495</v>
      </c>
      <c r="S20" s="42">
        <f t="shared" si="4"/>
        <v>162724.51704656181</v>
      </c>
      <c r="T20" s="42">
        <f t="shared" si="4"/>
        <v>173545.38480226023</v>
      </c>
      <c r="U20" s="42">
        <f t="shared" si="4"/>
        <v>184401.06557429413</v>
      </c>
      <c r="V20" s="42">
        <f t="shared" si="4"/>
        <v>203292.08155790853</v>
      </c>
      <c r="W20" s="42">
        <f t="shared" si="4"/>
        <v>222218.96278127714</v>
      </c>
      <c r="X20" s="42">
        <f t="shared" si="4"/>
        <v>238182.24722299629</v>
      </c>
      <c r="Y20" s="42">
        <f t="shared" si="4"/>
        <v>254182.48093134121</v>
      </c>
      <c r="Z20" s="42">
        <f t="shared" si="4"/>
        <v>265220.21814531134</v>
      </c>
    </row>
    <row r="21" spans="1:36" x14ac:dyDescent="0.2">
      <c r="B21" s="2" t="s">
        <v>102</v>
      </c>
      <c r="C21" s="43">
        <v>5935</v>
      </c>
      <c r="D21" s="43">
        <f>11182-5935</f>
        <v>5247</v>
      </c>
      <c r="E21" s="43">
        <f>17931-D21-C21</f>
        <v>6749</v>
      </c>
      <c r="F21" s="43">
        <f t="shared" si="3"/>
        <v>6828</v>
      </c>
      <c r="G21" s="43">
        <v>6808</v>
      </c>
      <c r="H21" s="43">
        <f>13494-G21</f>
        <v>6686</v>
      </c>
      <c r="I21" s="43">
        <f>21754-H21-G21</f>
        <v>8260</v>
      </c>
      <c r="J21" s="43">
        <f>O21-SUM(G21:I21)</f>
        <v>7233</v>
      </c>
      <c r="L21" s="43">
        <v>20861</v>
      </c>
      <c r="M21" s="43">
        <v>21319</v>
      </c>
      <c r="N21" s="43">
        <v>24759</v>
      </c>
      <c r="O21" s="43">
        <v>28987</v>
      </c>
      <c r="P21" s="43">
        <f>(1-P35)*P20</f>
        <v>22194.852750000002</v>
      </c>
      <c r="Q21" s="43">
        <f t="shared" ref="Q21:Z21" si="5">(1-Q35)*Q20</f>
        <v>22527.775541250001</v>
      </c>
      <c r="R21" s="43">
        <f t="shared" si="5"/>
        <v>22865.692174368745</v>
      </c>
      <c r="S21" s="43">
        <f t="shared" si="5"/>
        <v>24408.677556984276</v>
      </c>
      <c r="T21" s="43">
        <f t="shared" si="5"/>
        <v>26031.807720339038</v>
      </c>
      <c r="U21" s="43">
        <f t="shared" si="5"/>
        <v>27660.159836144125</v>
      </c>
      <c r="V21" s="43">
        <f t="shared" si="5"/>
        <v>30493.812233686283</v>
      </c>
      <c r="W21" s="43">
        <f t="shared" si="5"/>
        <v>33332.844417191576</v>
      </c>
      <c r="X21" s="43">
        <f t="shared" si="5"/>
        <v>35727.337083449449</v>
      </c>
      <c r="Y21" s="43">
        <f t="shared" si="5"/>
        <v>38127.37213970119</v>
      </c>
      <c r="Z21" s="43">
        <f t="shared" si="5"/>
        <v>39783.032721796706</v>
      </c>
    </row>
    <row r="22" spans="1:36" x14ac:dyDescent="0.2">
      <c r="B22" s="2" t="s">
        <v>103</v>
      </c>
      <c r="C22" s="43">
        <f>C20-C21</f>
        <v>27895</v>
      </c>
      <c r="D22" s="43">
        <f t="shared" ref="D22:E22" si="6">D20-D21</f>
        <v>24701</v>
      </c>
      <c r="E22" s="43">
        <f t="shared" si="6"/>
        <v>31082</v>
      </c>
      <c r="F22" s="43">
        <f t="shared" si="3"/>
        <v>26818</v>
      </c>
      <c r="G22" s="43">
        <f>G20-G21</f>
        <v>29521</v>
      </c>
      <c r="H22" s="43">
        <f t="shared" ref="H22:Z22" si="7">H20-H21</f>
        <v>27155</v>
      </c>
      <c r="I22" s="43">
        <f t="shared" si="7"/>
        <v>34356</v>
      </c>
      <c r="J22" s="43">
        <f t="shared" si="7"/>
        <v>25760</v>
      </c>
      <c r="L22" s="43">
        <f t="shared" si="7"/>
        <v>125037</v>
      </c>
      <c r="M22" s="43">
        <f t="shared" si="7"/>
        <v>115238</v>
      </c>
      <c r="N22" s="43">
        <f t="shared" si="7"/>
        <v>110496</v>
      </c>
      <c r="O22" s="43">
        <f t="shared" si="7"/>
        <v>116792</v>
      </c>
      <c r="P22" s="43">
        <f t="shared" si="7"/>
        <v>125770.83224999999</v>
      </c>
      <c r="Q22" s="43">
        <f t="shared" si="7"/>
        <v>127657.39473374998</v>
      </c>
      <c r="R22" s="43">
        <f t="shared" si="7"/>
        <v>129572.25565475621</v>
      </c>
      <c r="S22" s="43">
        <f t="shared" si="7"/>
        <v>138315.83948957754</v>
      </c>
      <c r="T22" s="43">
        <f t="shared" si="7"/>
        <v>147513.57708192119</v>
      </c>
      <c r="U22" s="43">
        <f t="shared" si="7"/>
        <v>156740.90573815</v>
      </c>
      <c r="V22" s="43">
        <f t="shared" si="7"/>
        <v>172798.26932422226</v>
      </c>
      <c r="W22" s="43">
        <f t="shared" si="7"/>
        <v>188886.11836408556</v>
      </c>
      <c r="X22" s="43">
        <f t="shared" si="7"/>
        <v>202454.91013954685</v>
      </c>
      <c r="Y22" s="43">
        <f t="shared" si="7"/>
        <v>216055.10879164003</v>
      </c>
      <c r="Z22" s="43">
        <f t="shared" si="7"/>
        <v>225437.18542351463</v>
      </c>
    </row>
    <row r="23" spans="1:36" x14ac:dyDescent="0.2">
      <c r="B23" s="2" t="s">
        <v>104</v>
      </c>
      <c r="C23" s="43">
        <v>16155</v>
      </c>
      <c r="D23" s="43">
        <f>39497-16155</f>
        <v>23342</v>
      </c>
      <c r="E23" s="43">
        <f>56398-D23-C23</f>
        <v>16901</v>
      </c>
      <c r="F23" s="43">
        <f t="shared" si="3"/>
        <v>18897</v>
      </c>
      <c r="G23" s="43">
        <v>17339</v>
      </c>
      <c r="H23" s="43">
        <f>38997-G23</f>
        <v>21658</v>
      </c>
      <c r="I23" s="43">
        <f>57613-H23-G23</f>
        <v>18616</v>
      </c>
      <c r="J23" s="43">
        <f>O23-SUM(G23:I23)</f>
        <v>21275</v>
      </c>
      <c r="L23" s="43">
        <v>72750</v>
      </c>
      <c r="M23" s="43">
        <v>71766</v>
      </c>
      <c r="N23" s="43">
        <v>75295</v>
      </c>
      <c r="O23" s="43">
        <v>78888</v>
      </c>
      <c r="P23" s="43">
        <v>75000</v>
      </c>
      <c r="Q23" s="43">
        <v>75000</v>
      </c>
      <c r="R23" s="43">
        <v>75000</v>
      </c>
      <c r="S23" s="43">
        <v>75000</v>
      </c>
      <c r="T23" s="43">
        <v>75000</v>
      </c>
      <c r="U23" s="43">
        <v>75000</v>
      </c>
      <c r="V23" s="43">
        <v>75000</v>
      </c>
      <c r="W23" s="43">
        <v>75000</v>
      </c>
      <c r="X23" s="43">
        <v>75000</v>
      </c>
      <c r="Y23" s="43">
        <v>75000</v>
      </c>
      <c r="Z23" s="43">
        <v>75000</v>
      </c>
    </row>
    <row r="24" spans="1:36" x14ac:dyDescent="0.2">
      <c r="B24" s="2" t="s">
        <v>105</v>
      </c>
      <c r="C24" s="43">
        <f>C22-C23</f>
        <v>11740</v>
      </c>
      <c r="D24" s="43">
        <f t="shared" ref="D24:E24" si="8">D22-D23</f>
        <v>1359</v>
      </c>
      <c r="E24" s="43">
        <f t="shared" si="8"/>
        <v>14181</v>
      </c>
      <c r="F24" s="43">
        <f t="shared" si="3"/>
        <v>7921</v>
      </c>
      <c r="G24" s="43">
        <f>G22-G23</f>
        <v>12182</v>
      </c>
      <c r="H24" s="43">
        <f t="shared" ref="H24:Z24" si="9">H22-H23</f>
        <v>5497</v>
      </c>
      <c r="I24" s="43">
        <f t="shared" si="9"/>
        <v>15740</v>
      </c>
      <c r="J24" s="43">
        <f t="shared" si="9"/>
        <v>4485</v>
      </c>
      <c r="L24" s="43">
        <f t="shared" si="9"/>
        <v>52287</v>
      </c>
      <c r="M24" s="43">
        <f t="shared" si="9"/>
        <v>43472</v>
      </c>
      <c r="N24" s="43">
        <f t="shared" si="9"/>
        <v>35201</v>
      </c>
      <c r="O24" s="43">
        <f t="shared" si="9"/>
        <v>37904</v>
      </c>
      <c r="P24" s="43">
        <f t="shared" si="9"/>
        <v>50770.832249999992</v>
      </c>
      <c r="Q24" s="43">
        <f t="shared" si="9"/>
        <v>52657.394733749985</v>
      </c>
      <c r="R24" s="43">
        <f t="shared" si="9"/>
        <v>54572.255654756213</v>
      </c>
      <c r="S24" s="43">
        <f t="shared" si="9"/>
        <v>63315.839489577542</v>
      </c>
      <c r="T24" s="43">
        <f t="shared" si="9"/>
        <v>72513.57708192119</v>
      </c>
      <c r="U24" s="43">
        <f t="shared" si="9"/>
        <v>81740.905738150002</v>
      </c>
      <c r="V24" s="43">
        <f t="shared" si="9"/>
        <v>97798.269324222259</v>
      </c>
      <c r="W24" s="43">
        <f t="shared" si="9"/>
        <v>113886.11836408556</v>
      </c>
      <c r="X24" s="43">
        <f t="shared" si="9"/>
        <v>127454.91013954685</v>
      </c>
      <c r="Y24" s="43">
        <f t="shared" si="9"/>
        <v>141055.10879164003</v>
      </c>
      <c r="Z24" s="43">
        <f t="shared" si="9"/>
        <v>150437.18542351463</v>
      </c>
    </row>
    <row r="25" spans="1:36" x14ac:dyDescent="0.2">
      <c r="B25" s="2" t="s">
        <v>106</v>
      </c>
      <c r="C25" s="43">
        <f>1252-222</f>
        <v>1030</v>
      </c>
      <c r="D25" s="43">
        <f>1626-1221-C25</f>
        <v>-625</v>
      </c>
      <c r="E25" s="43">
        <f>2601-199-D25-C25</f>
        <v>1997</v>
      </c>
      <c r="F25" s="43">
        <f t="shared" si="3"/>
        <v>-703</v>
      </c>
      <c r="G25" s="43">
        <v>1228</v>
      </c>
      <c r="H25" s="43">
        <f>-2341-G25</f>
        <v>-3569</v>
      </c>
      <c r="I25" s="43">
        <f>-1640-H25-G25</f>
        <v>701</v>
      </c>
      <c r="J25" s="43">
        <f>O25-SUM(G25:I25)</f>
        <v>3746</v>
      </c>
      <c r="L25" s="43">
        <f>3060-1+4167</f>
        <v>7226</v>
      </c>
      <c r="M25" s="43">
        <f>3319-1-6519</f>
        <v>-3201</v>
      </c>
      <c r="N25" s="43">
        <f>2947-1-1247</f>
        <v>1699</v>
      </c>
      <c r="O25" s="43">
        <f>2800-1-693</f>
        <v>2106</v>
      </c>
      <c r="P25" s="43">
        <v>6500</v>
      </c>
      <c r="Q25" s="43">
        <v>7500</v>
      </c>
      <c r="R25" s="43">
        <v>8000</v>
      </c>
      <c r="S25" s="43">
        <v>9000</v>
      </c>
      <c r="T25" s="43">
        <v>10000</v>
      </c>
      <c r="U25" s="43">
        <v>11000</v>
      </c>
      <c r="V25" s="43">
        <v>13000</v>
      </c>
      <c r="W25" s="43">
        <v>14000</v>
      </c>
      <c r="X25" s="43">
        <v>16000</v>
      </c>
      <c r="Y25" s="43">
        <v>18000</v>
      </c>
      <c r="Z25" s="43">
        <v>20000</v>
      </c>
    </row>
    <row r="26" spans="1:36" x14ac:dyDescent="0.2">
      <c r="B26" s="2" t="s">
        <v>107</v>
      </c>
      <c r="C26" s="43">
        <f>C24+C25</f>
        <v>12770</v>
      </c>
      <c r="D26" s="43">
        <f t="shared" ref="D26:E26" si="10">D24+D25</f>
        <v>734</v>
      </c>
      <c r="E26" s="43">
        <f t="shared" si="10"/>
        <v>16178</v>
      </c>
      <c r="F26" s="43">
        <f t="shared" si="3"/>
        <v>7218</v>
      </c>
      <c r="G26" s="43">
        <f>G24+G25</f>
        <v>13410</v>
      </c>
      <c r="H26" s="43">
        <f t="shared" ref="H26:Z26" si="11">H24+H25</f>
        <v>1928</v>
      </c>
      <c r="I26" s="43">
        <f t="shared" si="11"/>
        <v>16441</v>
      </c>
      <c r="J26" s="43">
        <f t="shared" si="11"/>
        <v>8231</v>
      </c>
      <c r="L26" s="43">
        <f t="shared" si="11"/>
        <v>59513</v>
      </c>
      <c r="M26" s="43">
        <f t="shared" si="11"/>
        <v>40271</v>
      </c>
      <c r="N26" s="43">
        <f t="shared" si="11"/>
        <v>36900</v>
      </c>
      <c r="O26" s="43">
        <f t="shared" si="11"/>
        <v>40010</v>
      </c>
      <c r="P26" s="43">
        <f t="shared" si="11"/>
        <v>57270.832249999992</v>
      </c>
      <c r="Q26" s="43">
        <f t="shared" si="11"/>
        <v>60157.394733749985</v>
      </c>
      <c r="R26" s="43">
        <f t="shared" si="11"/>
        <v>62572.255654756213</v>
      </c>
      <c r="S26" s="43">
        <f t="shared" si="11"/>
        <v>72315.839489577542</v>
      </c>
      <c r="T26" s="43">
        <f t="shared" si="11"/>
        <v>82513.57708192119</v>
      </c>
      <c r="U26" s="43">
        <f t="shared" si="11"/>
        <v>92740.905738150002</v>
      </c>
      <c r="V26" s="43">
        <f t="shared" si="11"/>
        <v>110798.26932422226</v>
      </c>
      <c r="W26" s="43">
        <f t="shared" si="11"/>
        <v>127886.11836408556</v>
      </c>
      <c r="X26" s="43">
        <f t="shared" si="11"/>
        <v>143454.91013954685</v>
      </c>
      <c r="Y26" s="43">
        <f t="shared" si="11"/>
        <v>159055.10879164003</v>
      </c>
      <c r="Z26" s="43">
        <f t="shared" si="11"/>
        <v>170437.18542351463</v>
      </c>
    </row>
    <row r="27" spans="1:36" x14ac:dyDescent="0.2">
      <c r="B27" s="2" t="s">
        <v>108</v>
      </c>
      <c r="C27" s="43">
        <v>4399</v>
      </c>
      <c r="D27" s="43">
        <f>5171-4399</f>
        <v>772</v>
      </c>
      <c r="E27" s="43">
        <f>10500-D27-C27</f>
        <v>5329</v>
      </c>
      <c r="F27" s="43">
        <f t="shared" si="3"/>
        <v>1920</v>
      </c>
      <c r="G27" s="43">
        <v>4572</v>
      </c>
      <c r="H27" s="43">
        <f>6782-G27</f>
        <v>2210</v>
      </c>
      <c r="I27" s="43">
        <f>13875-H27-G27</f>
        <v>7093</v>
      </c>
      <c r="J27" s="43">
        <f>O27-SUM(G27:I27)</f>
        <v>1500</v>
      </c>
      <c r="L27" s="43">
        <v>24041</v>
      </c>
      <c r="M27" s="43">
        <v>16269</v>
      </c>
      <c r="N27" s="43">
        <f>12669-249</f>
        <v>12420</v>
      </c>
      <c r="O27" s="43">
        <f>15525-150</f>
        <v>15375</v>
      </c>
      <c r="P27" s="43">
        <f>P34*P26</f>
        <v>20044.791287499997</v>
      </c>
      <c r="Q27" s="43">
        <f t="shared" ref="Q27:Z27" si="12">Q34*Q26</f>
        <v>21055.088156812493</v>
      </c>
      <c r="R27" s="43">
        <f t="shared" si="12"/>
        <v>21900.289479164672</v>
      </c>
      <c r="S27" s="43">
        <f t="shared" si="12"/>
        <v>25310.543821352137</v>
      </c>
      <c r="T27" s="43">
        <f t="shared" si="12"/>
        <v>28879.751978672415</v>
      </c>
      <c r="U27" s="43">
        <f t="shared" si="12"/>
        <v>32459.3170083525</v>
      </c>
      <c r="V27" s="43">
        <f t="shared" si="12"/>
        <v>38779.394263477785</v>
      </c>
      <c r="W27" s="43">
        <f t="shared" si="12"/>
        <v>44760.141427429946</v>
      </c>
      <c r="X27" s="43">
        <f t="shared" si="12"/>
        <v>50209.218548841396</v>
      </c>
      <c r="Y27" s="43">
        <f t="shared" si="12"/>
        <v>55669.288077074008</v>
      </c>
      <c r="Z27" s="43">
        <f t="shared" si="12"/>
        <v>59653.014898230118</v>
      </c>
    </row>
    <row r="28" spans="1:36" x14ac:dyDescent="0.2">
      <c r="B28" s="2" t="s">
        <v>109</v>
      </c>
      <c r="C28" s="43">
        <f>C26-C27</f>
        <v>8371</v>
      </c>
      <c r="D28" s="43">
        <f t="shared" ref="D28:E28" si="13">D26-D27</f>
        <v>-38</v>
      </c>
      <c r="E28" s="43">
        <f t="shared" si="13"/>
        <v>10849</v>
      </c>
      <c r="F28" s="43">
        <f t="shared" si="3"/>
        <v>5298</v>
      </c>
      <c r="G28" s="43">
        <f>G26-G27</f>
        <v>8838</v>
      </c>
      <c r="H28" s="43">
        <f t="shared" ref="H28:Z28" si="14">H26-H27</f>
        <v>-282</v>
      </c>
      <c r="I28" s="43">
        <f t="shared" si="14"/>
        <v>9348</v>
      </c>
      <c r="J28" s="43">
        <f t="shared" si="14"/>
        <v>6731</v>
      </c>
      <c r="L28" s="43">
        <f t="shared" si="14"/>
        <v>35472</v>
      </c>
      <c r="M28" s="43">
        <f t="shared" si="14"/>
        <v>24002</v>
      </c>
      <c r="N28" s="43">
        <f t="shared" si="14"/>
        <v>24480</v>
      </c>
      <c r="O28" s="43">
        <f t="shared" si="14"/>
        <v>24635</v>
      </c>
      <c r="P28" s="43">
        <f t="shared" si="14"/>
        <v>37226.040962499996</v>
      </c>
      <c r="Q28" s="43">
        <f t="shared" si="14"/>
        <v>39102.306576937495</v>
      </c>
      <c r="R28" s="43">
        <f t="shared" si="14"/>
        <v>40671.966175591544</v>
      </c>
      <c r="S28" s="43">
        <f t="shared" si="14"/>
        <v>47005.295668225401</v>
      </c>
      <c r="T28" s="43">
        <f t="shared" si="14"/>
        <v>53633.825103248775</v>
      </c>
      <c r="U28" s="43">
        <f t="shared" si="14"/>
        <v>60281.588729797499</v>
      </c>
      <c r="V28" s="43">
        <f t="shared" si="14"/>
        <v>72018.875060744467</v>
      </c>
      <c r="W28" s="43">
        <f t="shared" si="14"/>
        <v>83125.976936655614</v>
      </c>
      <c r="X28" s="43">
        <f t="shared" si="14"/>
        <v>93245.69159070545</v>
      </c>
      <c r="Y28" s="43">
        <f t="shared" si="14"/>
        <v>103385.82071456601</v>
      </c>
      <c r="Z28" s="43">
        <f t="shared" si="14"/>
        <v>110784.17052528451</v>
      </c>
    </row>
    <row r="29" spans="1:36" x14ac:dyDescent="0.2">
      <c r="B29" s="2" t="s">
        <v>110</v>
      </c>
      <c r="C29" s="43">
        <v>-49</v>
      </c>
      <c r="D29" s="43">
        <v>-108</v>
      </c>
      <c r="E29" s="43">
        <v>-175</v>
      </c>
      <c r="F29" s="43">
        <f t="shared" si="3"/>
        <v>74</v>
      </c>
      <c r="G29" s="43">
        <v>-100</v>
      </c>
      <c r="H29" s="43">
        <f>-173-G29</f>
        <v>-73</v>
      </c>
      <c r="I29" s="43">
        <f>-229-H29-G29</f>
        <v>-56</v>
      </c>
      <c r="J29" s="43">
        <f>O29-SUM(G29:I29)</f>
        <v>-45</v>
      </c>
      <c r="L29" s="43">
        <v>-425</v>
      </c>
      <c r="M29" s="43">
        <v>-235</v>
      </c>
      <c r="N29" s="43">
        <v>-258</v>
      </c>
      <c r="O29" s="43">
        <v>-274</v>
      </c>
      <c r="P29" s="43">
        <f>O29*1.015</f>
        <v>-278.10999999999996</v>
      </c>
      <c r="Q29" s="43">
        <f t="shared" ref="Q29:Z29" si="15">P29*1.015</f>
        <v>-282.28164999999996</v>
      </c>
      <c r="R29" s="43">
        <f t="shared" si="15"/>
        <v>-286.51587474999991</v>
      </c>
      <c r="S29" s="43">
        <f t="shared" si="15"/>
        <v>-290.81361287124986</v>
      </c>
      <c r="T29" s="43">
        <f t="shared" si="15"/>
        <v>-295.17581706431855</v>
      </c>
      <c r="U29" s="43">
        <f t="shared" si="15"/>
        <v>-299.60345432028328</v>
      </c>
      <c r="V29" s="43">
        <f t="shared" si="15"/>
        <v>-304.09750613508749</v>
      </c>
      <c r="W29" s="43">
        <f t="shared" si="15"/>
        <v>-308.65896872711374</v>
      </c>
      <c r="X29" s="43">
        <f t="shared" si="15"/>
        <v>-313.28885325802042</v>
      </c>
      <c r="Y29" s="43">
        <f t="shared" si="15"/>
        <v>-317.9881860568907</v>
      </c>
      <c r="Z29" s="43">
        <f t="shared" si="15"/>
        <v>-322.75800884774401</v>
      </c>
    </row>
    <row r="30" spans="1:36" x14ac:dyDescent="0.2">
      <c r="B30" s="2" t="s">
        <v>111</v>
      </c>
      <c r="C30" s="43">
        <f>C28+C29</f>
        <v>8322</v>
      </c>
      <c r="D30" s="43">
        <f t="shared" ref="D30:E30" si="16">D28+D29</f>
        <v>-146</v>
      </c>
      <c r="E30" s="43">
        <f t="shared" si="16"/>
        <v>10674</v>
      </c>
      <c r="F30" s="43">
        <f t="shared" si="3"/>
        <v>5372</v>
      </c>
      <c r="G30" s="43">
        <f>G28+G29</f>
        <v>8738</v>
      </c>
      <c r="H30" s="43">
        <f t="shared" ref="H30:I30" si="17">H28+H29</f>
        <v>-355</v>
      </c>
      <c r="I30" s="43">
        <f t="shared" si="17"/>
        <v>9292</v>
      </c>
      <c r="J30" s="43">
        <f t="shared" ref="J30:M30" si="18">J28+J29</f>
        <v>6686</v>
      </c>
      <c r="L30" s="43">
        <f t="shared" si="18"/>
        <v>35047</v>
      </c>
      <c r="M30" s="43">
        <f t="shared" si="18"/>
        <v>23767</v>
      </c>
      <c r="N30" s="43">
        <f>N28+N29</f>
        <v>24222</v>
      </c>
      <c r="O30" s="43">
        <f t="shared" ref="O30:X30" si="19">O28+O29</f>
        <v>24361</v>
      </c>
      <c r="P30" s="43">
        <f t="shared" si="19"/>
        <v>36947.930962499995</v>
      </c>
      <c r="Q30" s="43">
        <f t="shared" si="19"/>
        <v>38820.024926937498</v>
      </c>
      <c r="R30" s="43">
        <f t="shared" si="19"/>
        <v>40385.450300841541</v>
      </c>
      <c r="S30" s="43">
        <f t="shared" si="19"/>
        <v>46714.48205535415</v>
      </c>
      <c r="T30" s="43">
        <f t="shared" si="19"/>
        <v>53338.64928618446</v>
      </c>
      <c r="U30" s="43">
        <f t="shared" si="19"/>
        <v>59981.985275477215</v>
      </c>
      <c r="V30" s="43">
        <f t="shared" si="19"/>
        <v>71714.777554609376</v>
      </c>
      <c r="W30" s="43">
        <f t="shared" si="19"/>
        <v>82817.317967928495</v>
      </c>
      <c r="X30" s="43">
        <f t="shared" si="19"/>
        <v>92932.402737447424</v>
      </c>
      <c r="Y30" s="43">
        <f t="shared" ref="Y30:Z30" si="20">Y28+Y29</f>
        <v>103067.83252850913</v>
      </c>
      <c r="Z30" s="43">
        <f t="shared" si="20"/>
        <v>110461.41251643677</v>
      </c>
      <c r="AA30" s="5">
        <f>Z30*1.03</f>
        <v>113775.25489192987</v>
      </c>
      <c r="AB30" s="5">
        <f t="shared" ref="AB30:AJ30" si="21">AA30*1.03</f>
        <v>117188.51253868778</v>
      </c>
      <c r="AC30" s="5">
        <f t="shared" si="21"/>
        <v>120704.16791484841</v>
      </c>
      <c r="AD30" s="5">
        <f t="shared" si="21"/>
        <v>124325.29295229386</v>
      </c>
      <c r="AE30" s="5">
        <f t="shared" si="21"/>
        <v>128055.05174086269</v>
      </c>
      <c r="AF30" s="5">
        <f t="shared" si="21"/>
        <v>131896.70329308856</v>
      </c>
      <c r="AG30" s="5">
        <f t="shared" si="21"/>
        <v>135853.60439188124</v>
      </c>
      <c r="AH30" s="5">
        <f t="shared" si="21"/>
        <v>139929.21252363769</v>
      </c>
      <c r="AI30" s="5">
        <f t="shared" si="21"/>
        <v>144127.08889934683</v>
      </c>
      <c r="AJ30" s="5">
        <f t="shared" si="21"/>
        <v>148450.90156632723</v>
      </c>
    </row>
    <row r="31" spans="1:36" s="6" customFormat="1" x14ac:dyDescent="0.2">
      <c r="B31" s="6" t="s">
        <v>6</v>
      </c>
      <c r="C31" s="45">
        <f>C30/C32*1000</f>
        <v>76.540000000000006</v>
      </c>
      <c r="D31" s="45">
        <f t="shared" ref="D31:I31" si="22">D30/D32*1000</f>
        <v>-1.3428070175438598</v>
      </c>
      <c r="E31" s="45">
        <f t="shared" si="22"/>
        <v>98.172069214131227</v>
      </c>
      <c r="F31" s="45">
        <f t="shared" si="22"/>
        <v>49.407940398942564</v>
      </c>
      <c r="G31" s="45">
        <f t="shared" si="22"/>
        <v>80.366080269166076</v>
      </c>
      <c r="H31" s="45">
        <f t="shared" si="22"/>
        <v>-3.2650444604662345</v>
      </c>
      <c r="I31" s="45">
        <f t="shared" si="22"/>
        <v>85.461389089161273</v>
      </c>
      <c r="J31" s="45">
        <f t="shared" ref="J31" si="23">J30/J32*1000</f>
        <v>61.493203556837301</v>
      </c>
      <c r="K31" s="45"/>
      <c r="L31" s="45">
        <v>306.8</v>
      </c>
      <c r="M31" s="45">
        <v>216.07</v>
      </c>
      <c r="N31" s="45">
        <v>223.88</v>
      </c>
      <c r="O31" s="45">
        <v>229.78</v>
      </c>
      <c r="P31" s="45">
        <f t="shared" ref="P31:X31" si="24">P30/P32*1000</f>
        <v>342.11047187499992</v>
      </c>
      <c r="Q31" s="45">
        <f t="shared" si="24"/>
        <v>359.44467524942127</v>
      </c>
      <c r="R31" s="45">
        <f t="shared" si="24"/>
        <v>373.93935463742167</v>
      </c>
      <c r="S31" s="45">
        <f t="shared" si="24"/>
        <v>432.54150051253845</v>
      </c>
      <c r="T31" s="45">
        <f t="shared" si="24"/>
        <v>493.87638227948571</v>
      </c>
      <c r="U31" s="45">
        <f t="shared" si="24"/>
        <v>555.38875255071491</v>
      </c>
      <c r="V31" s="45">
        <f t="shared" si="24"/>
        <v>664.02571809823496</v>
      </c>
      <c r="W31" s="45">
        <f t="shared" si="24"/>
        <v>766.82701822156014</v>
      </c>
      <c r="X31" s="45">
        <f t="shared" si="24"/>
        <v>860.48521053192064</v>
      </c>
      <c r="Y31" s="45">
        <f t="shared" ref="Y31:Z31" si="25">Y30/Y32*1000</f>
        <v>954.33178267138089</v>
      </c>
      <c r="Z31" s="45">
        <f t="shared" si="25"/>
        <v>1022.7908566336739</v>
      </c>
    </row>
    <row r="32" spans="1:36" x14ac:dyDescent="0.2">
      <c r="B32" s="2" t="s">
        <v>7</v>
      </c>
      <c r="C32" s="43">
        <v>108727.46276456754</v>
      </c>
      <c r="D32" s="43">
        <v>108727.46276456754</v>
      </c>
      <c r="E32" s="43">
        <v>108727.46276456754</v>
      </c>
      <c r="F32" s="43">
        <v>108727.46276456754</v>
      </c>
      <c r="G32" s="43">
        <v>108727.46276456754</v>
      </c>
      <c r="H32" s="43">
        <v>108727.46276456754</v>
      </c>
      <c r="I32" s="43">
        <v>108727.46276456754</v>
      </c>
      <c r="J32" s="43">
        <v>108727.46276456754</v>
      </c>
      <c r="L32" s="43">
        <f>L30/L31*1000</f>
        <v>114234.02868318123</v>
      </c>
      <c r="M32" s="43">
        <f>M30/M31*1000</f>
        <v>109996.76030915907</v>
      </c>
      <c r="N32" s="43">
        <f>N30/N31*1000</f>
        <v>108191.88851170269</v>
      </c>
      <c r="O32" s="43">
        <f>O30/O31*1000</f>
        <v>106018.80059187049</v>
      </c>
      <c r="P32" s="43">
        <v>108000</v>
      </c>
      <c r="Q32" s="43">
        <v>108000</v>
      </c>
      <c r="R32" s="43">
        <v>108000</v>
      </c>
      <c r="S32" s="43">
        <v>108000</v>
      </c>
      <c r="T32" s="43">
        <v>108000</v>
      </c>
      <c r="U32" s="43">
        <v>108000</v>
      </c>
      <c r="V32" s="43">
        <v>108000</v>
      </c>
      <c r="W32" s="43">
        <v>108000</v>
      </c>
      <c r="X32" s="43">
        <v>108000</v>
      </c>
      <c r="Y32" s="43">
        <v>108000</v>
      </c>
      <c r="Z32" s="43">
        <v>108000</v>
      </c>
    </row>
    <row r="33" spans="1:26" x14ac:dyDescent="0.2">
      <c r="B33" s="2" t="s">
        <v>112</v>
      </c>
      <c r="C33" s="43"/>
      <c r="D33" s="43">
        <v>90</v>
      </c>
      <c r="E33" s="43"/>
      <c r="F33" s="43"/>
      <c r="H33" s="43">
        <v>90</v>
      </c>
      <c r="J33" s="43">
        <v>90</v>
      </c>
      <c r="L33" s="43">
        <v>202</v>
      </c>
      <c r="M33" s="43">
        <v>180</v>
      </c>
      <c r="N33" s="43">
        <v>180</v>
      </c>
      <c r="O33" s="43">
        <v>180</v>
      </c>
      <c r="P33" s="43">
        <v>180</v>
      </c>
      <c r="Q33" s="43">
        <v>180</v>
      </c>
      <c r="R33" s="43">
        <v>180</v>
      </c>
      <c r="S33" s="43">
        <v>180</v>
      </c>
      <c r="T33" s="43">
        <v>180</v>
      </c>
      <c r="U33" s="43">
        <v>180</v>
      </c>
      <c r="V33" s="43">
        <v>180</v>
      </c>
      <c r="W33" s="43">
        <v>180</v>
      </c>
      <c r="X33" s="43">
        <v>180</v>
      </c>
      <c r="Y33" s="43">
        <v>180</v>
      </c>
      <c r="Z33" s="43">
        <v>180</v>
      </c>
    </row>
    <row r="34" spans="1:26" x14ac:dyDescent="0.2">
      <c r="B34" s="2" t="s">
        <v>261</v>
      </c>
      <c r="C34" s="43"/>
      <c r="D34" s="43"/>
      <c r="E34" s="87">
        <f>E27/E26</f>
        <v>0.32939794783038695</v>
      </c>
      <c r="F34" s="87">
        <f t="shared" ref="F34:J34" si="26">F27/F26</f>
        <v>0.2660016625103907</v>
      </c>
      <c r="G34" s="87">
        <f t="shared" si="26"/>
        <v>0.34093959731543622</v>
      </c>
      <c r="H34" s="87">
        <f t="shared" si="26"/>
        <v>1.146265560165975</v>
      </c>
      <c r="I34" s="87">
        <f t="shared" si="26"/>
        <v>0.4314214463840399</v>
      </c>
      <c r="J34" s="87">
        <f t="shared" si="26"/>
        <v>0.18223788118090148</v>
      </c>
      <c r="L34" s="87">
        <f>L27/L26</f>
        <v>0.40396215952817033</v>
      </c>
      <c r="M34" s="87">
        <f t="shared" ref="M34:O34" si="27">M27/M26</f>
        <v>0.40398798142583991</v>
      </c>
      <c r="N34" s="87">
        <f t="shared" si="27"/>
        <v>0.33658536585365856</v>
      </c>
      <c r="O34" s="87">
        <f t="shared" si="27"/>
        <v>0.38427893026743315</v>
      </c>
      <c r="P34" s="87">
        <v>0.35</v>
      </c>
      <c r="Q34" s="87">
        <v>0.35</v>
      </c>
      <c r="R34" s="87">
        <v>0.35</v>
      </c>
      <c r="S34" s="87">
        <v>0.35</v>
      </c>
      <c r="T34" s="87">
        <v>0.35</v>
      </c>
      <c r="U34" s="87">
        <v>0.35</v>
      </c>
      <c r="V34" s="87">
        <v>0.35</v>
      </c>
      <c r="W34" s="87">
        <v>0.35</v>
      </c>
      <c r="X34" s="87">
        <v>0.35</v>
      </c>
      <c r="Y34" s="87">
        <v>0.35</v>
      </c>
      <c r="Z34" s="87">
        <v>0.35</v>
      </c>
    </row>
    <row r="35" spans="1:26" x14ac:dyDescent="0.2">
      <c r="B35" s="2" t="s">
        <v>260</v>
      </c>
      <c r="C35" s="87">
        <f>1-(C21/C20)</f>
        <v>0.8245639964528525</v>
      </c>
      <c r="D35" s="87">
        <f t="shared" ref="D35:O35" si="28">1-(D21/D20)</f>
        <v>0.82479631361025785</v>
      </c>
      <c r="E35" s="87">
        <f t="shared" si="28"/>
        <v>0.82160133224075493</v>
      </c>
      <c r="F35" s="87">
        <f t="shared" si="28"/>
        <v>0.79706354395767698</v>
      </c>
      <c r="G35" s="87">
        <f t="shared" si="28"/>
        <v>0.81260150293154232</v>
      </c>
      <c r="H35" s="87">
        <f t="shared" si="28"/>
        <v>0.80242900623504032</v>
      </c>
      <c r="I35" s="87">
        <f t="shared" si="28"/>
        <v>0.80617608409986863</v>
      </c>
      <c r="J35" s="87">
        <f t="shared" si="28"/>
        <v>0.78077167884096621</v>
      </c>
      <c r="K35" s="87"/>
      <c r="L35" s="87">
        <f t="shared" si="28"/>
        <v>0.85701654580597397</v>
      </c>
      <c r="M35" s="87">
        <f t="shared" si="28"/>
        <v>0.84388204193120819</v>
      </c>
      <c r="N35" s="87">
        <f t="shared" si="28"/>
        <v>0.81694576910280581</v>
      </c>
      <c r="O35" s="87">
        <f t="shared" si="28"/>
        <v>0.80115791712112172</v>
      </c>
      <c r="P35" s="87">
        <v>0.85</v>
      </c>
      <c r="Q35" s="87">
        <v>0.85</v>
      </c>
      <c r="R35" s="87">
        <v>0.85</v>
      </c>
      <c r="S35" s="87">
        <v>0.85</v>
      </c>
      <c r="T35" s="87">
        <v>0.85</v>
      </c>
      <c r="U35" s="87">
        <v>0.85</v>
      </c>
      <c r="V35" s="87">
        <v>0.85</v>
      </c>
      <c r="W35" s="87">
        <v>0.85</v>
      </c>
      <c r="X35" s="87">
        <v>0.85</v>
      </c>
      <c r="Y35" s="87">
        <v>0.85</v>
      </c>
      <c r="Z35" s="87">
        <v>0.85</v>
      </c>
    </row>
    <row r="36" spans="1:26" x14ac:dyDescent="0.2">
      <c r="C36" s="43"/>
      <c r="D36" s="43"/>
      <c r="E36" s="43"/>
      <c r="F36" s="43"/>
    </row>
    <row r="37" spans="1:26" x14ac:dyDescent="0.2">
      <c r="B37" s="10" t="s">
        <v>373</v>
      </c>
      <c r="C37" s="44">
        <f>C38+C43</f>
        <v>290988</v>
      </c>
      <c r="D37" s="44">
        <f t="shared" ref="D37:O37" si="29">D38+D43</f>
        <v>299069</v>
      </c>
      <c r="E37" s="44">
        <f t="shared" si="29"/>
        <v>291688</v>
      </c>
      <c r="F37" s="44">
        <f t="shared" si="29"/>
        <v>293923</v>
      </c>
      <c r="G37" s="44">
        <f t="shared" si="29"/>
        <v>288987</v>
      </c>
      <c r="H37" s="44">
        <f t="shared" si="29"/>
        <v>293708</v>
      </c>
      <c r="I37" s="44">
        <f t="shared" si="29"/>
        <v>276938</v>
      </c>
      <c r="J37" s="44">
        <f t="shared" si="29"/>
        <v>294465</v>
      </c>
      <c r="K37" s="44"/>
      <c r="L37" s="44">
        <f t="shared" si="29"/>
        <v>351665</v>
      </c>
      <c r="M37" s="44">
        <f t="shared" si="29"/>
        <v>294638</v>
      </c>
      <c r="N37" s="44">
        <f t="shared" si="29"/>
        <v>293923</v>
      </c>
      <c r="O37" s="44">
        <f t="shared" si="29"/>
        <v>294465</v>
      </c>
      <c r="P37" s="43">
        <f t="shared" ref="P37:Z37" si="30">O37+P30</f>
        <v>331412.93096249999</v>
      </c>
      <c r="Q37" s="43">
        <f t="shared" si="30"/>
        <v>370232.95588943746</v>
      </c>
      <c r="R37" s="43">
        <f t="shared" si="30"/>
        <v>410618.406190279</v>
      </c>
      <c r="S37" s="43">
        <f t="shared" si="30"/>
        <v>457332.88824563316</v>
      </c>
      <c r="T37" s="43">
        <f t="shared" si="30"/>
        <v>510671.53753181762</v>
      </c>
      <c r="U37" s="43">
        <f t="shared" si="30"/>
        <v>570653.52280729485</v>
      </c>
      <c r="V37" s="43">
        <f t="shared" si="30"/>
        <v>642368.3003619042</v>
      </c>
      <c r="W37" s="43">
        <f t="shared" si="30"/>
        <v>725185.61832983268</v>
      </c>
      <c r="X37" s="43">
        <f t="shared" si="30"/>
        <v>818118.02106728009</v>
      </c>
      <c r="Y37" s="43">
        <f t="shared" si="30"/>
        <v>921185.85359578917</v>
      </c>
      <c r="Z37" s="43">
        <f t="shared" si="30"/>
        <v>1031647.2661122259</v>
      </c>
    </row>
    <row r="38" spans="1:26" x14ac:dyDescent="0.2">
      <c r="B38" s="2" t="s">
        <v>8</v>
      </c>
      <c r="C38" s="43">
        <f>14831+99574</f>
        <v>114405</v>
      </c>
      <c r="D38" s="43">
        <f>16084+116113</f>
        <v>132197</v>
      </c>
      <c r="E38" s="43">
        <f>33004+84324</f>
        <v>117328</v>
      </c>
      <c r="F38" s="43">
        <v>125970</v>
      </c>
      <c r="G38" s="43">
        <f>19328+100708</f>
        <v>120036</v>
      </c>
      <c r="H38" s="43">
        <f>20647+111260</f>
        <v>131907</v>
      </c>
      <c r="I38" s="88">
        <f>20007+104820</f>
        <v>124827</v>
      </c>
      <c r="J38" s="43">
        <v>125774</v>
      </c>
      <c r="L38" s="43">
        <f>47433+820+96602</f>
        <v>144855</v>
      </c>
      <c r="M38" s="43">
        <f>53461+750+62800</f>
        <v>117011</v>
      </c>
      <c r="N38" s="43">
        <f>22446+103524</f>
        <v>125970</v>
      </c>
      <c r="O38" s="43">
        <f>20960+104814</f>
        <v>125774</v>
      </c>
    </row>
    <row r="39" spans="1:26" x14ac:dyDescent="0.2">
      <c r="B39" s="7" t="s">
        <v>114</v>
      </c>
      <c r="C39" s="44">
        <v>37163</v>
      </c>
      <c r="D39" s="44">
        <v>30290</v>
      </c>
      <c r="E39" s="44">
        <v>40943</v>
      </c>
      <c r="F39" s="43">
        <v>36704</v>
      </c>
      <c r="G39" s="43">
        <v>40935</v>
      </c>
      <c r="H39" s="43">
        <v>35502</v>
      </c>
      <c r="I39" s="88">
        <v>45593</v>
      </c>
      <c r="J39" s="44">
        <v>37853</v>
      </c>
      <c r="L39" s="43">
        <v>41107</v>
      </c>
      <c r="M39" s="43">
        <v>39480</v>
      </c>
      <c r="N39" s="43">
        <v>36704</v>
      </c>
      <c r="O39" s="44">
        <v>37853</v>
      </c>
    </row>
    <row r="40" spans="1:26" x14ac:dyDescent="0.2">
      <c r="B40" s="7" t="s">
        <v>92</v>
      </c>
      <c r="C40" s="44">
        <v>13855</v>
      </c>
      <c r="D40" s="44">
        <v>14163</v>
      </c>
      <c r="E40" s="44">
        <v>12917</v>
      </c>
      <c r="F40" s="43">
        <v>13048</v>
      </c>
      <c r="G40" s="43">
        <v>13687</v>
      </c>
      <c r="H40" s="43">
        <v>13590</v>
      </c>
      <c r="I40" s="88">
        <v>15143</v>
      </c>
      <c r="J40" s="44">
        <v>18638</v>
      </c>
      <c r="L40" s="43">
        <v>9972</v>
      </c>
      <c r="M40" s="43">
        <v>10059</v>
      </c>
      <c r="N40" s="43">
        <v>13048</v>
      </c>
      <c r="O40" s="44">
        <v>18638</v>
      </c>
    </row>
    <row r="41" spans="1:26" x14ac:dyDescent="0.2">
      <c r="B41" s="7" t="s">
        <v>93</v>
      </c>
      <c r="C41" s="44"/>
      <c r="D41" s="44"/>
      <c r="E41" s="44"/>
      <c r="F41" s="43">
        <v>13641</v>
      </c>
      <c r="I41" s="88"/>
      <c r="J41" s="44">
        <v>14809</v>
      </c>
      <c r="L41" s="43">
        <v>14775</v>
      </c>
      <c r="M41" s="43">
        <v>13061</v>
      </c>
      <c r="N41" s="43">
        <v>13641</v>
      </c>
      <c r="O41" s="44">
        <v>14809</v>
      </c>
      <c r="X41" s="90" t="s">
        <v>372</v>
      </c>
      <c r="Y41" s="87">
        <v>0.03</v>
      </c>
    </row>
    <row r="42" spans="1:26" x14ac:dyDescent="0.2">
      <c r="B42" s="7" t="s">
        <v>94</v>
      </c>
      <c r="C42" s="44">
        <v>49395</v>
      </c>
      <c r="D42" s="44">
        <v>49117</v>
      </c>
      <c r="E42" s="44">
        <v>48943</v>
      </c>
      <c r="F42" s="43">
        <v>48616</v>
      </c>
      <c r="G42" s="43">
        <v>48219</v>
      </c>
      <c r="H42" s="43">
        <v>48105</v>
      </c>
      <c r="I42" s="88">
        <v>47776</v>
      </c>
      <c r="J42" s="44">
        <v>47980</v>
      </c>
      <c r="L42" s="43">
        <v>51262</v>
      </c>
      <c r="M42" s="43">
        <v>50540</v>
      </c>
      <c r="N42" s="43">
        <v>48616</v>
      </c>
      <c r="O42" s="44">
        <v>47980</v>
      </c>
      <c r="X42" s="43" t="s">
        <v>262</v>
      </c>
      <c r="Y42" s="87">
        <v>0.12</v>
      </c>
    </row>
    <row r="43" spans="1:26" x14ac:dyDescent="0.2">
      <c r="B43" s="7" t="s">
        <v>371</v>
      </c>
      <c r="C43" s="44">
        <v>176583</v>
      </c>
      <c r="D43" s="44">
        <v>166872</v>
      </c>
      <c r="E43" s="44">
        <v>174360</v>
      </c>
      <c r="F43" s="43">
        <v>167953</v>
      </c>
      <c r="G43" s="43">
        <v>168951</v>
      </c>
      <c r="H43" s="43">
        <v>161801</v>
      </c>
      <c r="I43" s="88">
        <v>152111</v>
      </c>
      <c r="J43" s="44">
        <v>168691</v>
      </c>
      <c r="L43" s="43">
        <v>206810</v>
      </c>
      <c r="M43" s="43">
        <v>177627</v>
      </c>
      <c r="N43" s="43">
        <v>167953</v>
      </c>
      <c r="O43" s="44">
        <v>168691</v>
      </c>
      <c r="X43" s="43" t="s">
        <v>263</v>
      </c>
      <c r="Y43" s="43">
        <f>NPV(Y42,P30:AJ30)+O38+O43</f>
        <v>847995.87379004387</v>
      </c>
    </row>
    <row r="44" spans="1:26" x14ac:dyDescent="0.2">
      <c r="B44" s="7" t="s">
        <v>370</v>
      </c>
      <c r="C44" s="44">
        <f>22989-11+873+12030</f>
        <v>35881</v>
      </c>
      <c r="D44" s="44">
        <f>15819-11+909+13683</f>
        <v>30400</v>
      </c>
      <c r="E44" s="44">
        <f>16296-9+997+14315</f>
        <v>31599</v>
      </c>
      <c r="F44" s="43">
        <v>18511</v>
      </c>
      <c r="G44" s="43">
        <f>15198-5+925+15683</f>
        <v>31801</v>
      </c>
      <c r="H44" s="43">
        <f>16249-5+829+16578</f>
        <v>33651</v>
      </c>
      <c r="I44" s="88">
        <f>16943-5+928+18403</f>
        <v>36269</v>
      </c>
      <c r="J44" s="44">
        <v>22669</v>
      </c>
      <c r="L44" s="43">
        <f>-10+1358+706+20+1042+48+5396</f>
        <v>8560</v>
      </c>
      <c r="M44" s="43">
        <f>955+707+18+1033+5147+5651</f>
        <v>13511</v>
      </c>
      <c r="N44" s="43">
        <f>2016-9+5764+956+3790+5994</f>
        <v>18511</v>
      </c>
      <c r="O44" s="44">
        <f>5168-6+4579+995+5774+6159</f>
        <v>22669</v>
      </c>
    </row>
    <row r="45" spans="1:26" s="4" customFormat="1" x14ac:dyDescent="0.2">
      <c r="A45" s="3"/>
      <c r="B45" s="3" t="s">
        <v>9</v>
      </c>
      <c r="C45" s="42">
        <f>SUM(C38:C44)</f>
        <v>427282</v>
      </c>
      <c r="D45" s="42">
        <f t="shared" ref="D45:J45" si="31">SUM(D38:D44)</f>
        <v>423039</v>
      </c>
      <c r="E45" s="42">
        <f t="shared" si="31"/>
        <v>426090</v>
      </c>
      <c r="F45" s="42">
        <v>424443</v>
      </c>
      <c r="G45" s="42">
        <f t="shared" si="31"/>
        <v>423629</v>
      </c>
      <c r="H45" s="42">
        <f t="shared" si="31"/>
        <v>424556</v>
      </c>
      <c r="I45" s="42">
        <f>SUM(I38:I44)</f>
        <v>421719</v>
      </c>
      <c r="J45" s="42">
        <f t="shared" si="31"/>
        <v>436414</v>
      </c>
      <c r="K45" s="42"/>
      <c r="L45" s="42">
        <f>SUM(L38:L44)</f>
        <v>477341</v>
      </c>
      <c r="M45" s="42">
        <f t="shared" ref="M45:O45" si="32">SUM(M38:M44)</f>
        <v>421289</v>
      </c>
      <c r="N45" s="42">
        <f t="shared" si="32"/>
        <v>424443</v>
      </c>
      <c r="O45" s="42">
        <f t="shared" si="32"/>
        <v>436414</v>
      </c>
      <c r="P45" s="42"/>
      <c r="Q45" s="42"/>
      <c r="R45" s="42"/>
      <c r="S45" s="42"/>
      <c r="T45" s="42"/>
      <c r="U45" s="42"/>
      <c r="V45" s="42"/>
      <c r="W45" s="42"/>
      <c r="X45" s="43" t="s">
        <v>264</v>
      </c>
      <c r="Y45" s="43">
        <f>Y43/108</f>
        <v>7851.8136462041102</v>
      </c>
      <c r="Z45" s="42"/>
    </row>
    <row r="46" spans="1:26" x14ac:dyDescent="0.2">
      <c r="B46" s="2" t="s">
        <v>95</v>
      </c>
      <c r="C46" s="43">
        <v>16</v>
      </c>
      <c r="D46" s="43">
        <v>15</v>
      </c>
      <c r="E46" s="43">
        <v>15</v>
      </c>
      <c r="F46" s="43">
        <v>14</v>
      </c>
      <c r="G46" s="43">
        <v>14</v>
      </c>
      <c r="H46" s="43">
        <v>14</v>
      </c>
      <c r="I46" s="88">
        <f>2+12</f>
        <v>14</v>
      </c>
      <c r="J46" s="43">
        <v>86</v>
      </c>
      <c r="L46" s="43">
        <v>19</v>
      </c>
      <c r="M46" s="43">
        <v>18</v>
      </c>
      <c r="N46" s="43">
        <v>14</v>
      </c>
      <c r="O46" s="43">
        <f>13+73</f>
        <v>86</v>
      </c>
      <c r="Y46" s="93">
        <v>57</v>
      </c>
    </row>
    <row r="47" spans="1:26" x14ac:dyDescent="0.2">
      <c r="B47" s="2" t="s">
        <v>10</v>
      </c>
      <c r="C47" s="43">
        <v>3395</v>
      </c>
      <c r="D47" s="43">
        <v>3778</v>
      </c>
      <c r="E47" s="43">
        <v>4191</v>
      </c>
      <c r="F47" s="43">
        <v>5325</v>
      </c>
      <c r="G47" s="43">
        <v>4858</v>
      </c>
      <c r="H47" s="43">
        <v>4077</v>
      </c>
      <c r="I47" s="88">
        <v>4040</v>
      </c>
      <c r="J47" s="43">
        <v>5767</v>
      </c>
      <c r="L47" s="43">
        <v>2857</v>
      </c>
      <c r="M47" s="43">
        <v>2919</v>
      </c>
      <c r="N47" s="43">
        <v>5325</v>
      </c>
      <c r="O47" s="43">
        <v>5767</v>
      </c>
    </row>
    <row r="48" spans="1:26" ht="15" x14ac:dyDescent="0.25">
      <c r="B48" s="2" t="s">
        <v>96</v>
      </c>
      <c r="C48" s="43">
        <v>4443</v>
      </c>
      <c r="D48" s="43">
        <v>5061</v>
      </c>
      <c r="E48" s="43">
        <v>5305</v>
      </c>
      <c r="F48" s="43">
        <v>7422</v>
      </c>
      <c r="G48" s="43">
        <v>4551</v>
      </c>
      <c r="H48" s="43">
        <v>6489</v>
      </c>
      <c r="I48" s="88">
        <v>7221</v>
      </c>
      <c r="J48" s="43">
        <v>11469</v>
      </c>
      <c r="L48" s="43">
        <v>13837</v>
      </c>
      <c r="M48" s="43">
        <v>9130</v>
      </c>
      <c r="N48" s="43">
        <v>7422</v>
      </c>
      <c r="O48" s="43">
        <f>8876+2593</f>
        <v>11469</v>
      </c>
      <c r="R48" s="91"/>
      <c r="S48" s="91"/>
      <c r="T48" s="91"/>
      <c r="U48" s="91"/>
      <c r="V48" s="91"/>
      <c r="W48" s="91"/>
      <c r="X48" s="91"/>
      <c r="Y48" s="91"/>
      <c r="Z48" s="91"/>
    </row>
    <row r="49" spans="1:26" ht="15" x14ac:dyDescent="0.25">
      <c r="B49" s="2" t="s">
        <v>97</v>
      </c>
      <c r="C49" s="43">
        <f>16380+404+51+3081</f>
        <v>19916</v>
      </c>
      <c r="D49" s="43">
        <f>12200+441+51+3082</f>
        <v>15774</v>
      </c>
      <c r="E49" s="43">
        <f>14555+514+52+3071</f>
        <v>18192</v>
      </c>
      <c r="F49" s="43">
        <v>17109</v>
      </c>
      <c r="G49" s="43">
        <f>17526+616+52+3049</f>
        <v>21243</v>
      </c>
      <c r="H49" s="43">
        <f>15441+3054+864+53</f>
        <v>19412</v>
      </c>
      <c r="I49" s="88">
        <f>15093+1245+53+2689</f>
        <v>19080</v>
      </c>
      <c r="J49" s="43">
        <v>18124</v>
      </c>
      <c r="L49" s="43">
        <f>152+36+10676+1851+713+8668+8269</f>
        <v>30365</v>
      </c>
      <c r="M49" s="43">
        <f>487+17+1343+553+2240+2961+9+11562</f>
        <v>19172</v>
      </c>
      <c r="N49" s="43">
        <f>13449+84+547+2933+52+44</f>
        <v>17109</v>
      </c>
      <c r="O49" s="43">
        <f>16397+1628+53+46</f>
        <v>18124</v>
      </c>
      <c r="R49" s="91"/>
      <c r="S49" s="91"/>
      <c r="T49" s="91"/>
      <c r="U49" s="91"/>
      <c r="V49" s="91"/>
      <c r="W49" s="91"/>
      <c r="X49" s="91"/>
      <c r="Y49" s="91"/>
      <c r="Z49" s="91"/>
    </row>
    <row r="50" spans="1:26" s="4" customFormat="1" ht="15" x14ac:dyDescent="0.25">
      <c r="A50" s="3"/>
      <c r="B50" s="3" t="s">
        <v>11</v>
      </c>
      <c r="C50" s="42">
        <f>SUM(C46:C49)</f>
        <v>27770</v>
      </c>
      <c r="D50" s="42">
        <f t="shared" ref="D50:J50" si="33">SUM(D46:D49)</f>
        <v>24628</v>
      </c>
      <c r="E50" s="42">
        <f t="shared" si="33"/>
        <v>27703</v>
      </c>
      <c r="F50" s="42">
        <v>29870</v>
      </c>
      <c r="G50" s="42">
        <f t="shared" si="33"/>
        <v>30666</v>
      </c>
      <c r="H50" s="42">
        <f t="shared" si="33"/>
        <v>29992</v>
      </c>
      <c r="I50" s="42">
        <f t="shared" si="33"/>
        <v>30355</v>
      </c>
      <c r="J50" s="42">
        <f t="shared" si="33"/>
        <v>35446</v>
      </c>
      <c r="K50" s="42"/>
      <c r="L50" s="42">
        <f>SUM(L46:L49)</f>
        <v>47078</v>
      </c>
      <c r="M50" s="42">
        <f>SUM(M46:M49)</f>
        <v>31239</v>
      </c>
      <c r="N50" s="42">
        <f>SUM(N46:N49)</f>
        <v>29870</v>
      </c>
      <c r="O50" s="42">
        <f>SUM(O46:O49)</f>
        <v>35446</v>
      </c>
      <c r="P50" s="42"/>
      <c r="Q50" s="42"/>
      <c r="R50" s="91"/>
      <c r="S50" s="92"/>
      <c r="T50" s="92"/>
      <c r="U50" s="92"/>
      <c r="V50" s="92"/>
      <c r="W50" s="92"/>
      <c r="X50" s="92"/>
      <c r="Y50" s="92"/>
      <c r="Z50" s="92"/>
    </row>
    <row r="51" spans="1:26" ht="15" x14ac:dyDescent="0.25">
      <c r="B51" s="2" t="s">
        <v>12</v>
      </c>
      <c r="C51" s="43">
        <v>17358</v>
      </c>
      <c r="D51" s="43">
        <v>17358</v>
      </c>
      <c r="E51" s="43">
        <v>17358</v>
      </c>
      <c r="F51" s="43">
        <v>17358</v>
      </c>
      <c r="G51" s="43">
        <v>17358</v>
      </c>
      <c r="H51" s="43">
        <v>17358</v>
      </c>
      <c r="I51" s="88">
        <v>17358</v>
      </c>
      <c r="J51" s="43">
        <v>17358</v>
      </c>
      <c r="L51" s="43">
        <v>17358</v>
      </c>
      <c r="M51" s="43">
        <v>17358</v>
      </c>
      <c r="N51" s="43">
        <v>17358</v>
      </c>
      <c r="O51" s="43">
        <v>17358</v>
      </c>
      <c r="R51" s="46"/>
      <c r="S51" s="47"/>
      <c r="T51" s="47"/>
      <c r="U51" s="47"/>
      <c r="V51" s="47"/>
      <c r="W51" s="91"/>
      <c r="X51" s="91"/>
      <c r="Y51" s="91"/>
      <c r="Z51" s="91"/>
    </row>
    <row r="52" spans="1:26" ht="15" x14ac:dyDescent="0.25">
      <c r="B52" s="2" t="s">
        <v>98</v>
      </c>
      <c r="C52" s="43">
        <v>17080</v>
      </c>
      <c r="D52" s="43">
        <v>17080</v>
      </c>
      <c r="E52" s="43">
        <v>17080</v>
      </c>
      <c r="F52" s="43">
        <v>17080</v>
      </c>
      <c r="G52" s="43">
        <v>17080</v>
      </c>
      <c r="H52" s="43">
        <v>17080</v>
      </c>
      <c r="I52" s="88">
        <v>17080</v>
      </c>
      <c r="J52" s="43">
        <v>17080</v>
      </c>
      <c r="L52" s="43">
        <v>17080</v>
      </c>
      <c r="M52" s="43">
        <v>17080</v>
      </c>
      <c r="N52" s="43">
        <v>17080</v>
      </c>
      <c r="O52" s="43">
        <v>17080</v>
      </c>
      <c r="R52" s="46"/>
      <c r="S52" s="47"/>
      <c r="T52" s="47"/>
      <c r="U52" s="47"/>
      <c r="V52" s="47"/>
      <c r="W52" s="91"/>
      <c r="X52" s="91"/>
      <c r="Y52" s="91"/>
      <c r="Z52" s="91"/>
    </row>
    <row r="53" spans="1:26" ht="15" x14ac:dyDescent="0.25">
      <c r="B53" s="2" t="s">
        <v>115</v>
      </c>
      <c r="C53" s="43">
        <v>429421</v>
      </c>
      <c r="D53" s="43">
        <v>430425</v>
      </c>
      <c r="E53" s="43">
        <v>430321</v>
      </c>
      <c r="F53" s="43">
        <v>435536</v>
      </c>
      <c r="G53" s="43">
        <v>419314</v>
      </c>
      <c r="H53" s="43">
        <v>419351</v>
      </c>
      <c r="I53" s="88">
        <v>419102</v>
      </c>
      <c r="J53" s="43">
        <v>425787</v>
      </c>
      <c r="L53" s="43">
        <v>421279</v>
      </c>
      <c r="M53" s="43">
        <v>422565</v>
      </c>
      <c r="N53" s="43">
        <v>435536</v>
      </c>
      <c r="O53" s="43">
        <v>425787</v>
      </c>
      <c r="R53" s="46"/>
      <c r="S53" s="47"/>
      <c r="T53" s="47"/>
      <c r="U53" s="47"/>
      <c r="V53" s="47"/>
      <c r="W53" s="91"/>
      <c r="X53" s="91"/>
      <c r="Y53" s="91"/>
      <c r="Z53" s="91"/>
    </row>
    <row r="54" spans="1:26" ht="15" x14ac:dyDescent="0.25">
      <c r="B54" s="2" t="s">
        <v>99</v>
      </c>
      <c r="C54" s="43">
        <v>-63443</v>
      </c>
      <c r="D54" s="43">
        <v>-63446</v>
      </c>
      <c r="E54" s="43">
        <v>-66105</v>
      </c>
      <c r="F54" s="43">
        <v>-74219</v>
      </c>
      <c r="G54" s="43">
        <v>-59196</v>
      </c>
      <c r="H54" s="43">
        <v>-59200</v>
      </c>
      <c r="I54" s="88">
        <v>-59201</v>
      </c>
      <c r="J54" s="43">
        <v>-59204</v>
      </c>
      <c r="L54" s="43">
        <v>-36861</v>
      </c>
      <c r="M54" s="43">
        <v>-63425</v>
      </c>
      <c r="N54" s="43">
        <v>-74219</v>
      </c>
      <c r="O54" s="43">
        <v>-59204</v>
      </c>
      <c r="R54" s="21"/>
      <c r="S54" s="48"/>
      <c r="T54" s="48"/>
      <c r="U54" s="48"/>
      <c r="V54" s="47"/>
      <c r="W54" s="91"/>
      <c r="X54" s="91"/>
      <c r="Y54" s="91"/>
      <c r="Z54" s="91"/>
    </row>
    <row r="55" spans="1:26" ht="15" x14ac:dyDescent="0.25">
      <c r="B55" s="2" t="s">
        <v>100</v>
      </c>
      <c r="C55" s="43">
        <f>4543-8938-180</f>
        <v>-4575</v>
      </c>
      <c r="D55" s="43">
        <f>2417-8938-216</f>
        <v>-6737</v>
      </c>
      <c r="E55" s="43">
        <f>5127-8938-243</f>
        <v>-4054</v>
      </c>
      <c r="F55" s="43">
        <v>-5042</v>
      </c>
      <c r="G55" s="43">
        <v>-5548</v>
      </c>
      <c r="H55" s="43">
        <v>-4058</v>
      </c>
      <c r="I55" s="88">
        <v>-6071</v>
      </c>
      <c r="J55" s="43">
        <v>-3129</v>
      </c>
      <c r="L55" s="43">
        <f>17112-8919-22</f>
        <v>8171</v>
      </c>
      <c r="M55" s="43">
        <f>2171-8923-204</f>
        <v>-6956</v>
      </c>
      <c r="N55" s="43">
        <v>-5042</v>
      </c>
      <c r="O55" s="43">
        <v>-3129</v>
      </c>
      <c r="R55" s="26"/>
      <c r="S55" s="48"/>
      <c r="T55" s="48"/>
      <c r="U55" s="48"/>
      <c r="V55" s="47"/>
      <c r="W55" s="91"/>
      <c r="X55" s="91"/>
      <c r="Y55" s="91"/>
      <c r="Z55" s="91"/>
    </row>
    <row r="56" spans="1:26" ht="15" x14ac:dyDescent="0.25">
      <c r="B56" s="2" t="s">
        <v>101</v>
      </c>
      <c r="C56" s="43">
        <v>3671</v>
      </c>
      <c r="D56" s="43">
        <v>3731</v>
      </c>
      <c r="E56" s="43">
        <v>3787</v>
      </c>
      <c r="F56" s="43">
        <v>3860</v>
      </c>
      <c r="G56" s="43">
        <v>3955</v>
      </c>
      <c r="H56" s="43">
        <v>4033</v>
      </c>
      <c r="I56" s="88">
        <v>3096</v>
      </c>
      <c r="J56" s="43">
        <v>3076</v>
      </c>
      <c r="L56" s="43">
        <v>3236</v>
      </c>
      <c r="M56" s="43">
        <v>3419</v>
      </c>
      <c r="N56" s="43">
        <v>3860</v>
      </c>
      <c r="O56" s="43">
        <v>3076</v>
      </c>
      <c r="R56" s="26"/>
      <c r="S56" s="48"/>
      <c r="T56" s="48"/>
      <c r="U56" s="48"/>
      <c r="V56" s="47"/>
      <c r="W56" s="91"/>
      <c r="X56" s="91"/>
      <c r="Y56" s="91"/>
      <c r="Z56" s="91"/>
    </row>
    <row r="57" spans="1:26" ht="15" x14ac:dyDescent="0.25">
      <c r="B57" s="2" t="s">
        <v>13</v>
      </c>
      <c r="C57" s="43">
        <f>SUM(C51:C56)</f>
        <v>399512</v>
      </c>
      <c r="D57" s="43">
        <f t="shared" ref="D57:J57" si="34">SUM(D51:D56)</f>
        <v>398411</v>
      </c>
      <c r="E57" s="43">
        <f t="shared" si="34"/>
        <v>398387</v>
      </c>
      <c r="F57" s="43">
        <v>394573</v>
      </c>
      <c r="G57" s="43">
        <f t="shared" si="34"/>
        <v>392963</v>
      </c>
      <c r="H57" s="43">
        <f t="shared" si="34"/>
        <v>394564</v>
      </c>
      <c r="I57" s="43">
        <f t="shared" si="34"/>
        <v>391364</v>
      </c>
      <c r="J57" s="43">
        <f t="shared" si="34"/>
        <v>400968</v>
      </c>
      <c r="L57" s="43">
        <f t="shared" ref="L57:M57" si="35">SUM(L51:L56)</f>
        <v>430263</v>
      </c>
      <c r="M57" s="43">
        <f t="shared" si="35"/>
        <v>390041</v>
      </c>
      <c r="N57" s="43">
        <f>SUM(N51:N56)</f>
        <v>394573</v>
      </c>
      <c r="O57" s="43">
        <f>SUM(O51:O56)</f>
        <v>400968</v>
      </c>
      <c r="R57" s="26"/>
      <c r="S57" s="48"/>
      <c r="T57" s="48"/>
      <c r="U57" s="48"/>
      <c r="V57" s="47"/>
      <c r="W57" s="91"/>
      <c r="X57" s="91"/>
      <c r="Y57" s="91"/>
      <c r="Z57" s="91"/>
    </row>
    <row r="58" spans="1:26" ht="15" x14ac:dyDescent="0.25">
      <c r="B58" s="2" t="s">
        <v>14</v>
      </c>
      <c r="C58" s="43">
        <f>C57+C50</f>
        <v>427282</v>
      </c>
      <c r="D58" s="43">
        <f t="shared" ref="D58:J58" si="36">D57+D50</f>
        <v>423039</v>
      </c>
      <c r="E58" s="43">
        <f t="shared" si="36"/>
        <v>426090</v>
      </c>
      <c r="F58" s="43">
        <v>424443</v>
      </c>
      <c r="G58" s="43">
        <f t="shared" si="36"/>
        <v>423629</v>
      </c>
      <c r="H58" s="43">
        <f t="shared" si="36"/>
        <v>424556</v>
      </c>
      <c r="I58" s="43">
        <f t="shared" si="36"/>
        <v>421719</v>
      </c>
      <c r="J58" s="43">
        <f t="shared" si="36"/>
        <v>436414</v>
      </c>
      <c r="L58" s="43">
        <f t="shared" ref="L58:M58" si="37">L57+L50</f>
        <v>477341</v>
      </c>
      <c r="M58" s="43">
        <f t="shared" si="37"/>
        <v>421280</v>
      </c>
      <c r="N58" s="43">
        <f t="shared" ref="N58" si="38">N57+N50</f>
        <v>424443</v>
      </c>
      <c r="O58" s="43">
        <f t="shared" ref="O58" si="39">O57+O50</f>
        <v>436414</v>
      </c>
      <c r="R58" s="26"/>
      <c r="S58" s="48"/>
      <c r="T58" s="48"/>
      <c r="U58" s="48"/>
      <c r="V58" s="47"/>
      <c r="W58" s="91"/>
      <c r="X58" s="91"/>
      <c r="Y58" s="91"/>
      <c r="Z58" s="91"/>
    </row>
    <row r="59" spans="1:26" ht="15" x14ac:dyDescent="0.25">
      <c r="R59" s="26"/>
      <c r="S59" s="48"/>
      <c r="T59" s="48"/>
      <c r="U59" s="48"/>
      <c r="V59" s="47"/>
      <c r="W59" s="91"/>
      <c r="X59" s="91"/>
      <c r="Y59" s="91"/>
      <c r="Z59" s="91"/>
    </row>
    <row r="60" spans="1:26" ht="15" x14ac:dyDescent="0.25">
      <c r="R60" s="26"/>
      <c r="S60" s="48"/>
      <c r="T60" s="48"/>
      <c r="U60" s="48"/>
      <c r="V60" s="47"/>
      <c r="W60" s="91"/>
      <c r="X60" s="91"/>
      <c r="Y60" s="91"/>
      <c r="Z60" s="91"/>
    </row>
    <row r="61" spans="1:26" ht="15" x14ac:dyDescent="0.25">
      <c r="R61" s="26"/>
      <c r="S61" s="48"/>
      <c r="T61" s="48"/>
      <c r="U61" s="48"/>
      <c r="V61" s="47"/>
      <c r="W61" s="91"/>
      <c r="X61" s="91"/>
      <c r="Y61" s="91"/>
      <c r="Z61" s="91"/>
    </row>
  </sheetData>
  <hyperlinks>
    <hyperlink ref="A1" location="Main!A1" display="Main!A1"/>
  </hyperlinks>
  <pageMargins left="0.25" right="0.25" top="0.75" bottom="0.75" header="0.3" footer="0.3"/>
  <pageSetup scale="52"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topLeftCell="A4" workbookViewId="0">
      <selection activeCell="B17" sqref="B17:G28"/>
    </sheetView>
  </sheetViews>
  <sheetFormatPr defaultRowHeight="15" x14ac:dyDescent="0.25"/>
  <cols>
    <col min="2" max="2" width="20.28515625" bestFit="1" customWidth="1"/>
    <col min="3" max="3" width="11.85546875" customWidth="1"/>
    <col min="4" max="4" width="9.7109375" bestFit="1" customWidth="1"/>
    <col min="5" max="5" width="10.7109375" bestFit="1" customWidth="1"/>
    <col min="6" max="6" width="10.140625" customWidth="1"/>
    <col min="7" max="8" width="9.7109375" bestFit="1" customWidth="1"/>
    <col min="9" max="9" width="10.7109375" bestFit="1" customWidth="1"/>
    <col min="10" max="10" width="9.7109375" bestFit="1" customWidth="1"/>
    <col min="14" max="14" width="10.140625" bestFit="1" customWidth="1"/>
    <col min="15" max="15" width="12.7109375" bestFit="1" customWidth="1"/>
    <col min="16" max="16" width="9.28515625" bestFit="1" customWidth="1"/>
  </cols>
  <sheetData>
    <row r="1" spans="1:16" x14ac:dyDescent="0.25">
      <c r="A1" s="1" t="s">
        <v>0</v>
      </c>
    </row>
    <row r="2" spans="1:16" x14ac:dyDescent="0.25">
      <c r="A2" s="1"/>
      <c r="C2" t="s">
        <v>117</v>
      </c>
    </row>
    <row r="3" spans="1:16" x14ac:dyDescent="0.25">
      <c r="C3" t="s">
        <v>122</v>
      </c>
      <c r="D3" t="s">
        <v>119</v>
      </c>
      <c r="E3" t="s">
        <v>120</v>
      </c>
      <c r="F3" t="s">
        <v>121</v>
      </c>
      <c r="G3" t="s">
        <v>116</v>
      </c>
      <c r="H3" t="s">
        <v>2</v>
      </c>
      <c r="I3" t="s">
        <v>3</v>
      </c>
      <c r="J3" t="s">
        <v>4</v>
      </c>
    </row>
    <row r="4" spans="1:16" x14ac:dyDescent="0.25">
      <c r="C4" s="41">
        <v>40359</v>
      </c>
      <c r="D4" s="41">
        <v>40451</v>
      </c>
      <c r="E4" s="41">
        <v>40543</v>
      </c>
      <c r="F4" s="41">
        <v>40633</v>
      </c>
      <c r="G4" s="41">
        <v>40724</v>
      </c>
      <c r="H4" s="41">
        <v>40816</v>
      </c>
      <c r="I4" s="41">
        <v>40908</v>
      </c>
      <c r="J4" s="41">
        <v>40999</v>
      </c>
    </row>
    <row r="5" spans="1:16" x14ac:dyDescent="0.25">
      <c r="B5" s="23" t="s">
        <v>26</v>
      </c>
      <c r="C5" s="47"/>
      <c r="D5" s="47"/>
      <c r="E5" s="47"/>
      <c r="F5" s="47"/>
      <c r="J5">
        <v>12</v>
      </c>
      <c r="N5" t="s">
        <v>265</v>
      </c>
      <c r="O5" t="s">
        <v>266</v>
      </c>
      <c r="P5" t="s">
        <v>267</v>
      </c>
    </row>
    <row r="6" spans="1:16" x14ac:dyDescent="0.25">
      <c r="B6" s="23" t="s">
        <v>30</v>
      </c>
      <c r="C6" s="47">
        <v>9</v>
      </c>
      <c r="D6" s="47">
        <v>11</v>
      </c>
      <c r="E6" s="47">
        <f>35-D6-C6</f>
        <v>15</v>
      </c>
      <c r="F6" s="47">
        <f>F19-SUM(C6:E6)</f>
        <v>12</v>
      </c>
      <c r="G6">
        <v>16</v>
      </c>
      <c r="H6">
        <v>16</v>
      </c>
      <c r="I6">
        <f>50-H6-G6</f>
        <v>18</v>
      </c>
      <c r="J6">
        <f>66-SUM(G6:I6)</f>
        <v>16</v>
      </c>
      <c r="N6" s="57">
        <v>50000000</v>
      </c>
      <c r="O6" s="57">
        <f>N6*80</f>
        <v>4000000000</v>
      </c>
      <c r="P6" s="57">
        <f>O6/1000000</f>
        <v>4000</v>
      </c>
    </row>
    <row r="7" spans="1:16" x14ac:dyDescent="0.25">
      <c r="B7" s="23" t="s">
        <v>34</v>
      </c>
      <c r="C7" s="47">
        <v>15</v>
      </c>
      <c r="D7" s="47">
        <v>19</v>
      </c>
      <c r="E7" s="47">
        <f>65-D7-C7</f>
        <v>31</v>
      </c>
      <c r="F7" s="47">
        <f t="shared" ref="F7:F15" si="0">F20-SUM(C7:E7)</f>
        <v>46</v>
      </c>
      <c r="G7">
        <v>62</v>
      </c>
      <c r="H7">
        <f>128-62</f>
        <v>66</v>
      </c>
      <c r="I7">
        <f>208-H7-G7</f>
        <v>80</v>
      </c>
      <c r="J7">
        <f>279-SUM(G7:I7)</f>
        <v>71</v>
      </c>
    </row>
    <row r="8" spans="1:16" x14ac:dyDescent="0.25">
      <c r="B8" s="25" t="s">
        <v>37</v>
      </c>
      <c r="C8" s="48">
        <v>5</v>
      </c>
      <c r="D8" s="48">
        <v>4</v>
      </c>
      <c r="E8" s="48">
        <f>15-9</f>
        <v>6</v>
      </c>
      <c r="F8" s="47">
        <f t="shared" si="0"/>
        <v>5</v>
      </c>
      <c r="G8">
        <v>5</v>
      </c>
      <c r="H8">
        <v>8</v>
      </c>
      <c r="I8">
        <v>9</v>
      </c>
      <c r="J8">
        <f>35-SUM(G8:I8)</f>
        <v>13</v>
      </c>
    </row>
    <row r="9" spans="1:16" x14ac:dyDescent="0.25">
      <c r="B9" s="28" t="s">
        <v>40</v>
      </c>
      <c r="C9" s="48">
        <v>15</v>
      </c>
      <c r="D9" s="48">
        <v>12</v>
      </c>
      <c r="E9" s="48">
        <f>43-D9-C9</f>
        <v>16</v>
      </c>
      <c r="F9" s="47">
        <f t="shared" si="0"/>
        <v>15</v>
      </c>
      <c r="G9">
        <v>16</v>
      </c>
      <c r="H9">
        <v>13</v>
      </c>
      <c r="I9">
        <f>46-G9-H9</f>
        <v>17</v>
      </c>
    </row>
    <row r="10" spans="1:16" x14ac:dyDescent="0.25">
      <c r="B10" s="28" t="s">
        <v>45</v>
      </c>
      <c r="C10" s="48">
        <f>52+21</f>
        <v>73</v>
      </c>
      <c r="D10" s="48">
        <f>92+37-73</f>
        <v>56</v>
      </c>
      <c r="E10" s="48">
        <f>146+65-D10-C10</f>
        <v>82</v>
      </c>
      <c r="F10" s="47">
        <f t="shared" si="0"/>
        <v>89</v>
      </c>
      <c r="G10">
        <f>52+19</f>
        <v>71</v>
      </c>
      <c r="H10">
        <f>88+33-71</f>
        <v>50</v>
      </c>
      <c r="I10">
        <f>139+57-H10-G10</f>
        <v>75</v>
      </c>
      <c r="J10">
        <f>191+76-SUM(G10:I10)</f>
        <v>71</v>
      </c>
    </row>
    <row r="11" spans="1:16" x14ac:dyDescent="0.25">
      <c r="B11" s="28" t="s">
        <v>48</v>
      </c>
      <c r="C11" s="48">
        <v>105</v>
      </c>
      <c r="D11" s="48">
        <f>98</f>
        <v>98</v>
      </c>
      <c r="E11" s="48">
        <f>314-C11-D11</f>
        <v>111</v>
      </c>
      <c r="F11" s="47">
        <f t="shared" si="0"/>
        <v>87</v>
      </c>
      <c r="G11">
        <v>101</v>
      </c>
      <c r="H11">
        <v>100</v>
      </c>
      <c r="I11">
        <f>312-H11-G11</f>
        <v>111</v>
      </c>
      <c r="J11">
        <f>395-I11-H11-G11</f>
        <v>83</v>
      </c>
    </row>
    <row r="12" spans="1:16" x14ac:dyDescent="0.25">
      <c r="B12" s="28" t="s">
        <v>91</v>
      </c>
      <c r="C12" s="48">
        <v>37</v>
      </c>
      <c r="D12" s="48">
        <v>32</v>
      </c>
      <c r="E12" s="48">
        <f>105-D12-C12</f>
        <v>36</v>
      </c>
      <c r="F12" s="47">
        <f t="shared" si="0"/>
        <v>27</v>
      </c>
      <c r="G12">
        <v>31</v>
      </c>
      <c r="H12">
        <v>28</v>
      </c>
      <c r="I12">
        <f>90-H12-G12</f>
        <v>31</v>
      </c>
      <c r="J12">
        <f>112-SUM(G12:I12)</f>
        <v>22</v>
      </c>
    </row>
    <row r="13" spans="1:16" x14ac:dyDescent="0.25">
      <c r="B13" s="28" t="s">
        <v>54</v>
      </c>
      <c r="C13" s="48">
        <v>13</v>
      </c>
      <c r="D13" s="48">
        <v>11</v>
      </c>
      <c r="E13" s="48">
        <f>39-C13-D13</f>
        <v>15</v>
      </c>
      <c r="F13" s="47">
        <f t="shared" si="0"/>
        <v>11</v>
      </c>
      <c r="G13">
        <v>11</v>
      </c>
      <c r="H13">
        <v>10</v>
      </c>
      <c r="I13">
        <f>34-H13-G13</f>
        <v>13</v>
      </c>
      <c r="J13">
        <f>44-SUM(G13:I13)</f>
        <v>10</v>
      </c>
    </row>
    <row r="14" spans="1:16" x14ac:dyDescent="0.25">
      <c r="B14" s="28" t="s">
        <v>57</v>
      </c>
      <c r="C14" s="48">
        <v>30</v>
      </c>
      <c r="D14" s="48">
        <v>26</v>
      </c>
      <c r="E14" s="48">
        <f>87-D14-C14</f>
        <v>31</v>
      </c>
      <c r="F14" s="47">
        <f t="shared" si="0"/>
        <v>23</v>
      </c>
      <c r="G14">
        <v>27</v>
      </c>
      <c r="H14">
        <v>25</v>
      </c>
      <c r="I14">
        <f>81-H14-G14</f>
        <v>29</v>
      </c>
      <c r="J14">
        <f>102-SUM(G14:I14)</f>
        <v>21</v>
      </c>
    </row>
    <row r="15" spans="1:16" x14ac:dyDescent="0.25">
      <c r="B15" s="30" t="s">
        <v>60</v>
      </c>
      <c r="C15" s="48">
        <v>9</v>
      </c>
      <c r="D15" s="48">
        <v>17</v>
      </c>
      <c r="E15" s="48">
        <f>29-D15-C15</f>
        <v>3</v>
      </c>
      <c r="F15" s="47">
        <f t="shared" si="0"/>
        <v>7</v>
      </c>
      <c r="G15">
        <v>9</v>
      </c>
      <c r="H15">
        <v>8</v>
      </c>
      <c r="I15">
        <f>27-H15-G15</f>
        <v>10</v>
      </c>
      <c r="J15">
        <f>33-SUM(G15:I15)</f>
        <v>6</v>
      </c>
    </row>
    <row r="17" spans="2:7" x14ac:dyDescent="0.25">
      <c r="C17" s="48">
        <v>2007</v>
      </c>
      <c r="D17" s="48">
        <v>2008</v>
      </c>
      <c r="E17" s="48">
        <v>2009</v>
      </c>
      <c r="F17" s="48">
        <v>2010</v>
      </c>
      <c r="G17" s="48">
        <v>2011</v>
      </c>
    </row>
    <row r="18" spans="2:7" x14ac:dyDescent="0.25">
      <c r="B18" s="46" t="s">
        <v>26</v>
      </c>
      <c r="G18">
        <v>12</v>
      </c>
    </row>
    <row r="19" spans="2:7" x14ac:dyDescent="0.25">
      <c r="B19" s="46" t="s">
        <v>30</v>
      </c>
      <c r="F19">
        <v>47</v>
      </c>
      <c r="G19">
        <f>SUM(G6:J6)</f>
        <v>66</v>
      </c>
    </row>
    <row r="20" spans="2:7" x14ac:dyDescent="0.25">
      <c r="B20" s="46" t="s">
        <v>34</v>
      </c>
      <c r="F20">
        <v>111</v>
      </c>
      <c r="G20">
        <f t="shared" ref="G20:G28" si="1">SUM(G7:J7)</f>
        <v>279</v>
      </c>
    </row>
    <row r="21" spans="2:7" x14ac:dyDescent="0.25">
      <c r="B21" s="21" t="s">
        <v>37</v>
      </c>
      <c r="F21">
        <v>20</v>
      </c>
      <c r="G21">
        <f t="shared" si="1"/>
        <v>35</v>
      </c>
    </row>
    <row r="22" spans="2:7" x14ac:dyDescent="0.25">
      <c r="B22" s="26" t="s">
        <v>40</v>
      </c>
      <c r="D22">
        <v>5</v>
      </c>
      <c r="E22">
        <v>22</v>
      </c>
      <c r="F22">
        <v>58</v>
      </c>
      <c r="G22">
        <f t="shared" si="1"/>
        <v>46</v>
      </c>
    </row>
    <row r="23" spans="2:7" x14ac:dyDescent="0.25">
      <c r="B23" s="26" t="s">
        <v>45</v>
      </c>
      <c r="C23">
        <f>268+114</f>
        <v>382</v>
      </c>
      <c r="D23">
        <f>271+110</f>
        <v>381</v>
      </c>
      <c r="E23">
        <f>244+89</f>
        <v>333</v>
      </c>
      <c r="F23">
        <f>215+85</f>
        <v>300</v>
      </c>
      <c r="G23">
        <f t="shared" si="1"/>
        <v>267</v>
      </c>
    </row>
    <row r="24" spans="2:7" x14ac:dyDescent="0.25">
      <c r="B24" s="26" t="s">
        <v>48</v>
      </c>
      <c r="C24">
        <v>338</v>
      </c>
      <c r="D24">
        <v>373</v>
      </c>
      <c r="E24">
        <v>381</v>
      </c>
      <c r="F24">
        <v>401</v>
      </c>
      <c r="G24">
        <f t="shared" si="1"/>
        <v>395</v>
      </c>
    </row>
    <row r="25" spans="2:7" x14ac:dyDescent="0.25">
      <c r="B25" s="26" t="s">
        <v>91</v>
      </c>
      <c r="C25">
        <v>173</v>
      </c>
      <c r="D25">
        <v>174</v>
      </c>
      <c r="E25">
        <v>158</v>
      </c>
      <c r="F25">
        <v>132</v>
      </c>
      <c r="G25">
        <f t="shared" si="1"/>
        <v>112</v>
      </c>
    </row>
    <row r="26" spans="2:7" x14ac:dyDescent="0.25">
      <c r="B26" s="26" t="s">
        <v>54</v>
      </c>
      <c r="C26">
        <v>53</v>
      </c>
      <c r="D26">
        <v>54</v>
      </c>
      <c r="E26">
        <v>50</v>
      </c>
      <c r="F26">
        <v>50</v>
      </c>
      <c r="G26">
        <f t="shared" si="1"/>
        <v>44</v>
      </c>
    </row>
    <row r="27" spans="2:7" x14ac:dyDescent="0.25">
      <c r="B27" s="26" t="s">
        <v>57</v>
      </c>
      <c r="D27">
        <v>134</v>
      </c>
      <c r="E27">
        <v>121</v>
      </c>
      <c r="F27">
        <v>110</v>
      </c>
      <c r="G27">
        <f t="shared" si="1"/>
        <v>102</v>
      </c>
    </row>
    <row r="28" spans="2:7" x14ac:dyDescent="0.25">
      <c r="B28" s="32" t="s">
        <v>60</v>
      </c>
      <c r="C28" s="49">
        <v>9</v>
      </c>
      <c r="D28" s="49">
        <v>19</v>
      </c>
      <c r="E28" s="49">
        <v>27</v>
      </c>
      <c r="F28" s="49">
        <v>36</v>
      </c>
      <c r="G28" s="49">
        <f t="shared" si="1"/>
        <v>33</v>
      </c>
    </row>
    <row r="29" spans="2:7" x14ac:dyDescent="0.25">
      <c r="B29" s="26" t="s">
        <v>123</v>
      </c>
      <c r="C29">
        <f>SUM(C18:C28)</f>
        <v>955</v>
      </c>
      <c r="D29">
        <f t="shared" ref="D29:G29" si="2">SUM(D18:D28)</f>
        <v>1140</v>
      </c>
      <c r="E29">
        <f t="shared" si="2"/>
        <v>1092</v>
      </c>
      <c r="F29">
        <f t="shared" si="2"/>
        <v>1265</v>
      </c>
      <c r="G29">
        <f t="shared" si="2"/>
        <v>1391</v>
      </c>
    </row>
    <row r="37" spans="2:12" x14ac:dyDescent="0.25">
      <c r="C37" t="s">
        <v>257</v>
      </c>
      <c r="D37" t="s">
        <v>258</v>
      </c>
      <c r="E37" t="s">
        <v>122</v>
      </c>
      <c r="F37" t="s">
        <v>119</v>
      </c>
      <c r="G37" t="s">
        <v>120</v>
      </c>
      <c r="H37" t="s">
        <v>121</v>
      </c>
      <c r="I37" t="s">
        <v>116</v>
      </c>
      <c r="J37" t="s">
        <v>2</v>
      </c>
      <c r="K37" t="s">
        <v>3</v>
      </c>
      <c r="L37" t="s">
        <v>4</v>
      </c>
    </row>
    <row r="38" spans="2:12" x14ac:dyDescent="0.25">
      <c r="B38" s="23" t="s">
        <v>34</v>
      </c>
      <c r="C38" s="46">
        <v>4</v>
      </c>
      <c r="D38" s="46">
        <v>5</v>
      </c>
      <c r="E38" s="47">
        <v>15</v>
      </c>
      <c r="F38" s="47">
        <v>19</v>
      </c>
      <c r="G38" s="47">
        <v>31</v>
      </c>
      <c r="H38" s="47">
        <v>46</v>
      </c>
      <c r="I38">
        <v>62</v>
      </c>
      <c r="J38">
        <v>66</v>
      </c>
      <c r="K38">
        <v>80</v>
      </c>
      <c r="L38">
        <v>71</v>
      </c>
    </row>
  </sheetData>
  <hyperlinks>
    <hyperlink ref="A1" location="Main!A1" display="Main!A1"/>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workbookViewId="0">
      <selection activeCell="C22" sqref="C22"/>
    </sheetView>
  </sheetViews>
  <sheetFormatPr defaultRowHeight="12.75" x14ac:dyDescent="0.2"/>
  <cols>
    <col min="1" max="1" width="9.140625" style="9"/>
    <col min="2" max="2" width="14.42578125" style="9" bestFit="1" customWidth="1"/>
    <col min="3" max="3" width="17.7109375" style="9" customWidth="1"/>
    <col min="4" max="4" width="12" style="9" customWidth="1"/>
    <col min="5" max="16384" width="9.140625" style="9"/>
  </cols>
  <sheetData>
    <row r="1" spans="1:6" x14ac:dyDescent="0.2">
      <c r="A1" s="35" t="s">
        <v>0</v>
      </c>
      <c r="B1" s="37"/>
      <c r="C1" s="37"/>
      <c r="D1" s="37"/>
      <c r="E1" s="37"/>
      <c r="F1" s="37"/>
    </row>
    <row r="2" spans="1:6" x14ac:dyDescent="0.2">
      <c r="A2" s="37"/>
      <c r="B2" s="37" t="s">
        <v>66</v>
      </c>
      <c r="C2" s="37" t="s">
        <v>63</v>
      </c>
      <c r="D2" s="37"/>
      <c r="E2" s="37"/>
      <c r="F2" s="37"/>
    </row>
    <row r="3" spans="1:6" x14ac:dyDescent="0.2">
      <c r="A3" s="37"/>
      <c r="B3" s="37" t="s">
        <v>67</v>
      </c>
      <c r="C3" s="37"/>
      <c r="D3" s="37"/>
      <c r="E3" s="37"/>
      <c r="F3" s="37"/>
    </row>
    <row r="4" spans="1:6" x14ac:dyDescent="0.2">
      <c r="A4" s="37"/>
      <c r="B4" s="37" t="s">
        <v>16</v>
      </c>
      <c r="C4" s="37" t="s">
        <v>130</v>
      </c>
      <c r="D4" s="37"/>
      <c r="E4" s="37"/>
      <c r="F4" s="37"/>
    </row>
    <row r="5" spans="1:6" x14ac:dyDescent="0.2">
      <c r="A5" s="37"/>
      <c r="B5" s="37" t="s">
        <v>68</v>
      </c>
      <c r="C5" s="37" t="s">
        <v>65</v>
      </c>
      <c r="D5" s="37"/>
      <c r="E5" s="37"/>
      <c r="F5" s="37"/>
    </row>
    <row r="6" spans="1:6" x14ac:dyDescent="0.2">
      <c r="A6" s="37"/>
      <c r="B6" s="37" t="s">
        <v>69</v>
      </c>
      <c r="C6" s="37" t="s">
        <v>72</v>
      </c>
      <c r="D6" s="37"/>
      <c r="E6" s="37"/>
      <c r="F6" s="37"/>
    </row>
    <row r="7" spans="1:6" x14ac:dyDescent="0.2">
      <c r="A7" s="37"/>
      <c r="B7" s="37" t="s">
        <v>70</v>
      </c>
      <c r="C7" s="37" t="s">
        <v>83</v>
      </c>
      <c r="D7" s="37"/>
      <c r="E7" s="37"/>
      <c r="F7" s="37"/>
    </row>
    <row r="8" spans="1:6" x14ac:dyDescent="0.2">
      <c r="A8" s="37"/>
      <c r="B8" s="37" t="s">
        <v>71</v>
      </c>
      <c r="C8" s="37"/>
      <c r="D8" s="37"/>
      <c r="E8" s="37"/>
      <c r="F8" s="37"/>
    </row>
    <row r="9" spans="1:6" x14ac:dyDescent="0.2">
      <c r="A9" s="37"/>
      <c r="B9" s="37"/>
      <c r="C9" s="36" t="s">
        <v>73</v>
      </c>
      <c r="D9" s="37"/>
      <c r="E9" s="37"/>
      <c r="F9" s="37"/>
    </row>
    <row r="10" spans="1:6" x14ac:dyDescent="0.2">
      <c r="A10" s="37"/>
      <c r="B10" s="37"/>
      <c r="C10" s="40" t="s">
        <v>84</v>
      </c>
      <c r="D10" s="37"/>
      <c r="E10" s="37"/>
      <c r="F10" s="37"/>
    </row>
    <row r="11" spans="1:6" x14ac:dyDescent="0.2">
      <c r="A11" s="37"/>
      <c r="B11" s="37"/>
      <c r="C11" s="37" t="s">
        <v>74</v>
      </c>
      <c r="D11" s="37"/>
      <c r="E11" s="37"/>
      <c r="F11" s="37"/>
    </row>
    <row r="12" spans="1:6" x14ac:dyDescent="0.2">
      <c r="C12" s="9" t="s">
        <v>75</v>
      </c>
    </row>
    <row r="13" spans="1:6" x14ac:dyDescent="0.2">
      <c r="C13" s="9" t="s">
        <v>76</v>
      </c>
    </row>
    <row r="14" spans="1:6" x14ac:dyDescent="0.2">
      <c r="C14" s="9" t="s">
        <v>77</v>
      </c>
    </row>
    <row r="16" spans="1:6" x14ac:dyDescent="0.2">
      <c r="D16" s="9" t="s">
        <v>81</v>
      </c>
    </row>
    <row r="17" spans="3:6" x14ac:dyDescent="0.2">
      <c r="C17" s="9" t="s">
        <v>78</v>
      </c>
      <c r="D17" s="38">
        <v>0.82</v>
      </c>
    </row>
    <row r="18" spans="3:6" x14ac:dyDescent="0.2">
      <c r="C18" s="9" t="s">
        <v>79</v>
      </c>
      <c r="D18" s="38">
        <v>0.92</v>
      </c>
      <c r="F18" s="39" t="s">
        <v>82</v>
      </c>
    </row>
    <row r="19" spans="3:6" x14ac:dyDescent="0.2">
      <c r="C19" s="9" t="s">
        <v>80</v>
      </c>
      <c r="D19" s="38">
        <v>0.77</v>
      </c>
    </row>
    <row r="21" spans="3:6" x14ac:dyDescent="0.2">
      <c r="C21" s="9" t="s">
        <v>139</v>
      </c>
    </row>
    <row r="22" spans="3:6" x14ac:dyDescent="0.2">
      <c r="C22" s="9" t="s">
        <v>86</v>
      </c>
    </row>
    <row r="23" spans="3:6" x14ac:dyDescent="0.2">
      <c r="C23" s="9" t="s">
        <v>85</v>
      </c>
    </row>
    <row r="25" spans="3:6" x14ac:dyDescent="0.2">
      <c r="C25" s="9" t="s">
        <v>87</v>
      </c>
    </row>
    <row r="26" spans="3:6" x14ac:dyDescent="0.2">
      <c r="C26" s="9" t="s">
        <v>88</v>
      </c>
    </row>
    <row r="27" spans="3:6" x14ac:dyDescent="0.2">
      <c r="C27" s="9" t="s">
        <v>89</v>
      </c>
    </row>
    <row r="28" spans="3:6" x14ac:dyDescent="0.2">
      <c r="C28" s="9" t="s">
        <v>90</v>
      </c>
    </row>
    <row r="30" spans="3:6" x14ac:dyDescent="0.2">
      <c r="C30" s="9" t="s">
        <v>124</v>
      </c>
    </row>
    <row r="31" spans="3:6" x14ac:dyDescent="0.2">
      <c r="C31" s="9" t="s">
        <v>125</v>
      </c>
    </row>
    <row r="32" spans="3:6" x14ac:dyDescent="0.2">
      <c r="C32" s="9" t="s">
        <v>128</v>
      </c>
    </row>
    <row r="33" spans="3:6" x14ac:dyDescent="0.2">
      <c r="D33" s="9" t="s">
        <v>136</v>
      </c>
      <c r="E33" s="9" t="s">
        <v>126</v>
      </c>
    </row>
    <row r="34" spans="3:6" x14ac:dyDescent="0.2">
      <c r="C34" s="9" t="s">
        <v>127</v>
      </c>
      <c r="D34" s="9">
        <v>0.18</v>
      </c>
      <c r="E34" s="9">
        <v>0.4</v>
      </c>
    </row>
    <row r="35" spans="3:6" x14ac:dyDescent="0.2">
      <c r="C35" s="9" t="s">
        <v>129</v>
      </c>
      <c r="D35" s="9">
        <v>70</v>
      </c>
      <c r="E35" s="9">
        <v>46</v>
      </c>
    </row>
    <row r="36" spans="3:6" x14ac:dyDescent="0.2">
      <c r="C36" s="9" t="s">
        <v>131</v>
      </c>
      <c r="D36" s="9">
        <v>0.2</v>
      </c>
      <c r="E36" s="9">
        <v>1.1000000000000001</v>
      </c>
      <c r="F36" s="9" t="s">
        <v>132</v>
      </c>
    </row>
    <row r="38" spans="3:6" x14ac:dyDescent="0.2">
      <c r="C38" s="9" t="s">
        <v>133</v>
      </c>
    </row>
    <row r="39" spans="3:6" x14ac:dyDescent="0.2">
      <c r="C39" s="9" t="s">
        <v>134</v>
      </c>
    </row>
    <row r="40" spans="3:6" x14ac:dyDescent="0.2">
      <c r="D40" s="9" t="s">
        <v>135</v>
      </c>
      <c r="E40" s="9" t="s">
        <v>137</v>
      </c>
    </row>
    <row r="41" spans="3:6" x14ac:dyDescent="0.2">
      <c r="C41" s="9" t="s">
        <v>127</v>
      </c>
      <c r="D41" s="9">
        <v>0.16</v>
      </c>
      <c r="E41" s="9">
        <v>0.33</v>
      </c>
    </row>
    <row r="42" spans="3:6" x14ac:dyDescent="0.2">
      <c r="C42" s="9" t="s">
        <v>129</v>
      </c>
      <c r="D42" s="9">
        <v>83</v>
      </c>
      <c r="E42" s="9">
        <v>70</v>
      </c>
    </row>
    <row r="43" spans="3:6" x14ac:dyDescent="0.2">
      <c r="C43" s="9" t="s">
        <v>131</v>
      </c>
      <c r="D43" s="9">
        <v>0.2</v>
      </c>
      <c r="E43" s="9">
        <v>0.5</v>
      </c>
      <c r="F43" s="9" t="s">
        <v>132</v>
      </c>
    </row>
    <row r="45" spans="3:6" x14ac:dyDescent="0.2">
      <c r="C45" s="9" t="s">
        <v>138</v>
      </c>
    </row>
  </sheetData>
  <hyperlinks>
    <hyperlink ref="A1" location="Main!A1" display="Main"/>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5"/>
  <sheetViews>
    <sheetView workbookViewId="0">
      <selection activeCell="C8" sqref="A1:C8"/>
    </sheetView>
  </sheetViews>
  <sheetFormatPr defaultRowHeight="15" x14ac:dyDescent="0.25"/>
  <cols>
    <col min="1" max="1" width="5" bestFit="1" customWidth="1"/>
    <col min="2" max="2" width="12" bestFit="1" customWidth="1"/>
    <col min="3" max="3" width="18.140625" customWidth="1"/>
    <col min="4" max="4" width="19.140625" customWidth="1"/>
    <col min="5" max="5" width="11.42578125" customWidth="1"/>
    <col min="257" max="257" width="5" bestFit="1" customWidth="1"/>
    <col min="258" max="258" width="12" bestFit="1" customWidth="1"/>
    <col min="259" max="259" width="18.140625" customWidth="1"/>
    <col min="260" max="260" width="19.140625" customWidth="1"/>
    <col min="261" max="261" width="11.42578125" customWidth="1"/>
    <col min="513" max="513" width="5" bestFit="1" customWidth="1"/>
    <col min="514" max="514" width="12" bestFit="1" customWidth="1"/>
    <col min="515" max="515" width="18.140625" customWidth="1"/>
    <col min="516" max="516" width="19.140625" customWidth="1"/>
    <col min="517" max="517" width="11.42578125" customWidth="1"/>
    <col min="769" max="769" width="5" bestFit="1" customWidth="1"/>
    <col min="770" max="770" width="12" bestFit="1" customWidth="1"/>
    <col min="771" max="771" width="18.140625" customWidth="1"/>
    <col min="772" max="772" width="19.140625" customWidth="1"/>
    <col min="773" max="773" width="11.42578125" customWidth="1"/>
    <col min="1025" max="1025" width="5" bestFit="1" customWidth="1"/>
    <col min="1026" max="1026" width="12" bestFit="1" customWidth="1"/>
    <col min="1027" max="1027" width="18.140625" customWidth="1"/>
    <col min="1028" max="1028" width="19.140625" customWidth="1"/>
    <col min="1029" max="1029" width="11.42578125" customWidth="1"/>
    <col min="1281" max="1281" width="5" bestFit="1" customWidth="1"/>
    <col min="1282" max="1282" width="12" bestFit="1" customWidth="1"/>
    <col min="1283" max="1283" width="18.140625" customWidth="1"/>
    <col min="1284" max="1284" width="19.140625" customWidth="1"/>
    <col min="1285" max="1285" width="11.42578125" customWidth="1"/>
    <col min="1537" max="1537" width="5" bestFit="1" customWidth="1"/>
    <col min="1538" max="1538" width="12" bestFit="1" customWidth="1"/>
    <col min="1539" max="1539" width="18.140625" customWidth="1"/>
    <col min="1540" max="1540" width="19.140625" customWidth="1"/>
    <col min="1541" max="1541" width="11.42578125" customWidth="1"/>
    <col min="1793" max="1793" width="5" bestFit="1" customWidth="1"/>
    <col min="1794" max="1794" width="12" bestFit="1" customWidth="1"/>
    <col min="1795" max="1795" width="18.140625" customWidth="1"/>
    <col min="1796" max="1796" width="19.140625" customWidth="1"/>
    <col min="1797" max="1797" width="11.42578125" customWidth="1"/>
    <col min="2049" max="2049" width="5" bestFit="1" customWidth="1"/>
    <col min="2050" max="2050" width="12" bestFit="1" customWidth="1"/>
    <col min="2051" max="2051" width="18.140625" customWidth="1"/>
    <col min="2052" max="2052" width="19.140625" customWidth="1"/>
    <col min="2053" max="2053" width="11.42578125" customWidth="1"/>
    <col min="2305" max="2305" width="5" bestFit="1" customWidth="1"/>
    <col min="2306" max="2306" width="12" bestFit="1" customWidth="1"/>
    <col min="2307" max="2307" width="18.140625" customWidth="1"/>
    <col min="2308" max="2308" width="19.140625" customWidth="1"/>
    <col min="2309" max="2309" width="11.42578125" customWidth="1"/>
    <col min="2561" max="2561" width="5" bestFit="1" customWidth="1"/>
    <col min="2562" max="2562" width="12" bestFit="1" customWidth="1"/>
    <col min="2563" max="2563" width="18.140625" customWidth="1"/>
    <col min="2564" max="2564" width="19.140625" customWidth="1"/>
    <col min="2565" max="2565" width="11.42578125" customWidth="1"/>
    <col min="2817" max="2817" width="5" bestFit="1" customWidth="1"/>
    <col min="2818" max="2818" width="12" bestFit="1" customWidth="1"/>
    <col min="2819" max="2819" width="18.140625" customWidth="1"/>
    <col min="2820" max="2820" width="19.140625" customWidth="1"/>
    <col min="2821" max="2821" width="11.42578125" customWidth="1"/>
    <col min="3073" max="3073" width="5" bestFit="1" customWidth="1"/>
    <col min="3074" max="3074" width="12" bestFit="1" customWidth="1"/>
    <col min="3075" max="3075" width="18.140625" customWidth="1"/>
    <col min="3076" max="3076" width="19.140625" customWidth="1"/>
    <col min="3077" max="3077" width="11.42578125" customWidth="1"/>
    <col min="3329" max="3329" width="5" bestFit="1" customWidth="1"/>
    <col min="3330" max="3330" width="12" bestFit="1" customWidth="1"/>
    <col min="3331" max="3331" width="18.140625" customWidth="1"/>
    <col min="3332" max="3332" width="19.140625" customWidth="1"/>
    <col min="3333" max="3333" width="11.42578125" customWidth="1"/>
    <col min="3585" max="3585" width="5" bestFit="1" customWidth="1"/>
    <col min="3586" max="3586" width="12" bestFit="1" customWidth="1"/>
    <col min="3587" max="3587" width="18.140625" customWidth="1"/>
    <col min="3588" max="3588" width="19.140625" customWidth="1"/>
    <col min="3589" max="3589" width="11.42578125" customWidth="1"/>
    <col min="3841" max="3841" width="5" bestFit="1" customWidth="1"/>
    <col min="3842" max="3842" width="12" bestFit="1" customWidth="1"/>
    <col min="3843" max="3843" width="18.140625" customWidth="1"/>
    <col min="3844" max="3844" width="19.140625" customWidth="1"/>
    <col min="3845" max="3845" width="11.42578125" customWidth="1"/>
    <col min="4097" max="4097" width="5" bestFit="1" customWidth="1"/>
    <col min="4098" max="4098" width="12" bestFit="1" customWidth="1"/>
    <col min="4099" max="4099" width="18.140625" customWidth="1"/>
    <col min="4100" max="4100" width="19.140625" customWidth="1"/>
    <col min="4101" max="4101" width="11.42578125" customWidth="1"/>
    <col min="4353" max="4353" width="5" bestFit="1" customWidth="1"/>
    <col min="4354" max="4354" width="12" bestFit="1" customWidth="1"/>
    <col min="4355" max="4355" width="18.140625" customWidth="1"/>
    <col min="4356" max="4356" width="19.140625" customWidth="1"/>
    <col min="4357" max="4357" width="11.42578125" customWidth="1"/>
    <col min="4609" max="4609" width="5" bestFit="1" customWidth="1"/>
    <col min="4610" max="4610" width="12" bestFit="1" customWidth="1"/>
    <col min="4611" max="4611" width="18.140625" customWidth="1"/>
    <col min="4612" max="4612" width="19.140625" customWidth="1"/>
    <col min="4613" max="4613" width="11.42578125" customWidth="1"/>
    <col min="4865" max="4865" width="5" bestFit="1" customWidth="1"/>
    <col min="4866" max="4866" width="12" bestFit="1" customWidth="1"/>
    <col min="4867" max="4867" width="18.140625" customWidth="1"/>
    <col min="4868" max="4868" width="19.140625" customWidth="1"/>
    <col min="4869" max="4869" width="11.42578125" customWidth="1"/>
    <col min="5121" max="5121" width="5" bestFit="1" customWidth="1"/>
    <col min="5122" max="5122" width="12" bestFit="1" customWidth="1"/>
    <col min="5123" max="5123" width="18.140625" customWidth="1"/>
    <col min="5124" max="5124" width="19.140625" customWidth="1"/>
    <col min="5125" max="5125" width="11.42578125" customWidth="1"/>
    <col min="5377" max="5377" width="5" bestFit="1" customWidth="1"/>
    <col min="5378" max="5378" width="12" bestFit="1" customWidth="1"/>
    <col min="5379" max="5379" width="18.140625" customWidth="1"/>
    <col min="5380" max="5380" width="19.140625" customWidth="1"/>
    <col min="5381" max="5381" width="11.42578125" customWidth="1"/>
    <col min="5633" max="5633" width="5" bestFit="1" customWidth="1"/>
    <col min="5634" max="5634" width="12" bestFit="1" customWidth="1"/>
    <col min="5635" max="5635" width="18.140625" customWidth="1"/>
    <col min="5636" max="5636" width="19.140625" customWidth="1"/>
    <col min="5637" max="5637" width="11.42578125" customWidth="1"/>
    <col min="5889" max="5889" width="5" bestFit="1" customWidth="1"/>
    <col min="5890" max="5890" width="12" bestFit="1" customWidth="1"/>
    <col min="5891" max="5891" width="18.140625" customWidth="1"/>
    <col min="5892" max="5892" width="19.140625" customWidth="1"/>
    <col min="5893" max="5893" width="11.42578125" customWidth="1"/>
    <col min="6145" max="6145" width="5" bestFit="1" customWidth="1"/>
    <col min="6146" max="6146" width="12" bestFit="1" customWidth="1"/>
    <col min="6147" max="6147" width="18.140625" customWidth="1"/>
    <col min="6148" max="6148" width="19.140625" customWidth="1"/>
    <col min="6149" max="6149" width="11.42578125" customWidth="1"/>
    <col min="6401" max="6401" width="5" bestFit="1" customWidth="1"/>
    <col min="6402" max="6402" width="12" bestFit="1" customWidth="1"/>
    <col min="6403" max="6403" width="18.140625" customWidth="1"/>
    <col min="6404" max="6404" width="19.140625" customWidth="1"/>
    <col min="6405" max="6405" width="11.42578125" customWidth="1"/>
    <col min="6657" max="6657" width="5" bestFit="1" customWidth="1"/>
    <col min="6658" max="6658" width="12" bestFit="1" customWidth="1"/>
    <col min="6659" max="6659" width="18.140625" customWidth="1"/>
    <col min="6660" max="6660" width="19.140625" customWidth="1"/>
    <col min="6661" max="6661" width="11.42578125" customWidth="1"/>
    <col min="6913" max="6913" width="5" bestFit="1" customWidth="1"/>
    <col min="6914" max="6914" width="12" bestFit="1" customWidth="1"/>
    <col min="6915" max="6915" width="18.140625" customWidth="1"/>
    <col min="6916" max="6916" width="19.140625" customWidth="1"/>
    <col min="6917" max="6917" width="11.42578125" customWidth="1"/>
    <col min="7169" max="7169" width="5" bestFit="1" customWidth="1"/>
    <col min="7170" max="7170" width="12" bestFit="1" customWidth="1"/>
    <col min="7171" max="7171" width="18.140625" customWidth="1"/>
    <col min="7172" max="7172" width="19.140625" customWidth="1"/>
    <col min="7173" max="7173" width="11.42578125" customWidth="1"/>
    <col min="7425" max="7425" width="5" bestFit="1" customWidth="1"/>
    <col min="7426" max="7426" width="12" bestFit="1" customWidth="1"/>
    <col min="7427" max="7427" width="18.140625" customWidth="1"/>
    <col min="7428" max="7428" width="19.140625" customWidth="1"/>
    <col min="7429" max="7429" width="11.42578125" customWidth="1"/>
    <col min="7681" max="7681" width="5" bestFit="1" customWidth="1"/>
    <col min="7682" max="7682" width="12" bestFit="1" customWidth="1"/>
    <col min="7683" max="7683" width="18.140625" customWidth="1"/>
    <col min="7684" max="7684" width="19.140625" customWidth="1"/>
    <col min="7685" max="7685" width="11.42578125" customWidth="1"/>
    <col min="7937" max="7937" width="5" bestFit="1" customWidth="1"/>
    <col min="7938" max="7938" width="12" bestFit="1" customWidth="1"/>
    <col min="7939" max="7939" width="18.140625" customWidth="1"/>
    <col min="7940" max="7940" width="19.140625" customWidth="1"/>
    <col min="7941" max="7941" width="11.42578125" customWidth="1"/>
    <col min="8193" max="8193" width="5" bestFit="1" customWidth="1"/>
    <col min="8194" max="8194" width="12" bestFit="1" customWidth="1"/>
    <col min="8195" max="8195" width="18.140625" customWidth="1"/>
    <col min="8196" max="8196" width="19.140625" customWidth="1"/>
    <col min="8197" max="8197" width="11.42578125" customWidth="1"/>
    <col min="8449" max="8449" width="5" bestFit="1" customWidth="1"/>
    <col min="8450" max="8450" width="12" bestFit="1" customWidth="1"/>
    <col min="8451" max="8451" width="18.140625" customWidth="1"/>
    <col min="8452" max="8452" width="19.140625" customWidth="1"/>
    <col min="8453" max="8453" width="11.42578125" customWidth="1"/>
    <col min="8705" max="8705" width="5" bestFit="1" customWidth="1"/>
    <col min="8706" max="8706" width="12" bestFit="1" customWidth="1"/>
    <col min="8707" max="8707" width="18.140625" customWidth="1"/>
    <col min="8708" max="8708" width="19.140625" customWidth="1"/>
    <col min="8709" max="8709" width="11.42578125" customWidth="1"/>
    <col min="8961" max="8961" width="5" bestFit="1" customWidth="1"/>
    <col min="8962" max="8962" width="12" bestFit="1" customWidth="1"/>
    <col min="8963" max="8963" width="18.140625" customWidth="1"/>
    <col min="8964" max="8964" width="19.140625" customWidth="1"/>
    <col min="8965" max="8965" width="11.42578125" customWidth="1"/>
    <col min="9217" max="9217" width="5" bestFit="1" customWidth="1"/>
    <col min="9218" max="9218" width="12" bestFit="1" customWidth="1"/>
    <col min="9219" max="9219" width="18.140625" customWidth="1"/>
    <col min="9220" max="9220" width="19.140625" customWidth="1"/>
    <col min="9221" max="9221" width="11.42578125" customWidth="1"/>
    <col min="9473" max="9473" width="5" bestFit="1" customWidth="1"/>
    <col min="9474" max="9474" width="12" bestFit="1" customWidth="1"/>
    <col min="9475" max="9475" width="18.140625" customWidth="1"/>
    <col min="9476" max="9476" width="19.140625" customWidth="1"/>
    <col min="9477" max="9477" width="11.42578125" customWidth="1"/>
    <col min="9729" max="9729" width="5" bestFit="1" customWidth="1"/>
    <col min="9730" max="9730" width="12" bestFit="1" customWidth="1"/>
    <col min="9731" max="9731" width="18.140625" customWidth="1"/>
    <col min="9732" max="9732" width="19.140625" customWidth="1"/>
    <col min="9733" max="9733" width="11.42578125" customWidth="1"/>
    <col min="9985" max="9985" width="5" bestFit="1" customWidth="1"/>
    <col min="9986" max="9986" width="12" bestFit="1" customWidth="1"/>
    <col min="9987" max="9987" width="18.140625" customWidth="1"/>
    <col min="9988" max="9988" width="19.140625" customWidth="1"/>
    <col min="9989" max="9989" width="11.42578125" customWidth="1"/>
    <col min="10241" max="10241" width="5" bestFit="1" customWidth="1"/>
    <col min="10242" max="10242" width="12" bestFit="1" customWidth="1"/>
    <col min="10243" max="10243" width="18.140625" customWidth="1"/>
    <col min="10244" max="10244" width="19.140625" customWidth="1"/>
    <col min="10245" max="10245" width="11.42578125" customWidth="1"/>
    <col min="10497" max="10497" width="5" bestFit="1" customWidth="1"/>
    <col min="10498" max="10498" width="12" bestFit="1" customWidth="1"/>
    <col min="10499" max="10499" width="18.140625" customWidth="1"/>
    <col min="10500" max="10500" width="19.140625" customWidth="1"/>
    <col min="10501" max="10501" width="11.42578125" customWidth="1"/>
    <col min="10753" max="10753" width="5" bestFit="1" customWidth="1"/>
    <col min="10754" max="10754" width="12" bestFit="1" customWidth="1"/>
    <col min="10755" max="10755" width="18.140625" customWidth="1"/>
    <col min="10756" max="10756" width="19.140625" customWidth="1"/>
    <col min="10757" max="10757" width="11.42578125" customWidth="1"/>
    <col min="11009" max="11009" width="5" bestFit="1" customWidth="1"/>
    <col min="11010" max="11010" width="12" bestFit="1" customWidth="1"/>
    <col min="11011" max="11011" width="18.140625" customWidth="1"/>
    <col min="11012" max="11012" width="19.140625" customWidth="1"/>
    <col min="11013" max="11013" width="11.42578125" customWidth="1"/>
    <col min="11265" max="11265" width="5" bestFit="1" customWidth="1"/>
    <col min="11266" max="11266" width="12" bestFit="1" customWidth="1"/>
    <col min="11267" max="11267" width="18.140625" customWidth="1"/>
    <col min="11268" max="11268" width="19.140625" customWidth="1"/>
    <col min="11269" max="11269" width="11.42578125" customWidth="1"/>
    <col min="11521" max="11521" width="5" bestFit="1" customWidth="1"/>
    <col min="11522" max="11522" width="12" bestFit="1" customWidth="1"/>
    <col min="11523" max="11523" width="18.140625" customWidth="1"/>
    <col min="11524" max="11524" width="19.140625" customWidth="1"/>
    <col min="11525" max="11525" width="11.42578125" customWidth="1"/>
    <col min="11777" max="11777" width="5" bestFit="1" customWidth="1"/>
    <col min="11778" max="11778" width="12" bestFit="1" customWidth="1"/>
    <col min="11779" max="11779" width="18.140625" customWidth="1"/>
    <col min="11780" max="11780" width="19.140625" customWidth="1"/>
    <col min="11781" max="11781" width="11.42578125" customWidth="1"/>
    <col min="12033" max="12033" width="5" bestFit="1" customWidth="1"/>
    <col min="12034" max="12034" width="12" bestFit="1" customWidth="1"/>
    <col min="12035" max="12035" width="18.140625" customWidth="1"/>
    <col min="12036" max="12036" width="19.140625" customWidth="1"/>
    <col min="12037" max="12037" width="11.42578125" customWidth="1"/>
    <col min="12289" max="12289" width="5" bestFit="1" customWidth="1"/>
    <col min="12290" max="12290" width="12" bestFit="1" customWidth="1"/>
    <col min="12291" max="12291" width="18.140625" customWidth="1"/>
    <col min="12292" max="12292" width="19.140625" customWidth="1"/>
    <col min="12293" max="12293" width="11.42578125" customWidth="1"/>
    <col min="12545" max="12545" width="5" bestFit="1" customWidth="1"/>
    <col min="12546" max="12546" width="12" bestFit="1" customWidth="1"/>
    <col min="12547" max="12547" width="18.140625" customWidth="1"/>
    <col min="12548" max="12548" width="19.140625" customWidth="1"/>
    <col min="12549" max="12549" width="11.42578125" customWidth="1"/>
    <col min="12801" max="12801" width="5" bestFit="1" customWidth="1"/>
    <col min="12802" max="12802" width="12" bestFit="1" customWidth="1"/>
    <col min="12803" max="12803" width="18.140625" customWidth="1"/>
    <col min="12804" max="12804" width="19.140625" customWidth="1"/>
    <col min="12805" max="12805" width="11.42578125" customWidth="1"/>
    <col min="13057" max="13057" width="5" bestFit="1" customWidth="1"/>
    <col min="13058" max="13058" width="12" bestFit="1" customWidth="1"/>
    <col min="13059" max="13059" width="18.140625" customWidth="1"/>
    <col min="13060" max="13060" width="19.140625" customWidth="1"/>
    <col min="13061" max="13061" width="11.42578125" customWidth="1"/>
    <col min="13313" max="13313" width="5" bestFit="1" customWidth="1"/>
    <col min="13314" max="13314" width="12" bestFit="1" customWidth="1"/>
    <col min="13315" max="13315" width="18.140625" customWidth="1"/>
    <col min="13316" max="13316" width="19.140625" customWidth="1"/>
    <col min="13317" max="13317" width="11.42578125" customWidth="1"/>
    <col min="13569" max="13569" width="5" bestFit="1" customWidth="1"/>
    <col min="13570" max="13570" width="12" bestFit="1" customWidth="1"/>
    <col min="13571" max="13571" width="18.140625" customWidth="1"/>
    <col min="13572" max="13572" width="19.140625" customWidth="1"/>
    <col min="13573" max="13573" width="11.42578125" customWidth="1"/>
    <col min="13825" max="13825" width="5" bestFit="1" customWidth="1"/>
    <col min="13826" max="13826" width="12" bestFit="1" customWidth="1"/>
    <col min="13827" max="13827" width="18.140625" customWidth="1"/>
    <col min="13828" max="13828" width="19.140625" customWidth="1"/>
    <col min="13829" max="13829" width="11.42578125" customWidth="1"/>
    <col min="14081" max="14081" width="5" bestFit="1" customWidth="1"/>
    <col min="14082" max="14082" width="12" bestFit="1" customWidth="1"/>
    <col min="14083" max="14083" width="18.140625" customWidth="1"/>
    <col min="14084" max="14084" width="19.140625" customWidth="1"/>
    <col min="14085" max="14085" width="11.42578125" customWidth="1"/>
    <col min="14337" max="14337" width="5" bestFit="1" customWidth="1"/>
    <col min="14338" max="14338" width="12" bestFit="1" customWidth="1"/>
    <col min="14339" max="14339" width="18.140625" customWidth="1"/>
    <col min="14340" max="14340" width="19.140625" customWidth="1"/>
    <col min="14341" max="14341" width="11.42578125" customWidth="1"/>
    <col min="14593" max="14593" width="5" bestFit="1" customWidth="1"/>
    <col min="14594" max="14594" width="12" bestFit="1" customWidth="1"/>
    <col min="14595" max="14595" width="18.140625" customWidth="1"/>
    <col min="14596" max="14596" width="19.140625" customWidth="1"/>
    <col min="14597" max="14597" width="11.42578125" customWidth="1"/>
    <col min="14849" max="14849" width="5" bestFit="1" customWidth="1"/>
    <col min="14850" max="14850" width="12" bestFit="1" customWidth="1"/>
    <col min="14851" max="14851" width="18.140625" customWidth="1"/>
    <col min="14852" max="14852" width="19.140625" customWidth="1"/>
    <col min="14853" max="14853" width="11.42578125" customWidth="1"/>
    <col min="15105" max="15105" width="5" bestFit="1" customWidth="1"/>
    <col min="15106" max="15106" width="12" bestFit="1" customWidth="1"/>
    <col min="15107" max="15107" width="18.140625" customWidth="1"/>
    <col min="15108" max="15108" width="19.140625" customWidth="1"/>
    <col min="15109" max="15109" width="11.42578125" customWidth="1"/>
    <col min="15361" max="15361" width="5" bestFit="1" customWidth="1"/>
    <col min="15362" max="15362" width="12" bestFit="1" customWidth="1"/>
    <col min="15363" max="15363" width="18.140625" customWidth="1"/>
    <col min="15364" max="15364" width="19.140625" customWidth="1"/>
    <col min="15365" max="15365" width="11.42578125" customWidth="1"/>
    <col min="15617" max="15617" width="5" bestFit="1" customWidth="1"/>
    <col min="15618" max="15618" width="12" bestFit="1" customWidth="1"/>
    <col min="15619" max="15619" width="18.140625" customWidth="1"/>
    <col min="15620" max="15620" width="19.140625" customWidth="1"/>
    <col min="15621" max="15621" width="11.42578125" customWidth="1"/>
    <col min="15873" max="15873" width="5" bestFit="1" customWidth="1"/>
    <col min="15874" max="15874" width="12" bestFit="1" customWidth="1"/>
    <col min="15875" max="15875" width="18.140625" customWidth="1"/>
    <col min="15876" max="15876" width="19.140625" customWidth="1"/>
    <col min="15877" max="15877" width="11.42578125" customWidth="1"/>
    <col min="16129" max="16129" width="5" bestFit="1" customWidth="1"/>
    <col min="16130" max="16130" width="12" bestFit="1" customWidth="1"/>
    <col min="16131" max="16131" width="18.140625" customWidth="1"/>
    <col min="16132" max="16132" width="19.140625" customWidth="1"/>
    <col min="16133" max="16133" width="11.42578125" customWidth="1"/>
  </cols>
  <sheetData>
    <row r="1" spans="1:11" x14ac:dyDescent="0.25">
      <c r="A1" s="51" t="s">
        <v>0</v>
      </c>
    </row>
    <row r="2" spans="1:11" x14ac:dyDescent="0.25">
      <c r="B2" s="52" t="s">
        <v>66</v>
      </c>
      <c r="C2" s="52" t="s">
        <v>143</v>
      </c>
    </row>
    <row r="3" spans="1:11" x14ac:dyDescent="0.25">
      <c r="B3" s="52" t="s">
        <v>70</v>
      </c>
      <c r="C3" s="10" t="s">
        <v>241</v>
      </c>
    </row>
    <row r="4" spans="1:11" x14ac:dyDescent="0.25">
      <c r="B4" s="52" t="s">
        <v>20</v>
      </c>
      <c r="C4" s="52" t="s">
        <v>144</v>
      </c>
    </row>
    <row r="5" spans="1:11" x14ac:dyDescent="0.25">
      <c r="B5" s="52" t="s">
        <v>68</v>
      </c>
      <c r="C5" s="52" t="s">
        <v>145</v>
      </c>
    </row>
    <row r="6" spans="1:11" x14ac:dyDescent="0.25">
      <c r="B6" s="52"/>
      <c r="C6" s="52" t="s">
        <v>146</v>
      </c>
    </row>
    <row r="7" spans="1:11" x14ac:dyDescent="0.25">
      <c r="B7" s="52" t="s">
        <v>71</v>
      </c>
    </row>
    <row r="8" spans="1:11" x14ac:dyDescent="0.25">
      <c r="B8" s="52"/>
    </row>
    <row r="9" spans="1:11" x14ac:dyDescent="0.25">
      <c r="C9" s="53" t="s">
        <v>147</v>
      </c>
      <c r="K9" s="51"/>
    </row>
    <row r="10" spans="1:11" x14ac:dyDescent="0.25">
      <c r="C10" s="52" t="s">
        <v>148</v>
      </c>
    </row>
    <row r="11" spans="1:11" x14ac:dyDescent="0.25">
      <c r="C11" s="52" t="s">
        <v>149</v>
      </c>
    </row>
    <row r="12" spans="1:11" x14ac:dyDescent="0.25">
      <c r="C12" s="52" t="s">
        <v>150</v>
      </c>
    </row>
    <row r="13" spans="1:11" x14ac:dyDescent="0.25">
      <c r="C13" s="52" t="s">
        <v>151</v>
      </c>
    </row>
    <row r="14" spans="1:11" x14ac:dyDescent="0.25">
      <c r="C14" s="52" t="s">
        <v>152</v>
      </c>
    </row>
    <row r="15" spans="1:11" x14ac:dyDescent="0.25">
      <c r="C15" s="54" t="s">
        <v>153</v>
      </c>
    </row>
    <row r="16" spans="1:11" x14ac:dyDescent="0.25">
      <c r="C16" s="54" t="s">
        <v>154</v>
      </c>
    </row>
    <row r="17" spans="3:3" x14ac:dyDescent="0.25">
      <c r="C17" s="54" t="s">
        <v>155</v>
      </c>
    </row>
    <row r="18" spans="3:3" x14ac:dyDescent="0.25">
      <c r="C18" s="52" t="s">
        <v>156</v>
      </c>
    </row>
    <row r="19" spans="3:3" x14ac:dyDescent="0.25">
      <c r="C19" s="52" t="s">
        <v>157</v>
      </c>
    </row>
    <row r="20" spans="3:3" x14ac:dyDescent="0.25">
      <c r="C20" s="52" t="s">
        <v>158</v>
      </c>
    </row>
    <row r="21" spans="3:3" x14ac:dyDescent="0.25">
      <c r="C21" s="52" t="s">
        <v>159</v>
      </c>
    </row>
    <row r="22" spans="3:3" x14ac:dyDescent="0.25">
      <c r="C22" s="52" t="s">
        <v>160</v>
      </c>
    </row>
    <row r="23" spans="3:3" x14ac:dyDescent="0.25">
      <c r="C23" s="52" t="s">
        <v>161</v>
      </c>
    </row>
    <row r="24" spans="3:3" x14ac:dyDescent="0.25">
      <c r="C24" s="52" t="s">
        <v>162</v>
      </c>
    </row>
    <row r="25" spans="3:3" x14ac:dyDescent="0.25">
      <c r="C25" s="52" t="s">
        <v>163</v>
      </c>
    </row>
    <row r="26" spans="3:3" x14ac:dyDescent="0.25">
      <c r="C26" s="52" t="s">
        <v>164</v>
      </c>
    </row>
    <row r="27" spans="3:3" x14ac:dyDescent="0.25">
      <c r="C27" s="52" t="s">
        <v>165</v>
      </c>
    </row>
    <row r="28" spans="3:3" x14ac:dyDescent="0.25">
      <c r="C28" s="52" t="s">
        <v>166</v>
      </c>
    </row>
    <row r="29" spans="3:3" x14ac:dyDescent="0.25">
      <c r="C29" s="52" t="s">
        <v>167</v>
      </c>
    </row>
    <row r="30" spans="3:3" x14ac:dyDescent="0.25">
      <c r="C30" s="52" t="s">
        <v>168</v>
      </c>
    </row>
    <row r="31" spans="3:3" x14ac:dyDescent="0.25">
      <c r="C31" s="52" t="s">
        <v>169</v>
      </c>
    </row>
    <row r="33" spans="3:14" x14ac:dyDescent="0.25">
      <c r="C33" s="52"/>
    </row>
    <row r="34" spans="3:14" x14ac:dyDescent="0.25">
      <c r="C34" s="53" t="s">
        <v>170</v>
      </c>
    </row>
    <row r="35" spans="3:14" x14ac:dyDescent="0.25">
      <c r="C35" s="52" t="s">
        <v>171</v>
      </c>
    </row>
    <row r="36" spans="3:14" x14ac:dyDescent="0.25">
      <c r="C36" s="52" t="s">
        <v>172</v>
      </c>
    </row>
    <row r="37" spans="3:14" x14ac:dyDescent="0.25">
      <c r="C37" s="52" t="s">
        <v>173</v>
      </c>
    </row>
    <row r="39" spans="3:14" x14ac:dyDescent="0.25">
      <c r="C39" s="52"/>
    </row>
    <row r="40" spans="3:14" x14ac:dyDescent="0.25">
      <c r="C40" s="52"/>
    </row>
    <row r="41" spans="3:14" x14ac:dyDescent="0.25">
      <c r="C41" s="53" t="s">
        <v>174</v>
      </c>
    </row>
    <row r="42" spans="3:14" x14ac:dyDescent="0.25">
      <c r="C42" s="52" t="s">
        <v>175</v>
      </c>
    </row>
    <row r="43" spans="3:14" x14ac:dyDescent="0.25">
      <c r="C43" s="52" t="s">
        <v>176</v>
      </c>
    </row>
    <row r="44" spans="3:14" x14ac:dyDescent="0.25">
      <c r="C44" s="52" t="s">
        <v>177</v>
      </c>
    </row>
    <row r="45" spans="3:14" x14ac:dyDescent="0.25">
      <c r="C45" s="53"/>
    </row>
    <row r="46" spans="3:14" x14ac:dyDescent="0.25">
      <c r="C46" s="52"/>
    </row>
    <row r="47" spans="3:14" x14ac:dyDescent="0.25">
      <c r="C47" s="53" t="s">
        <v>178</v>
      </c>
    </row>
    <row r="48" spans="3:14" x14ac:dyDescent="0.25">
      <c r="C48" s="51" t="s">
        <v>179</v>
      </c>
      <c r="M48" s="95"/>
      <c r="N48" s="96"/>
    </row>
    <row r="49" spans="3:14" x14ac:dyDescent="0.25">
      <c r="C49" s="51" t="s">
        <v>180</v>
      </c>
      <c r="L49" s="52"/>
      <c r="M49" s="52"/>
      <c r="N49" s="52"/>
    </row>
    <row r="50" spans="3:14" x14ac:dyDescent="0.25">
      <c r="C50" s="51" t="s">
        <v>181</v>
      </c>
    </row>
    <row r="51" spans="3:14" x14ac:dyDescent="0.25">
      <c r="C51" s="52" t="s">
        <v>182</v>
      </c>
    </row>
    <row r="52" spans="3:14" x14ac:dyDescent="0.25">
      <c r="C52" s="52" t="s">
        <v>149</v>
      </c>
    </row>
    <row r="53" spans="3:14" x14ac:dyDescent="0.25">
      <c r="C53" s="52" t="s">
        <v>183</v>
      </c>
    </row>
    <row r="54" spans="3:14" x14ac:dyDescent="0.25">
      <c r="C54" s="52" t="s">
        <v>184</v>
      </c>
    </row>
    <row r="55" spans="3:14" x14ac:dyDescent="0.25">
      <c r="C55" s="52" t="s">
        <v>185</v>
      </c>
    </row>
    <row r="56" spans="3:14" x14ac:dyDescent="0.25">
      <c r="C56" s="52" t="s">
        <v>186</v>
      </c>
    </row>
    <row r="57" spans="3:14" x14ac:dyDescent="0.25">
      <c r="C57" s="52" t="s">
        <v>187</v>
      </c>
    </row>
    <row r="58" spans="3:14" x14ac:dyDescent="0.25">
      <c r="C58" s="52" t="s">
        <v>188</v>
      </c>
    </row>
    <row r="59" spans="3:14" x14ac:dyDescent="0.25">
      <c r="C59" s="52" t="s">
        <v>189</v>
      </c>
    </row>
    <row r="60" spans="3:14" x14ac:dyDescent="0.25">
      <c r="C60" s="52" t="s">
        <v>190</v>
      </c>
    </row>
    <row r="61" spans="3:14" x14ac:dyDescent="0.25">
      <c r="C61" s="52" t="s">
        <v>191</v>
      </c>
    </row>
    <row r="62" spans="3:14" x14ac:dyDescent="0.25">
      <c r="C62" s="52" t="s">
        <v>192</v>
      </c>
    </row>
    <row r="63" spans="3:14" x14ac:dyDescent="0.25">
      <c r="C63" s="52"/>
      <c r="D63" s="55" t="s">
        <v>193</v>
      </c>
      <c r="E63" s="55" t="s">
        <v>194</v>
      </c>
    </row>
    <row r="64" spans="3:14" x14ac:dyDescent="0.25">
      <c r="C64" s="54" t="s">
        <v>195</v>
      </c>
      <c r="D64" s="56" t="s">
        <v>196</v>
      </c>
      <c r="E64" s="56" t="s">
        <v>197</v>
      </c>
    </row>
    <row r="65" spans="3:5" x14ac:dyDescent="0.25">
      <c r="C65" s="52" t="s">
        <v>198</v>
      </c>
      <c r="D65" s="55" t="s">
        <v>199</v>
      </c>
      <c r="E65" s="55" t="s">
        <v>200</v>
      </c>
    </row>
    <row r="66" spans="3:5" x14ac:dyDescent="0.25">
      <c r="C66" s="52" t="s">
        <v>201</v>
      </c>
      <c r="D66" s="55" t="s">
        <v>202</v>
      </c>
      <c r="E66" s="55" t="s">
        <v>202</v>
      </c>
    </row>
    <row r="67" spans="3:5" x14ac:dyDescent="0.25">
      <c r="C67" s="52" t="s">
        <v>203</v>
      </c>
      <c r="D67" s="55" t="s">
        <v>204</v>
      </c>
      <c r="E67" s="55" t="s">
        <v>205</v>
      </c>
    </row>
    <row r="68" spans="3:5" x14ac:dyDescent="0.25">
      <c r="C68" s="52" t="s">
        <v>206</v>
      </c>
      <c r="D68" s="55" t="s">
        <v>199</v>
      </c>
      <c r="E68" s="55" t="s">
        <v>207</v>
      </c>
    </row>
    <row r="69" spans="3:5" x14ac:dyDescent="0.25">
      <c r="C69" s="52"/>
      <c r="D69" s="55"/>
      <c r="E69" s="55"/>
    </row>
    <row r="70" spans="3:5" x14ac:dyDescent="0.25">
      <c r="C70" s="52" t="s">
        <v>208</v>
      </c>
      <c r="D70" s="55"/>
      <c r="E70" s="55"/>
    </row>
    <row r="71" spans="3:5" x14ac:dyDescent="0.25">
      <c r="C71" s="52"/>
      <c r="D71" s="55" t="s">
        <v>209</v>
      </c>
      <c r="E71" s="55" t="s">
        <v>210</v>
      </c>
    </row>
    <row r="72" spans="3:5" x14ac:dyDescent="0.25">
      <c r="C72" s="52" t="s">
        <v>195</v>
      </c>
      <c r="D72" s="55" t="s">
        <v>211</v>
      </c>
      <c r="E72" s="55" t="s">
        <v>212</v>
      </c>
    </row>
    <row r="73" spans="3:5" x14ac:dyDescent="0.25">
      <c r="C73" s="52" t="s">
        <v>198</v>
      </c>
      <c r="D73" s="55" t="s">
        <v>213</v>
      </c>
      <c r="E73" s="55" t="s">
        <v>214</v>
      </c>
    </row>
    <row r="74" spans="3:5" x14ac:dyDescent="0.25">
      <c r="C74" s="52" t="s">
        <v>215</v>
      </c>
      <c r="D74" s="55" t="s">
        <v>216</v>
      </c>
      <c r="E74" s="55" t="s">
        <v>217</v>
      </c>
    </row>
    <row r="75" spans="3:5" x14ac:dyDescent="0.25">
      <c r="C75" s="52" t="s">
        <v>206</v>
      </c>
      <c r="D75" s="55" t="s">
        <v>218</v>
      </c>
      <c r="E75" s="55" t="s">
        <v>219</v>
      </c>
    </row>
    <row r="76" spans="3:5" x14ac:dyDescent="0.25">
      <c r="C76" s="52" t="s">
        <v>220</v>
      </c>
      <c r="D76" s="55"/>
      <c r="E76" s="55"/>
    </row>
    <row r="77" spans="3:5" x14ac:dyDescent="0.25">
      <c r="C77" s="52" t="s">
        <v>221</v>
      </c>
      <c r="D77" s="55"/>
      <c r="E77" s="55"/>
    </row>
    <row r="78" spans="3:5" x14ac:dyDescent="0.25">
      <c r="C78" s="52"/>
      <c r="D78" s="55"/>
      <c r="E78" s="55"/>
    </row>
    <row r="79" spans="3:5" x14ac:dyDescent="0.25">
      <c r="C79" s="52" t="s">
        <v>222</v>
      </c>
      <c r="D79" s="55"/>
      <c r="E79" s="55"/>
    </row>
    <row r="80" spans="3:5" x14ac:dyDescent="0.25">
      <c r="C80" s="52" t="s">
        <v>223</v>
      </c>
    </row>
    <row r="81" spans="3:3" x14ac:dyDescent="0.25">
      <c r="C81" s="52" t="s">
        <v>224</v>
      </c>
    </row>
    <row r="82" spans="3:3" x14ac:dyDescent="0.25">
      <c r="C82" s="52" t="s">
        <v>225</v>
      </c>
    </row>
    <row r="83" spans="3:3" x14ac:dyDescent="0.25">
      <c r="C83" s="52" t="s">
        <v>226</v>
      </c>
    </row>
    <row r="84" spans="3:3" x14ac:dyDescent="0.25">
      <c r="C84" s="52" t="s">
        <v>227</v>
      </c>
    </row>
    <row r="85" spans="3:3" ht="13.5" customHeight="1" x14ac:dyDescent="0.25">
      <c r="C85" s="52"/>
    </row>
    <row r="86" spans="3:3" ht="13.5" customHeight="1" x14ac:dyDescent="0.25">
      <c r="C86" s="52" t="s">
        <v>228</v>
      </c>
    </row>
    <row r="87" spans="3:3" ht="13.5" customHeight="1" x14ac:dyDescent="0.25">
      <c r="C87" s="52" t="s">
        <v>229</v>
      </c>
    </row>
    <row r="88" spans="3:3" ht="13.5" customHeight="1" x14ac:dyDescent="0.25">
      <c r="C88" s="52" t="s">
        <v>230</v>
      </c>
    </row>
    <row r="89" spans="3:3" ht="13.5" customHeight="1" x14ac:dyDescent="0.25">
      <c r="C89" s="52" t="s">
        <v>231</v>
      </c>
    </row>
    <row r="90" spans="3:3" ht="13.5" customHeight="1" x14ac:dyDescent="0.25">
      <c r="C90" s="52"/>
    </row>
    <row r="91" spans="3:3" ht="13.5" customHeight="1" x14ac:dyDescent="0.25">
      <c r="C91" s="52"/>
    </row>
    <row r="92" spans="3:3" ht="13.5" customHeight="1" x14ac:dyDescent="0.25">
      <c r="C92" s="52"/>
    </row>
    <row r="93" spans="3:3" ht="13.5" customHeight="1" x14ac:dyDescent="0.25">
      <c r="C93" s="52"/>
    </row>
    <row r="94" spans="3:3" ht="13.5" customHeight="1" x14ac:dyDescent="0.25">
      <c r="C94" s="52"/>
    </row>
    <row r="95" spans="3:3" ht="13.5" customHeight="1" x14ac:dyDescent="0.25">
      <c r="C95" s="52"/>
    </row>
    <row r="96" spans="3:3" ht="13.5" customHeight="1" x14ac:dyDescent="0.25"/>
    <row r="97" spans="3:3" ht="13.5" customHeight="1" x14ac:dyDescent="0.25">
      <c r="C97" t="s">
        <v>232</v>
      </c>
    </row>
    <row r="98" spans="3:3" x14ac:dyDescent="0.25">
      <c r="C98" t="s">
        <v>233</v>
      </c>
    </row>
    <row r="99" spans="3:3" x14ac:dyDescent="0.25">
      <c r="C99" t="s">
        <v>234</v>
      </c>
    </row>
    <row r="100" spans="3:3" x14ac:dyDescent="0.25">
      <c r="C100" t="s">
        <v>235</v>
      </c>
    </row>
    <row r="101" spans="3:3" x14ac:dyDescent="0.25">
      <c r="C101" t="s">
        <v>236</v>
      </c>
    </row>
    <row r="102" spans="3:3" x14ac:dyDescent="0.25">
      <c r="C102" t="s">
        <v>237</v>
      </c>
    </row>
    <row r="103" spans="3:3" x14ac:dyDescent="0.25">
      <c r="C103" t="s">
        <v>238</v>
      </c>
    </row>
    <row r="104" spans="3:3" x14ac:dyDescent="0.25">
      <c r="C104" t="s">
        <v>239</v>
      </c>
    </row>
    <row r="105" spans="3:3" x14ac:dyDescent="0.25">
      <c r="C105" t="s">
        <v>240</v>
      </c>
    </row>
  </sheetData>
  <mergeCells count="1">
    <mergeCell ref="M48:N48"/>
  </mergeCells>
  <hyperlinks>
    <hyperlink ref="A1" location="Main!A1" display="Main"/>
    <hyperlink ref="C48" r:id="rId1"/>
    <hyperlink ref="C49" r:id="rId2"/>
    <hyperlink ref="C50" r:id="rId3"/>
  </hyperlinks>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C15" sqref="A1:C15"/>
    </sheetView>
  </sheetViews>
  <sheetFormatPr defaultRowHeight="12.75" x14ac:dyDescent="0.2"/>
  <cols>
    <col min="1" max="1" width="9.140625" style="9"/>
    <col min="2" max="2" width="12" style="9" bestFit="1" customWidth="1"/>
    <col min="3" max="3" width="23.5703125" style="9" customWidth="1"/>
    <col min="4" max="16384" width="9.140625" style="9"/>
  </cols>
  <sheetData>
    <row r="1" spans="1:5" x14ac:dyDescent="0.2">
      <c r="A1" s="59" t="s">
        <v>0</v>
      </c>
    </row>
    <row r="2" spans="1:5" x14ac:dyDescent="0.2">
      <c r="B2" s="52" t="s">
        <v>66</v>
      </c>
      <c r="C2" s="52" t="s">
        <v>269</v>
      </c>
    </row>
    <row r="3" spans="1:5" x14ac:dyDescent="0.2">
      <c r="B3" s="52" t="s">
        <v>70</v>
      </c>
      <c r="C3" s="10" t="s">
        <v>273</v>
      </c>
    </row>
    <row r="4" spans="1:5" x14ac:dyDescent="0.2">
      <c r="B4" s="52" t="s">
        <v>16</v>
      </c>
      <c r="C4" s="58" t="s">
        <v>270</v>
      </c>
    </row>
    <row r="5" spans="1:5" x14ac:dyDescent="0.2">
      <c r="B5" s="52" t="s">
        <v>20</v>
      </c>
      <c r="C5" s="52"/>
    </row>
    <row r="6" spans="1:5" x14ac:dyDescent="0.2">
      <c r="B6" s="52" t="s">
        <v>68</v>
      </c>
      <c r="C6" s="52" t="s">
        <v>274</v>
      </c>
    </row>
    <row r="7" spans="1:5" x14ac:dyDescent="0.2">
      <c r="B7" s="52" t="s">
        <v>71</v>
      </c>
    </row>
    <row r="8" spans="1:5" x14ac:dyDescent="0.2">
      <c r="B8" s="52"/>
      <c r="C8" s="60" t="s">
        <v>276</v>
      </c>
    </row>
    <row r="9" spans="1:5" x14ac:dyDescent="0.2">
      <c r="C9" s="9" t="s">
        <v>275</v>
      </c>
    </row>
    <row r="10" spans="1:5" x14ac:dyDescent="0.2">
      <c r="C10" s="9" t="s">
        <v>277</v>
      </c>
    </row>
    <row r="11" spans="1:5" x14ac:dyDescent="0.2">
      <c r="D11" s="9" t="s">
        <v>278</v>
      </c>
      <c r="E11" s="9" t="s">
        <v>279</v>
      </c>
    </row>
    <row r="12" spans="1:5" x14ac:dyDescent="0.2">
      <c r="C12" s="9" t="s">
        <v>280</v>
      </c>
      <c r="D12" s="9">
        <v>13</v>
      </c>
      <c r="E12" s="9">
        <v>21</v>
      </c>
    </row>
    <row r="13" spans="1:5" x14ac:dyDescent="0.2">
      <c r="C13" s="9" t="s">
        <v>281</v>
      </c>
      <c r="D13" s="38">
        <v>0.33</v>
      </c>
      <c r="E13" s="38">
        <v>0.49</v>
      </c>
    </row>
    <row r="15" spans="1:5" x14ac:dyDescent="0.2">
      <c r="C15" s="9" t="s">
        <v>282</v>
      </c>
    </row>
  </sheetData>
  <hyperlinks>
    <hyperlink ref="A1" location="Main!A1" display="Main"/>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C9" sqref="C9"/>
    </sheetView>
  </sheetViews>
  <sheetFormatPr defaultRowHeight="15" x14ac:dyDescent="0.25"/>
  <cols>
    <col min="2" max="2" width="12" bestFit="1" customWidth="1"/>
  </cols>
  <sheetData>
    <row r="1" spans="1:3" x14ac:dyDescent="0.25">
      <c r="A1" s="59" t="s">
        <v>0</v>
      </c>
      <c r="B1" s="9"/>
      <c r="C1" s="9"/>
    </row>
    <row r="2" spans="1:3" x14ac:dyDescent="0.25">
      <c r="A2" s="9"/>
      <c r="B2" s="52" t="s">
        <v>66</v>
      </c>
      <c r="C2" s="52" t="s">
        <v>283</v>
      </c>
    </row>
    <row r="3" spans="1:3" x14ac:dyDescent="0.25">
      <c r="A3" s="9"/>
      <c r="B3" s="52" t="s">
        <v>70</v>
      </c>
      <c r="C3" s="10" t="s">
        <v>284</v>
      </c>
    </row>
    <row r="4" spans="1:3" x14ac:dyDescent="0.25">
      <c r="A4" s="9"/>
      <c r="B4" s="52" t="s">
        <v>16</v>
      </c>
      <c r="C4" s="58" t="s">
        <v>286</v>
      </c>
    </row>
    <row r="5" spans="1:3" x14ac:dyDescent="0.25">
      <c r="A5" s="9"/>
      <c r="B5" s="52" t="s">
        <v>20</v>
      </c>
      <c r="C5" s="52"/>
    </row>
    <row r="6" spans="1:3" x14ac:dyDescent="0.25">
      <c r="A6" s="9"/>
      <c r="B6" s="52" t="s">
        <v>68</v>
      </c>
      <c r="C6" s="52" t="s">
        <v>285</v>
      </c>
    </row>
    <row r="7" spans="1:3" x14ac:dyDescent="0.25">
      <c r="A7" s="9"/>
      <c r="B7" s="52" t="s">
        <v>71</v>
      </c>
      <c r="C7" s="9"/>
    </row>
    <row r="8" spans="1:3" x14ac:dyDescent="0.25">
      <c r="A8" s="9"/>
      <c r="B8" s="52"/>
      <c r="C8" s="60" t="s">
        <v>287</v>
      </c>
    </row>
    <row r="9" spans="1:3" x14ac:dyDescent="0.25">
      <c r="A9" s="9"/>
      <c r="B9" s="9"/>
      <c r="C9" s="61" t="s">
        <v>288</v>
      </c>
    </row>
    <row r="10" spans="1:3" x14ac:dyDescent="0.25">
      <c r="A10" s="9"/>
      <c r="B10" s="9"/>
      <c r="C10" s="9" t="s">
        <v>289</v>
      </c>
    </row>
    <row r="11" spans="1:3" x14ac:dyDescent="0.25">
      <c r="A11" s="9"/>
      <c r="B11" s="9"/>
      <c r="C11" s="9"/>
    </row>
    <row r="12" spans="1:3" x14ac:dyDescent="0.25">
      <c r="A12" s="9"/>
      <c r="B12" s="9"/>
      <c r="C12" s="9"/>
    </row>
    <row r="13" spans="1:3" x14ac:dyDescent="0.25">
      <c r="A13" s="9"/>
      <c r="B13" s="9"/>
      <c r="C13" s="9"/>
    </row>
    <row r="14" spans="1:3" x14ac:dyDescent="0.25">
      <c r="A14" s="9"/>
      <c r="B14" s="9"/>
      <c r="C14" s="9"/>
    </row>
    <row r="15" spans="1:3" x14ac:dyDescent="0.25">
      <c r="A15" s="9"/>
      <c r="B15" s="9"/>
      <c r="C15" s="9"/>
    </row>
  </sheetData>
  <hyperlinks>
    <hyperlink ref="A1" location="Main!A1" display="Main"/>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4"/>
  <sheetViews>
    <sheetView showGridLines="0" workbookViewId="0">
      <selection activeCell="B2" sqref="B2:G24"/>
    </sheetView>
  </sheetViews>
  <sheetFormatPr defaultRowHeight="15" x14ac:dyDescent="0.25"/>
  <cols>
    <col min="2" max="2" width="21.5703125" bestFit="1" customWidth="1"/>
    <col min="3" max="3" width="16" bestFit="1" customWidth="1"/>
    <col min="4" max="4" width="18" bestFit="1" customWidth="1"/>
    <col min="5" max="5" width="14.5703125" bestFit="1" customWidth="1"/>
    <col min="6" max="6" width="22.28515625" bestFit="1" customWidth="1"/>
    <col min="7" max="7" width="9.7109375" bestFit="1" customWidth="1"/>
  </cols>
  <sheetData>
    <row r="1" spans="2:11" ht="15.75" thickBot="1" x14ac:dyDescent="0.3"/>
    <row r="2" spans="2:11" ht="15.75" thickBot="1" x14ac:dyDescent="0.3">
      <c r="B2" s="63" t="s">
        <v>290</v>
      </c>
      <c r="C2" s="64" t="s">
        <v>16</v>
      </c>
      <c r="D2" s="64" t="s">
        <v>294</v>
      </c>
      <c r="E2" s="64" t="s">
        <v>291</v>
      </c>
      <c r="F2" s="64" t="s">
        <v>292</v>
      </c>
      <c r="G2" s="65" t="s">
        <v>293</v>
      </c>
    </row>
    <row r="3" spans="2:11" x14ac:dyDescent="0.25">
      <c r="B3" s="66" t="s">
        <v>244</v>
      </c>
      <c r="C3" s="67" t="s">
        <v>243</v>
      </c>
      <c r="D3" s="67" t="s">
        <v>302</v>
      </c>
      <c r="E3" s="67" t="s">
        <v>303</v>
      </c>
      <c r="F3" s="67" t="s">
        <v>304</v>
      </c>
      <c r="G3" s="70">
        <v>39722</v>
      </c>
    </row>
    <row r="4" spans="2:11" x14ac:dyDescent="0.25">
      <c r="B4" s="66" t="s">
        <v>298</v>
      </c>
      <c r="C4" s="67" t="s">
        <v>299</v>
      </c>
      <c r="D4" s="67" t="s">
        <v>300</v>
      </c>
      <c r="E4" s="67" t="s">
        <v>301</v>
      </c>
      <c r="F4" s="67" t="s">
        <v>297</v>
      </c>
      <c r="G4" s="70">
        <v>40422</v>
      </c>
    </row>
    <row r="5" spans="2:11" x14ac:dyDescent="0.25">
      <c r="B5" s="66" t="s">
        <v>307</v>
      </c>
      <c r="C5" s="67" t="s">
        <v>309</v>
      </c>
      <c r="D5" s="67" t="s">
        <v>310</v>
      </c>
      <c r="E5" s="67" t="s">
        <v>311</v>
      </c>
      <c r="F5" s="67" t="s">
        <v>312</v>
      </c>
      <c r="G5" s="70">
        <v>40787</v>
      </c>
    </row>
    <row r="6" spans="2:11" x14ac:dyDescent="0.25">
      <c r="B6" s="66" t="s">
        <v>313</v>
      </c>
      <c r="C6" s="67" t="s">
        <v>308</v>
      </c>
      <c r="D6" s="67" t="s">
        <v>314</v>
      </c>
      <c r="E6" s="67" t="s">
        <v>315</v>
      </c>
      <c r="F6" s="67" t="s">
        <v>356</v>
      </c>
      <c r="G6" s="70">
        <v>40787</v>
      </c>
      <c r="K6" t="s">
        <v>355</v>
      </c>
    </row>
    <row r="7" spans="2:11" x14ac:dyDescent="0.25">
      <c r="B7" s="66" t="s">
        <v>63</v>
      </c>
      <c r="C7" s="67" t="s">
        <v>64</v>
      </c>
      <c r="D7" s="67" t="s">
        <v>295</v>
      </c>
      <c r="E7" s="67" t="s">
        <v>296</v>
      </c>
      <c r="F7" s="67" t="s">
        <v>297</v>
      </c>
      <c r="G7" s="70">
        <v>40817</v>
      </c>
      <c r="J7">
        <v>2005</v>
      </c>
      <c r="K7">
        <v>3</v>
      </c>
    </row>
    <row r="8" spans="2:11" x14ac:dyDescent="0.25">
      <c r="B8" s="74" t="s">
        <v>143</v>
      </c>
      <c r="C8" s="75" t="s">
        <v>140</v>
      </c>
      <c r="D8" s="75" t="s">
        <v>306</v>
      </c>
      <c r="E8" s="75" t="s">
        <v>305</v>
      </c>
      <c r="F8" s="75" t="s">
        <v>297</v>
      </c>
      <c r="G8" s="76">
        <v>40817</v>
      </c>
      <c r="J8">
        <v>2006</v>
      </c>
      <c r="K8">
        <v>2</v>
      </c>
    </row>
    <row r="9" spans="2:11" x14ac:dyDescent="0.25">
      <c r="B9" s="66" t="s">
        <v>328</v>
      </c>
      <c r="C9" s="67" t="s">
        <v>324</v>
      </c>
      <c r="D9" s="67" t="s">
        <v>327</v>
      </c>
      <c r="E9" s="67" t="s">
        <v>318</v>
      </c>
      <c r="F9" s="67" t="s">
        <v>319</v>
      </c>
      <c r="G9" s="70">
        <v>38473</v>
      </c>
      <c r="J9">
        <v>2007</v>
      </c>
      <c r="K9">
        <v>2</v>
      </c>
    </row>
    <row r="10" spans="2:11" x14ac:dyDescent="0.25">
      <c r="B10" s="66" t="s">
        <v>335</v>
      </c>
      <c r="C10" s="67" t="s">
        <v>318</v>
      </c>
      <c r="D10" s="67" t="s">
        <v>336</v>
      </c>
      <c r="E10" s="67" t="s">
        <v>318</v>
      </c>
      <c r="F10" s="67" t="s">
        <v>319</v>
      </c>
      <c r="G10" s="70">
        <v>38657</v>
      </c>
      <c r="J10">
        <v>2008</v>
      </c>
      <c r="K10">
        <v>2</v>
      </c>
    </row>
    <row r="11" spans="2:11" x14ac:dyDescent="0.25">
      <c r="B11" s="62" t="s">
        <v>26</v>
      </c>
      <c r="C11" s="67" t="s">
        <v>27</v>
      </c>
      <c r="D11" s="67" t="s">
        <v>329</v>
      </c>
      <c r="E11" s="67" t="s">
        <v>318</v>
      </c>
      <c r="F11" s="67" t="s">
        <v>297</v>
      </c>
      <c r="G11" s="70">
        <v>38687</v>
      </c>
      <c r="J11">
        <v>2009</v>
      </c>
      <c r="K11">
        <v>2</v>
      </c>
    </row>
    <row r="12" spans="2:11" x14ac:dyDescent="0.25">
      <c r="B12" s="66" t="s">
        <v>337</v>
      </c>
      <c r="C12" s="67" t="s">
        <v>318</v>
      </c>
      <c r="D12" s="67" t="s">
        <v>338</v>
      </c>
      <c r="E12" s="67" t="s">
        <v>318</v>
      </c>
      <c r="F12" s="67" t="s">
        <v>319</v>
      </c>
      <c r="G12" s="70">
        <v>38899</v>
      </c>
      <c r="J12">
        <v>2010</v>
      </c>
      <c r="K12">
        <v>3</v>
      </c>
    </row>
    <row r="13" spans="2:11" x14ac:dyDescent="0.25">
      <c r="B13" s="72" t="s">
        <v>346</v>
      </c>
      <c r="C13" s="26" t="s">
        <v>344</v>
      </c>
      <c r="D13" s="26" t="s">
        <v>345</v>
      </c>
      <c r="E13" s="67" t="s">
        <v>318</v>
      </c>
      <c r="F13" s="26" t="s">
        <v>353</v>
      </c>
      <c r="G13" s="73">
        <v>38991</v>
      </c>
      <c r="J13">
        <v>2011</v>
      </c>
      <c r="K13">
        <v>6</v>
      </c>
    </row>
    <row r="14" spans="2:11" x14ac:dyDescent="0.25">
      <c r="B14" s="72" t="s">
        <v>347</v>
      </c>
      <c r="C14" s="26" t="s">
        <v>348</v>
      </c>
      <c r="D14" s="26" t="s">
        <v>349</v>
      </c>
      <c r="E14" s="26" t="s">
        <v>318</v>
      </c>
      <c r="F14" s="26" t="s">
        <v>354</v>
      </c>
      <c r="G14" s="73">
        <v>39295</v>
      </c>
      <c r="J14">
        <v>2012</v>
      </c>
      <c r="K14">
        <v>2</v>
      </c>
    </row>
    <row r="15" spans="2:11" x14ac:dyDescent="0.25">
      <c r="B15" s="72" t="s">
        <v>350</v>
      </c>
      <c r="C15" s="26" t="s">
        <v>351</v>
      </c>
      <c r="D15" s="26" t="s">
        <v>352</v>
      </c>
      <c r="E15" s="26" t="s">
        <v>318</v>
      </c>
      <c r="F15" s="26" t="s">
        <v>354</v>
      </c>
      <c r="G15" s="73">
        <v>39417</v>
      </c>
    </row>
    <row r="16" spans="2:11" x14ac:dyDescent="0.25">
      <c r="B16" s="66" t="s">
        <v>339</v>
      </c>
      <c r="C16" s="67" t="s">
        <v>318</v>
      </c>
      <c r="D16" s="67" t="s">
        <v>341</v>
      </c>
      <c r="E16" s="67" t="s">
        <v>318</v>
      </c>
      <c r="F16" s="67" t="s">
        <v>319</v>
      </c>
      <c r="G16" s="70">
        <v>39508</v>
      </c>
    </row>
    <row r="17" spans="2:7" x14ac:dyDescent="0.25">
      <c r="B17" s="66" t="s">
        <v>340</v>
      </c>
      <c r="C17" s="67" t="s">
        <v>318</v>
      </c>
      <c r="D17" s="67" t="s">
        <v>342</v>
      </c>
      <c r="E17" s="67" t="s">
        <v>318</v>
      </c>
      <c r="F17" s="67" t="s">
        <v>319</v>
      </c>
      <c r="G17" s="70">
        <v>39873</v>
      </c>
    </row>
    <row r="18" spans="2:7" x14ac:dyDescent="0.25">
      <c r="B18" s="66" t="s">
        <v>330</v>
      </c>
      <c r="C18" s="67" t="s">
        <v>252</v>
      </c>
      <c r="D18" s="67" t="s">
        <v>331</v>
      </c>
      <c r="E18" s="67" t="s">
        <v>318</v>
      </c>
      <c r="F18" s="67" t="s">
        <v>353</v>
      </c>
      <c r="G18" s="70">
        <v>40057</v>
      </c>
    </row>
    <row r="19" spans="2:7" x14ac:dyDescent="0.25">
      <c r="B19" s="66" t="s">
        <v>335</v>
      </c>
      <c r="C19" s="67" t="s">
        <v>318</v>
      </c>
      <c r="D19" s="67" t="s">
        <v>343</v>
      </c>
      <c r="E19" s="67" t="s">
        <v>318</v>
      </c>
      <c r="F19" s="67" t="s">
        <v>319</v>
      </c>
      <c r="G19" s="70">
        <v>40238</v>
      </c>
    </row>
    <row r="20" spans="2:7" x14ac:dyDescent="0.25">
      <c r="B20" s="66" t="s">
        <v>332</v>
      </c>
      <c r="C20" s="67" t="s">
        <v>333</v>
      </c>
      <c r="D20" s="67" t="s">
        <v>334</v>
      </c>
      <c r="E20" s="67" t="s">
        <v>318</v>
      </c>
      <c r="F20" s="67" t="s">
        <v>312</v>
      </c>
      <c r="G20" s="70">
        <v>40422</v>
      </c>
    </row>
    <row r="21" spans="2:7" x14ac:dyDescent="0.25">
      <c r="B21" s="66" t="s">
        <v>325</v>
      </c>
      <c r="C21" s="67" t="s">
        <v>324</v>
      </c>
      <c r="D21" s="67" t="s">
        <v>326</v>
      </c>
      <c r="E21" s="67" t="s">
        <v>318</v>
      </c>
      <c r="F21" s="67" t="s">
        <v>319</v>
      </c>
      <c r="G21" s="70">
        <v>40603</v>
      </c>
    </row>
    <row r="22" spans="2:7" x14ac:dyDescent="0.25">
      <c r="B22" s="66" t="s">
        <v>322</v>
      </c>
      <c r="C22" s="67" t="s">
        <v>318</v>
      </c>
      <c r="D22" s="67" t="s">
        <v>323</v>
      </c>
      <c r="E22" s="67" t="s">
        <v>318</v>
      </c>
      <c r="F22" s="67" t="s">
        <v>319</v>
      </c>
      <c r="G22" s="70">
        <v>40878</v>
      </c>
    </row>
    <row r="23" spans="2:7" x14ac:dyDescent="0.25">
      <c r="B23" s="66" t="s">
        <v>316</v>
      </c>
      <c r="C23" s="67" t="s">
        <v>318</v>
      </c>
      <c r="D23" s="67" t="s">
        <v>317</v>
      </c>
      <c r="E23" s="67" t="s">
        <v>318</v>
      </c>
      <c r="F23" s="67" t="s">
        <v>319</v>
      </c>
      <c r="G23" s="70">
        <v>41030</v>
      </c>
    </row>
    <row r="24" spans="2:7" ht="15.75" thickBot="1" x14ac:dyDescent="0.3">
      <c r="B24" s="68" t="s">
        <v>321</v>
      </c>
      <c r="C24" s="69" t="s">
        <v>318</v>
      </c>
      <c r="D24" s="69" t="s">
        <v>320</v>
      </c>
      <c r="E24" s="69" t="s">
        <v>318</v>
      </c>
      <c r="F24" s="69" t="s">
        <v>319</v>
      </c>
      <c r="G24" s="71">
        <v>41030</v>
      </c>
    </row>
  </sheetData>
  <sortState ref="B3:G24">
    <sortCondition ref="G3:G24"/>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8"/>
  <sheetViews>
    <sheetView showGridLines="0" workbookViewId="0">
      <selection activeCell="B2" sqref="B2:E13"/>
    </sheetView>
  </sheetViews>
  <sheetFormatPr defaultRowHeight="15" x14ac:dyDescent="0.25"/>
  <cols>
    <col min="2" max="2" width="14.28515625" bestFit="1" customWidth="1"/>
    <col min="3" max="3" width="22" bestFit="1" customWidth="1"/>
    <col min="4" max="4" width="17.28515625" customWidth="1"/>
    <col min="5" max="5" width="16.42578125" bestFit="1" customWidth="1"/>
  </cols>
  <sheetData>
    <row r="1" spans="2:7" ht="15.75" thickBot="1" x14ac:dyDescent="0.3"/>
    <row r="2" spans="2:7" x14ac:dyDescent="0.25">
      <c r="B2" s="77" t="s">
        <v>290</v>
      </c>
      <c r="C2" s="78" t="s">
        <v>16</v>
      </c>
      <c r="D2" s="79" t="s">
        <v>368</v>
      </c>
      <c r="E2" s="80" t="s">
        <v>369</v>
      </c>
    </row>
    <row r="3" spans="2:7" x14ac:dyDescent="0.25">
      <c r="B3" s="66" t="s">
        <v>357</v>
      </c>
      <c r="C3" s="67" t="s">
        <v>366</v>
      </c>
      <c r="D3" s="81"/>
      <c r="E3" s="82">
        <v>1.1000000000000001</v>
      </c>
    </row>
    <row r="4" spans="2:7" x14ac:dyDescent="0.25">
      <c r="B4" s="66" t="s">
        <v>358</v>
      </c>
      <c r="C4" s="67" t="s">
        <v>359</v>
      </c>
      <c r="D4" s="81">
        <v>4.7</v>
      </c>
      <c r="E4" s="82">
        <v>6.6</v>
      </c>
    </row>
    <row r="5" spans="2:7" x14ac:dyDescent="0.25">
      <c r="B5" s="66" t="s">
        <v>34</v>
      </c>
      <c r="C5" s="67" t="s">
        <v>367</v>
      </c>
      <c r="D5" s="81">
        <v>11.1</v>
      </c>
      <c r="E5" s="82">
        <v>27.9</v>
      </c>
    </row>
    <row r="6" spans="2:7" x14ac:dyDescent="0.25">
      <c r="B6" s="66" t="s">
        <v>40</v>
      </c>
      <c r="C6" s="67" t="s">
        <v>41</v>
      </c>
      <c r="D6" s="81">
        <v>2</v>
      </c>
      <c r="E6" s="82">
        <v>4.5999999999999996</v>
      </c>
    </row>
    <row r="7" spans="2:7" x14ac:dyDescent="0.25">
      <c r="B7" s="66" t="s">
        <v>360</v>
      </c>
      <c r="C7" s="67" t="s">
        <v>361</v>
      </c>
      <c r="D7" s="81">
        <v>5.8</v>
      </c>
      <c r="E7" s="82">
        <v>26.7</v>
      </c>
    </row>
    <row r="8" spans="2:7" x14ac:dyDescent="0.25">
      <c r="B8" s="66" t="s">
        <v>48</v>
      </c>
      <c r="C8" s="67" t="s">
        <v>362</v>
      </c>
      <c r="D8" s="81">
        <v>30</v>
      </c>
      <c r="E8" s="82">
        <v>39.5</v>
      </c>
    </row>
    <row r="9" spans="2:7" x14ac:dyDescent="0.25">
      <c r="B9" s="66" t="s">
        <v>91</v>
      </c>
      <c r="C9" s="67" t="s">
        <v>363</v>
      </c>
      <c r="D9" s="81">
        <v>40.1</v>
      </c>
      <c r="E9" s="82">
        <v>11.2</v>
      </c>
    </row>
    <row r="10" spans="2:7" x14ac:dyDescent="0.25">
      <c r="B10" s="66" t="s">
        <v>54</v>
      </c>
      <c r="C10" s="67" t="s">
        <v>55</v>
      </c>
      <c r="D10" s="81">
        <v>13.2</v>
      </c>
      <c r="E10" s="82">
        <v>4.4000000000000004</v>
      </c>
    </row>
    <row r="11" spans="2:7" x14ac:dyDescent="0.25">
      <c r="B11" s="66" t="s">
        <v>57</v>
      </c>
      <c r="C11" s="67" t="s">
        <v>364</v>
      </c>
      <c r="D11" s="81">
        <v>5</v>
      </c>
      <c r="E11" s="82">
        <v>10.199999999999999</v>
      </c>
    </row>
    <row r="12" spans="2:7" x14ac:dyDescent="0.25">
      <c r="B12" s="66" t="s">
        <v>60</v>
      </c>
      <c r="C12" s="67" t="s">
        <v>365</v>
      </c>
      <c r="D12" s="81">
        <v>11</v>
      </c>
      <c r="E12" s="82">
        <v>3.3</v>
      </c>
    </row>
    <row r="13" spans="2:7" ht="15.75" thickBot="1" x14ac:dyDescent="0.3">
      <c r="B13" s="68" t="s">
        <v>37</v>
      </c>
      <c r="C13" s="69" t="s">
        <v>38</v>
      </c>
      <c r="D13" s="83">
        <v>3.6</v>
      </c>
      <c r="E13" s="84">
        <v>3.5</v>
      </c>
    </row>
    <row r="16" spans="2:7" x14ac:dyDescent="0.25">
      <c r="C16">
        <v>2007</v>
      </c>
      <c r="D16">
        <v>2008</v>
      </c>
      <c r="E16">
        <v>2009</v>
      </c>
      <c r="F16">
        <v>2010</v>
      </c>
      <c r="G16">
        <v>2011</v>
      </c>
    </row>
    <row r="17" spans="2:7" x14ac:dyDescent="0.25">
      <c r="B17" t="s">
        <v>26</v>
      </c>
      <c r="G17">
        <v>12</v>
      </c>
    </row>
    <row r="18" spans="2:7" x14ac:dyDescent="0.25">
      <c r="B18" t="s">
        <v>30</v>
      </c>
      <c r="F18">
        <v>47</v>
      </c>
      <c r="G18">
        <v>66</v>
      </c>
    </row>
    <row r="19" spans="2:7" x14ac:dyDescent="0.25">
      <c r="B19" t="s">
        <v>34</v>
      </c>
      <c r="F19">
        <v>111</v>
      </c>
      <c r="G19">
        <v>279</v>
      </c>
    </row>
    <row r="20" spans="2:7" x14ac:dyDescent="0.25">
      <c r="B20" t="s">
        <v>37</v>
      </c>
      <c r="F20">
        <v>20</v>
      </c>
      <c r="G20">
        <v>35</v>
      </c>
    </row>
    <row r="21" spans="2:7" x14ac:dyDescent="0.25">
      <c r="B21" t="s">
        <v>40</v>
      </c>
      <c r="D21">
        <v>5</v>
      </c>
      <c r="E21">
        <v>22</v>
      </c>
      <c r="F21">
        <v>58</v>
      </c>
      <c r="G21">
        <v>46</v>
      </c>
    </row>
    <row r="22" spans="2:7" x14ac:dyDescent="0.25">
      <c r="B22" t="s">
        <v>45</v>
      </c>
      <c r="C22">
        <v>382</v>
      </c>
      <c r="D22">
        <v>381</v>
      </c>
      <c r="E22">
        <v>333</v>
      </c>
      <c r="F22">
        <v>300</v>
      </c>
      <c r="G22">
        <v>267</v>
      </c>
    </row>
    <row r="23" spans="2:7" x14ac:dyDescent="0.25">
      <c r="B23" t="s">
        <v>48</v>
      </c>
      <c r="C23">
        <v>338</v>
      </c>
      <c r="D23">
        <v>373</v>
      </c>
      <c r="E23">
        <v>381</v>
      </c>
      <c r="F23">
        <v>401</v>
      </c>
      <c r="G23">
        <v>395</v>
      </c>
    </row>
    <row r="24" spans="2:7" x14ac:dyDescent="0.25">
      <c r="B24" t="s">
        <v>91</v>
      </c>
      <c r="C24">
        <v>173</v>
      </c>
      <c r="D24">
        <v>174</v>
      </c>
      <c r="E24">
        <v>158</v>
      </c>
      <c r="F24">
        <v>132</v>
      </c>
      <c r="G24">
        <v>112</v>
      </c>
    </row>
    <row r="25" spans="2:7" x14ac:dyDescent="0.25">
      <c r="B25" t="s">
        <v>54</v>
      </c>
      <c r="C25">
        <v>53</v>
      </c>
      <c r="D25">
        <v>54</v>
      </c>
      <c r="E25">
        <v>50</v>
      </c>
      <c r="F25">
        <v>50</v>
      </c>
      <c r="G25">
        <v>44</v>
      </c>
    </row>
    <row r="26" spans="2:7" x14ac:dyDescent="0.25">
      <c r="B26" t="s">
        <v>57</v>
      </c>
      <c r="D26">
        <v>134</v>
      </c>
      <c r="E26">
        <v>121</v>
      </c>
      <c r="F26">
        <v>110</v>
      </c>
      <c r="G26">
        <v>102</v>
      </c>
    </row>
    <row r="27" spans="2:7" x14ac:dyDescent="0.25">
      <c r="B27" t="s">
        <v>60</v>
      </c>
      <c r="C27">
        <v>9</v>
      </c>
      <c r="D27">
        <v>19</v>
      </c>
      <c r="E27">
        <v>27</v>
      </c>
      <c r="F27">
        <v>36</v>
      </c>
      <c r="G27">
        <v>33</v>
      </c>
    </row>
    <row r="28" spans="2:7" x14ac:dyDescent="0.25">
      <c r="B28" t="s">
        <v>123</v>
      </c>
      <c r="C28">
        <v>955</v>
      </c>
      <c r="D28">
        <v>1140</v>
      </c>
      <c r="E28">
        <v>1092</v>
      </c>
      <c r="F28">
        <v>1265</v>
      </c>
      <c r="G28">
        <v>1391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C0932B-AF9A-411E-B4B4-C94AD5CCD8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D08A24B7-8DC4-44EE-A838-B963A34EAE53}">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www.w3.org/XML/1998/namespace"/>
    <ds:schemaRef ds:uri="http://purl.org/dc/dcmitype/"/>
  </ds:schemaRefs>
</ds:datastoreItem>
</file>

<file path=customXml/itemProps3.xml><?xml version="1.0" encoding="utf-8"?>
<ds:datastoreItem xmlns:ds="http://schemas.openxmlformats.org/officeDocument/2006/customXml" ds:itemID="{3083538D-856A-4FC8-A920-D5A7F3AAF6E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Main</vt:lpstr>
      <vt:lpstr>Model</vt:lpstr>
      <vt:lpstr>Marketed products</vt:lpstr>
      <vt:lpstr>ONO-4641</vt:lpstr>
      <vt:lpstr>ONO-7165</vt:lpstr>
      <vt:lpstr>ONO-5163</vt:lpstr>
      <vt:lpstr>Ivabradine</vt:lpstr>
      <vt:lpstr>Deals</vt:lpstr>
      <vt:lpstr>Sheet1</vt:lpstr>
      <vt:lpstr>Model!Print_Area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avaino</dc:creator>
  <cp:lastModifiedBy>Martin</cp:lastModifiedBy>
  <cp:lastPrinted>2012-07-13T16:40:46Z</cp:lastPrinted>
  <dcterms:created xsi:type="dcterms:W3CDTF">2012-06-26T13:53:24Z</dcterms:created>
  <dcterms:modified xsi:type="dcterms:W3CDTF">2014-11-27T16:17:37Z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