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38.122.241.246\work\Models\"/>
    </mc:Choice>
  </mc:AlternateContent>
  <bookViews>
    <workbookView xWindow="480" yWindow="105" windowWidth="13395" windowHeight="3915"/>
  </bookViews>
  <sheets>
    <sheet name="Main" sheetId="1" r:id="rId1"/>
    <sheet name="Model" sheetId="2" r:id="rId2"/>
  </sheets>
  <calcPr calcId="152511"/>
</workbook>
</file>

<file path=xl/calcChain.xml><?xml version="1.0" encoding="utf-8"?>
<calcChain xmlns="http://schemas.openxmlformats.org/spreadsheetml/2006/main">
  <c r="I6" i="1" l="1"/>
  <c r="I5" i="1"/>
  <c r="R28" i="2" l="1"/>
  <c r="S28" i="2" s="1"/>
  <c r="T28" i="2" s="1"/>
  <c r="U28" i="2" s="1"/>
  <c r="V28" i="2" s="1"/>
  <c r="J42" i="2"/>
  <c r="J62" i="2" s="1"/>
  <c r="J52" i="2"/>
  <c r="J46" i="2"/>
  <c r="J50" i="2" s="1"/>
  <c r="J59" i="2"/>
  <c r="J44" i="2" l="1"/>
  <c r="J51" i="2" s="1"/>
  <c r="J53" i="2" s="1"/>
  <c r="J63" i="2" s="1"/>
  <c r="J55" i="2"/>
  <c r="J56" i="2" s="1"/>
  <c r="I4" i="1"/>
  <c r="I7" i="1" s="1"/>
  <c r="M59" i="2"/>
  <c r="N52" i="2" s="1"/>
  <c r="L59" i="2"/>
  <c r="M57" i="2" l="1"/>
  <c r="N57" i="2" s="1"/>
  <c r="O57" i="2" s="1"/>
  <c r="P57" i="2" s="1"/>
  <c r="Q57" i="2" s="1"/>
  <c r="R57" i="2" s="1"/>
  <c r="S57" i="2" s="1"/>
  <c r="T57" i="2" s="1"/>
  <c r="U57" i="2" s="1"/>
  <c r="V57" i="2" s="1"/>
  <c r="O63" i="2" l="1"/>
  <c r="P63" i="2" s="1"/>
  <c r="Q63" i="2" s="1"/>
  <c r="R63" i="2" s="1"/>
  <c r="S63" i="2" s="1"/>
  <c r="T63" i="2" s="1"/>
  <c r="U63" i="2" s="1"/>
  <c r="V63" i="2" s="1"/>
  <c r="S49" i="2"/>
  <c r="T49" i="2" s="1"/>
  <c r="S39" i="2"/>
  <c r="T39" i="2" s="1"/>
  <c r="U39" i="2" s="1"/>
  <c r="V39" i="2" s="1"/>
  <c r="S38" i="2"/>
  <c r="T38" i="2" s="1"/>
  <c r="U38" i="2" s="1"/>
  <c r="V38" i="2" s="1"/>
  <c r="S37" i="2"/>
  <c r="T37" i="2" s="1"/>
  <c r="U37" i="2" s="1"/>
  <c r="V37" i="2" s="1"/>
  <c r="R36" i="2"/>
  <c r="Q36" i="2"/>
  <c r="P36" i="2"/>
  <c r="O36" i="2"/>
  <c r="N36" i="2"/>
  <c r="M36" i="2"/>
  <c r="L36" i="2"/>
  <c r="S33" i="2"/>
  <c r="T33" i="2" s="1"/>
  <c r="U33" i="2" s="1"/>
  <c r="V33" i="2" s="1"/>
  <c r="S32" i="2"/>
  <c r="T32" i="2" s="1"/>
  <c r="U32" i="2" s="1"/>
  <c r="V32" i="2" s="1"/>
  <c r="U49" i="2" l="1"/>
  <c r="T50" i="2"/>
  <c r="S50" i="2"/>
  <c r="S31" i="2"/>
  <c r="T31" i="2" s="1"/>
  <c r="U31" i="2" s="1"/>
  <c r="V31" i="2" s="1"/>
  <c r="S30" i="2"/>
  <c r="T30" i="2" s="1"/>
  <c r="U30" i="2" s="1"/>
  <c r="V30" i="2" s="1"/>
  <c r="S29" i="2"/>
  <c r="T29" i="2" s="1"/>
  <c r="U29" i="2" s="1"/>
  <c r="V29" i="2" s="1"/>
  <c r="S27" i="2"/>
  <c r="T27" i="2" s="1"/>
  <c r="U27" i="2" s="1"/>
  <c r="V27" i="2" s="1"/>
  <c r="T24" i="2"/>
  <c r="U24" i="2" s="1"/>
  <c r="V24" i="2" s="1"/>
  <c r="S23" i="2"/>
  <c r="T23" i="2" s="1"/>
  <c r="U23" i="2" s="1"/>
  <c r="V23" i="2" s="1"/>
  <c r="S22" i="2"/>
  <c r="T22" i="2" s="1"/>
  <c r="U22" i="2" s="1"/>
  <c r="V22" i="2" s="1"/>
  <c r="S21" i="2"/>
  <c r="T21" i="2" s="1"/>
  <c r="U21" i="2" s="1"/>
  <c r="V21" i="2" s="1"/>
  <c r="S20" i="2"/>
  <c r="T20" i="2" s="1"/>
  <c r="U20" i="2" s="1"/>
  <c r="V20" i="2" s="1"/>
  <c r="S19" i="2"/>
  <c r="T19" i="2" s="1"/>
  <c r="U19" i="2" s="1"/>
  <c r="V19" i="2" s="1"/>
  <c r="S18" i="2"/>
  <c r="T18" i="2" s="1"/>
  <c r="U18" i="2" s="1"/>
  <c r="V18" i="2" s="1"/>
  <c r="S17" i="2"/>
  <c r="T17" i="2" s="1"/>
  <c r="U17" i="2" s="1"/>
  <c r="V17" i="2" s="1"/>
  <c r="S16" i="2"/>
  <c r="T16" i="2" s="1"/>
  <c r="U16" i="2" s="1"/>
  <c r="V16" i="2" s="1"/>
  <c r="S15" i="2"/>
  <c r="T15" i="2" s="1"/>
  <c r="U15" i="2" s="1"/>
  <c r="V15" i="2" s="1"/>
  <c r="U14" i="2"/>
  <c r="V14" i="2" s="1"/>
  <c r="T14" i="2"/>
  <c r="S10" i="2"/>
  <c r="T10" i="2" s="1"/>
  <c r="U10" i="2" s="1"/>
  <c r="V10" i="2" s="1"/>
  <c r="U13" i="2"/>
  <c r="V13" i="2" s="1"/>
  <c r="S12" i="2"/>
  <c r="T12" i="2" s="1"/>
  <c r="U12" i="2" s="1"/>
  <c r="V12" i="2" s="1"/>
  <c r="S11" i="2"/>
  <c r="T11" i="2" s="1"/>
  <c r="U11" i="2" s="1"/>
  <c r="V11" i="2" s="1"/>
  <c r="S9" i="2"/>
  <c r="T9" i="2" s="1"/>
  <c r="U9" i="2" s="1"/>
  <c r="V9" i="2" s="1"/>
  <c r="S8" i="2"/>
  <c r="T8" i="2" s="1"/>
  <c r="U8" i="2" s="1"/>
  <c r="V8" i="2" s="1"/>
  <c r="S7" i="2"/>
  <c r="T7" i="2" s="1"/>
  <c r="U7" i="2" s="1"/>
  <c r="V7" i="2" s="1"/>
  <c r="S6" i="2"/>
  <c r="T6" i="2" s="1"/>
  <c r="U6" i="2" s="1"/>
  <c r="V6" i="2" s="1"/>
  <c r="S5" i="2"/>
  <c r="T5" i="2" s="1"/>
  <c r="U5" i="2" s="1"/>
  <c r="R50" i="2"/>
  <c r="Q50" i="2"/>
  <c r="P50" i="2"/>
  <c r="O50" i="2"/>
  <c r="N50" i="2"/>
  <c r="R40" i="2"/>
  <c r="R42" i="2" s="1"/>
  <c r="Q40" i="2"/>
  <c r="Q42" i="2" s="1"/>
  <c r="P40" i="2"/>
  <c r="P42" i="2" s="1"/>
  <c r="O40" i="2"/>
  <c r="O42" i="2" s="1"/>
  <c r="N40" i="2"/>
  <c r="N42" i="2" s="1"/>
  <c r="M52" i="2"/>
  <c r="M50" i="2"/>
  <c r="L52" i="2"/>
  <c r="L50" i="2"/>
  <c r="M40" i="2"/>
  <c r="M42" i="2" s="1"/>
  <c r="L40" i="2"/>
  <c r="L42" i="2" s="1"/>
  <c r="S36" i="2" l="1"/>
  <c r="S40" i="2" s="1"/>
  <c r="S42" i="2" s="1"/>
  <c r="U36" i="2"/>
  <c r="U40" i="2" s="1"/>
  <c r="U42" i="2" s="1"/>
  <c r="V5" i="2"/>
  <c r="V36" i="2" s="1"/>
  <c r="V40" i="2" s="1"/>
  <c r="V42" i="2" s="1"/>
  <c r="M44" i="2"/>
  <c r="M51" i="2" s="1"/>
  <c r="M53" i="2" s="1"/>
  <c r="M62" i="2"/>
  <c r="N62" i="2" s="1"/>
  <c r="O62" i="2" s="1"/>
  <c r="P62" i="2" s="1"/>
  <c r="Q62" i="2" s="1"/>
  <c r="R62" i="2" s="1"/>
  <c r="S62" i="2" s="1"/>
  <c r="L44" i="2"/>
  <c r="L51" i="2" s="1"/>
  <c r="L53" i="2" s="1"/>
  <c r="L62" i="2"/>
  <c r="T36" i="2"/>
  <c r="T40" i="2" s="1"/>
  <c r="T42" i="2" s="1"/>
  <c r="V49" i="2"/>
  <c r="V50" i="2" s="1"/>
  <c r="U50" i="2"/>
  <c r="Q43" i="2"/>
  <c r="Q44" i="2" s="1"/>
  <c r="Q51" i="2" s="1"/>
  <c r="O43" i="2"/>
  <c r="O44" i="2" s="1"/>
  <c r="O51" i="2" s="1"/>
  <c r="P43" i="2" l="1"/>
  <c r="P44" i="2" s="1"/>
  <c r="P51" i="2" s="1"/>
  <c r="L55" i="2"/>
  <c r="L56" i="2" s="1"/>
  <c r="L63" i="2"/>
  <c r="M55" i="2"/>
  <c r="M56" i="2" s="1"/>
  <c r="M63" i="2"/>
  <c r="N43" i="2"/>
  <c r="N44" i="2" s="1"/>
  <c r="N51" i="2" s="1"/>
  <c r="N53" i="2" s="1"/>
  <c r="N55" i="2" s="1"/>
  <c r="N56" i="2" s="1"/>
  <c r="R43" i="2"/>
  <c r="R44" i="2" s="1"/>
  <c r="R51" i="2" s="1"/>
  <c r="T62" i="2"/>
  <c r="S43" i="2"/>
  <c r="S44" i="2" s="1"/>
  <c r="S51" i="2" s="1"/>
  <c r="N59" i="2" l="1"/>
  <c r="T43" i="2"/>
  <c r="T44" i="2" s="1"/>
  <c r="T51" i="2" s="1"/>
  <c r="U62" i="2"/>
  <c r="U43" i="2" l="1"/>
  <c r="U44" i="2" s="1"/>
  <c r="U51" i="2" s="1"/>
  <c r="V62" i="2"/>
  <c r="O52" i="2"/>
  <c r="O53" i="2" s="1"/>
  <c r="O55" i="2" s="1"/>
  <c r="O56" i="2" l="1"/>
  <c r="O59" i="2"/>
  <c r="P52" i="2" s="1"/>
  <c r="P53" i="2" s="1"/>
  <c r="P55" i="2" s="1"/>
  <c r="V43" i="2"/>
  <c r="V44" i="2" s="1"/>
  <c r="V51" i="2" s="1"/>
  <c r="P56" i="2" l="1"/>
  <c r="P59" i="2"/>
  <c r="Q52" i="2" s="1"/>
  <c r="Q53" i="2" s="1"/>
  <c r="Q55" i="2" s="1"/>
  <c r="Q59" i="2" l="1"/>
  <c r="Q56" i="2"/>
  <c r="R52" i="2" l="1"/>
  <c r="R53" i="2" s="1"/>
  <c r="R55" i="2" s="1"/>
  <c r="R56" i="2" l="1"/>
  <c r="R59" i="2"/>
  <c r="S52" i="2"/>
  <c r="S53" i="2" s="1"/>
  <c r="S54" i="2" s="1"/>
  <c r="S55" i="2" s="1"/>
  <c r="S56" i="2" l="1"/>
  <c r="S59" i="2"/>
  <c r="T52" i="2" l="1"/>
  <c r="T53" i="2" s="1"/>
  <c r="T54" i="2" s="1"/>
  <c r="T55" i="2" s="1"/>
  <c r="T56" i="2" s="1"/>
  <c r="T59" i="2" l="1"/>
  <c r="U52" i="2" l="1"/>
  <c r="U53" i="2" s="1"/>
  <c r="U54" i="2" s="1"/>
  <c r="U55" i="2" s="1"/>
  <c r="U56" i="2" s="1"/>
  <c r="U59" i="2" l="1"/>
  <c r="V52" i="2" l="1"/>
  <c r="V53" i="2" s="1"/>
  <c r="V54" i="2" s="1"/>
  <c r="V55" i="2" s="1"/>
  <c r="V56" i="2" l="1"/>
  <c r="W55" i="2"/>
  <c r="V59" i="2"/>
  <c r="X55" i="2" l="1"/>
  <c r="W59" i="2"/>
  <c r="Y55" i="2" l="1"/>
  <c r="X59" i="2"/>
  <c r="Z55" i="2" l="1"/>
  <c r="AA55" i="2" s="1"/>
  <c r="AB55" i="2" s="1"/>
  <c r="AC55" i="2" s="1"/>
  <c r="AD55" i="2" s="1"/>
  <c r="AE55" i="2" s="1"/>
  <c r="AF55" i="2" s="1"/>
  <c r="AG55" i="2" s="1"/>
  <c r="AH55" i="2" s="1"/>
  <c r="AI55" i="2" s="1"/>
  <c r="AJ55" i="2" s="1"/>
  <c r="AK55" i="2" s="1"/>
  <c r="AL55" i="2" s="1"/>
  <c r="AM55" i="2" s="1"/>
  <c r="AN55" i="2" s="1"/>
  <c r="AO55" i="2" s="1"/>
  <c r="AP55" i="2" s="1"/>
  <c r="AQ55" i="2" s="1"/>
  <c r="AR55" i="2" s="1"/>
  <c r="AS55" i="2" s="1"/>
  <c r="AT55" i="2" s="1"/>
  <c r="AU55" i="2" s="1"/>
  <c r="AV55" i="2" s="1"/>
  <c r="AW55" i="2" s="1"/>
  <c r="AX55" i="2" s="1"/>
  <c r="AY55" i="2" s="1"/>
  <c r="AZ55" i="2" s="1"/>
  <c r="BA55" i="2" s="1"/>
  <c r="BB55" i="2" s="1"/>
  <c r="BC55" i="2" s="1"/>
  <c r="BD55" i="2" s="1"/>
  <c r="BE55" i="2" s="1"/>
  <c r="BF55" i="2" s="1"/>
  <c r="BG55" i="2" s="1"/>
  <c r="BH55" i="2" s="1"/>
  <c r="BI55" i="2" s="1"/>
  <c r="BJ55" i="2" s="1"/>
  <c r="BK55" i="2" s="1"/>
  <c r="BL55" i="2" s="1"/>
  <c r="BM55" i="2" s="1"/>
  <c r="BN55" i="2" s="1"/>
  <c r="BO55" i="2" s="1"/>
  <c r="BP55" i="2" s="1"/>
  <c r="BQ55" i="2" s="1"/>
  <c r="BR55" i="2" s="1"/>
  <c r="BS55" i="2" s="1"/>
  <c r="BT55" i="2" s="1"/>
  <c r="BU55" i="2" s="1"/>
  <c r="BV55" i="2" s="1"/>
  <c r="BW55" i="2" s="1"/>
  <c r="BX55" i="2" s="1"/>
  <c r="BY55" i="2" s="1"/>
  <c r="BZ55" i="2" s="1"/>
  <c r="CA55" i="2" s="1"/>
  <c r="CB55" i="2" s="1"/>
  <c r="CC55" i="2" s="1"/>
  <c r="CD55" i="2" s="1"/>
  <c r="CE55" i="2" s="1"/>
  <c r="CF55" i="2" s="1"/>
  <c r="CG55" i="2" s="1"/>
  <c r="CH55" i="2" s="1"/>
  <c r="CI55" i="2" s="1"/>
  <c r="Y59" i="2"/>
  <c r="Y63" i="2" l="1"/>
  <c r="Y65" i="2" s="1"/>
  <c r="Z59" i="2"/>
  <c r="AA59" i="2" s="1"/>
  <c r="AB59" i="2" s="1"/>
  <c r="AC59" i="2" s="1"/>
  <c r="AD59" i="2" s="1"/>
  <c r="AE59" i="2" s="1"/>
  <c r="AF59" i="2" s="1"/>
  <c r="AG59" i="2" s="1"/>
  <c r="AH59" i="2" s="1"/>
  <c r="AI59" i="2" s="1"/>
  <c r="AJ59" i="2" s="1"/>
  <c r="AK59" i="2" s="1"/>
  <c r="AL59" i="2" s="1"/>
  <c r="AM59" i="2" s="1"/>
  <c r="AN59" i="2" s="1"/>
  <c r="AO59" i="2" s="1"/>
  <c r="AP59" i="2" s="1"/>
  <c r="AQ59" i="2" s="1"/>
  <c r="AR59" i="2" s="1"/>
  <c r="AS59" i="2" s="1"/>
  <c r="AT59" i="2" s="1"/>
  <c r="AU59" i="2" s="1"/>
  <c r="AV59" i="2" s="1"/>
  <c r="AW59" i="2" s="1"/>
  <c r="AX59" i="2" s="1"/>
  <c r="AY59" i="2" s="1"/>
  <c r="AZ59" i="2" s="1"/>
  <c r="BA59" i="2" s="1"/>
  <c r="BB59" i="2" s="1"/>
  <c r="BC59" i="2" s="1"/>
  <c r="BD59" i="2" s="1"/>
  <c r="BE59" i="2" s="1"/>
  <c r="BF59" i="2" s="1"/>
  <c r="BG59" i="2" s="1"/>
  <c r="BH59" i="2" s="1"/>
  <c r="BI59" i="2" s="1"/>
  <c r="BJ59" i="2" s="1"/>
  <c r="BK59" i="2" s="1"/>
  <c r="BL59" i="2" s="1"/>
  <c r="BM59" i="2" s="1"/>
  <c r="BN59" i="2" s="1"/>
  <c r="BO59" i="2" s="1"/>
  <c r="BP59" i="2" s="1"/>
  <c r="BQ59" i="2" s="1"/>
  <c r="BR59" i="2" s="1"/>
  <c r="BS59" i="2" s="1"/>
  <c r="BT59" i="2" s="1"/>
  <c r="BU59" i="2" s="1"/>
  <c r="BV59" i="2" s="1"/>
  <c r="BW59" i="2" s="1"/>
  <c r="BX59" i="2" s="1"/>
  <c r="BY59" i="2" s="1"/>
  <c r="BZ59" i="2" s="1"/>
  <c r="CA59" i="2" s="1"/>
  <c r="CB59" i="2" s="1"/>
  <c r="CC59" i="2" s="1"/>
  <c r="CD59" i="2" s="1"/>
  <c r="CE59" i="2" s="1"/>
  <c r="CF59" i="2" s="1"/>
  <c r="CG59" i="2" s="1"/>
  <c r="CH59" i="2" s="1"/>
  <c r="CI59" i="2" s="1"/>
</calcChain>
</file>

<file path=xl/comments1.xml><?xml version="1.0" encoding="utf-8"?>
<comments xmlns="http://schemas.openxmlformats.org/spreadsheetml/2006/main">
  <authors>
    <author>Caroline Stewart</author>
  </authors>
  <commentList>
    <comment ref="P38" authorId="0" shapeId="0">
      <text>
        <r>
          <rPr>
            <b/>
            <sz val="9"/>
            <color indexed="81"/>
            <rFont val="Tahoma"/>
            <family val="2"/>
          </rPr>
          <t>Caroline Stewart:</t>
        </r>
        <r>
          <rPr>
            <sz val="9"/>
            <color indexed="81"/>
            <rFont val="Tahoma"/>
            <family val="2"/>
          </rPr>
          <t xml:space="preserve">
target 310b yen in FY2013 w 10% operating margin based on cost-cutting</t>
        </r>
      </text>
    </comment>
    <comment ref="P42" authorId="0" shapeId="0">
      <text>
        <r>
          <rPr>
            <b/>
            <sz val="9"/>
            <color indexed="81"/>
            <rFont val="Tahoma"/>
            <family val="2"/>
          </rPr>
          <t>Caroline Stewart:</t>
        </r>
        <r>
          <rPr>
            <sz val="9"/>
            <color indexed="81"/>
            <rFont val="Tahoma"/>
            <family val="2"/>
          </rPr>
          <t xml:space="preserve">
target sales of 1,330b yen in FY2013
</t>
        </r>
      </text>
    </comment>
    <comment ref="P51" authorId="0" shapeId="0">
      <text>
        <r>
          <rPr>
            <b/>
            <sz val="9"/>
            <color indexed="81"/>
            <rFont val="Tahoma"/>
            <family val="2"/>
          </rPr>
          <t>Caroline Stewart:</t>
        </r>
        <r>
          <rPr>
            <sz val="9"/>
            <color indexed="81"/>
            <rFont val="Tahoma"/>
            <family val="2"/>
          </rPr>
          <t xml:space="preserve">
target of 200b yen in FY2013
</t>
        </r>
      </text>
    </comment>
  </commentList>
</comments>
</file>

<file path=xl/sharedStrings.xml><?xml version="1.0" encoding="utf-8"?>
<sst xmlns="http://schemas.openxmlformats.org/spreadsheetml/2006/main" count="118" uniqueCount="94">
  <si>
    <t>Domestic</t>
  </si>
  <si>
    <t>Pretaal</t>
  </si>
  <si>
    <t>Mucosta</t>
  </si>
  <si>
    <t>UFT</t>
  </si>
  <si>
    <t>Abilify</t>
  </si>
  <si>
    <t>TS-1</t>
  </si>
  <si>
    <t>Uzel</t>
  </si>
  <si>
    <t>Protekagin</t>
  </si>
  <si>
    <t>Zosyn</t>
  </si>
  <si>
    <t>P4</t>
  </si>
  <si>
    <t>Aminoleban</t>
  </si>
  <si>
    <t>Meptin</t>
  </si>
  <si>
    <t>IPD</t>
  </si>
  <si>
    <t>Mikelan</t>
  </si>
  <si>
    <t>Aloxi</t>
  </si>
  <si>
    <t>Abraxane</t>
  </si>
  <si>
    <t>Samsca</t>
  </si>
  <si>
    <t>E-Keppra</t>
  </si>
  <si>
    <t>Diagnostics</t>
  </si>
  <si>
    <t>Nutritions</t>
  </si>
  <si>
    <t>Other</t>
  </si>
  <si>
    <t>Pipeline</t>
  </si>
  <si>
    <t>Overseas</t>
  </si>
  <si>
    <t>Abilify US</t>
  </si>
  <si>
    <t>Abilify ex-US</t>
  </si>
  <si>
    <t>Sprycel/Ixempra</t>
  </si>
  <si>
    <t>Others</t>
  </si>
  <si>
    <t>Pharma sales</t>
  </si>
  <si>
    <t>Nutraceuticals</t>
  </si>
  <si>
    <t>Consumer</t>
  </si>
  <si>
    <t>Consolidated sales</t>
  </si>
  <si>
    <t>Net sales</t>
  </si>
  <si>
    <t>COGS</t>
  </si>
  <si>
    <t>Gross profit</t>
  </si>
  <si>
    <t>R&amp;D</t>
  </si>
  <si>
    <t>SG&amp;A</t>
  </si>
  <si>
    <t>Total expenses</t>
  </si>
  <si>
    <t>Operating profit</t>
  </si>
  <si>
    <t>Pretax profit</t>
  </si>
  <si>
    <t>Tax</t>
  </si>
  <si>
    <t>EPS</t>
  </si>
  <si>
    <t>COGS (% sales)</t>
  </si>
  <si>
    <t xml:space="preserve">Tax </t>
  </si>
  <si>
    <t>Discount</t>
  </si>
  <si>
    <t>Maturity</t>
  </si>
  <si>
    <t>NPV</t>
  </si>
  <si>
    <t>Share</t>
  </si>
  <si>
    <t>ROIC</t>
  </si>
  <si>
    <t>Shares</t>
  </si>
  <si>
    <t>Price Yen</t>
  </si>
  <si>
    <t>MC Yen</t>
  </si>
  <si>
    <t>Cash Yen</t>
  </si>
  <si>
    <t>Debt Yen</t>
  </si>
  <si>
    <t>EV Yen</t>
  </si>
  <si>
    <t>Name</t>
  </si>
  <si>
    <t>Indication</t>
  </si>
  <si>
    <t>Economics</t>
  </si>
  <si>
    <t>Mechanism</t>
  </si>
  <si>
    <t>IP</t>
  </si>
  <si>
    <t>schizophrenia</t>
  </si>
  <si>
    <t>hypertension</t>
  </si>
  <si>
    <t>antacid</t>
  </si>
  <si>
    <t>cancer</t>
  </si>
  <si>
    <t>CINV</t>
  </si>
  <si>
    <t>hyponatremia</t>
  </si>
  <si>
    <t>bacterial infection</t>
  </si>
  <si>
    <t>antiepileptic</t>
  </si>
  <si>
    <t>UCB</t>
  </si>
  <si>
    <t>Bristol</t>
  </si>
  <si>
    <t>Main</t>
  </si>
  <si>
    <t>Q410</t>
  </si>
  <si>
    <t>FY09</t>
  </si>
  <si>
    <t>FY10</t>
  </si>
  <si>
    <t>FY11</t>
  </si>
  <si>
    <t>FY12</t>
  </si>
  <si>
    <t>FY13</t>
  </si>
  <si>
    <t>FY14</t>
  </si>
  <si>
    <t>FY15</t>
  </si>
  <si>
    <t>FY16</t>
  </si>
  <si>
    <t>FY17</t>
  </si>
  <si>
    <t>FY18</t>
  </si>
  <si>
    <t>FY19</t>
  </si>
  <si>
    <t>Q310</t>
  </si>
  <si>
    <t>Q210</t>
  </si>
  <si>
    <t>Q110</t>
  </si>
  <si>
    <t>Q409</t>
  </si>
  <si>
    <t>Q309</t>
  </si>
  <si>
    <t>Q209</t>
  </si>
  <si>
    <t>Q109</t>
  </si>
  <si>
    <t>Promotion</t>
  </si>
  <si>
    <t>Salaries/Bonuses</t>
  </si>
  <si>
    <t>Cash</t>
  </si>
  <si>
    <t>Net Income</t>
  </si>
  <si>
    <t>Q114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</si>
</sst>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6" fillId="3" borderId="0" xfId="0" applyFont="1" applyFill="1" applyAlignment="1">
      <alignment horizontal="right"/>
    </xf>
    <xf numFmtId="3" fontId="6" fillId="3" borderId="0" xfId="0" applyNumberFormat="1" applyFont="1" applyFill="1" applyAlignment="1">
      <alignment horizontal="right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2" applyFont="1" applyFill="1" applyBorder="1" applyAlignment="1" applyProtection="1"/>
    <xf numFmtId="0" fontId="6" fillId="2" borderId="0" xfId="0" applyFont="1" applyFill="1" applyBorder="1" applyAlignment="1">
      <alignment horizontal="center"/>
    </xf>
    <xf numFmtId="0" fontId="6" fillId="2" borderId="5" xfId="0" applyFont="1" applyFill="1" applyBorder="1"/>
    <xf numFmtId="9" fontId="8" fillId="2" borderId="0" xfId="0" applyNumberFormat="1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9" fontId="6" fillId="2" borderId="0" xfId="0" applyNumberFormat="1" applyFont="1" applyFill="1" applyBorder="1" applyAlignment="1">
      <alignment horizontal="center"/>
    </xf>
    <xf numFmtId="0" fontId="6" fillId="2" borderId="3" xfId="0" applyFont="1" applyFill="1" applyBorder="1" applyAlignment="1"/>
    <xf numFmtId="0" fontId="6" fillId="2" borderId="5" xfId="2" applyFont="1" applyFill="1" applyBorder="1" applyAlignment="1" applyProtection="1"/>
    <xf numFmtId="0" fontId="6" fillId="2" borderId="9" xfId="0" applyFont="1" applyFill="1" applyBorder="1" applyAlignment="1">
      <alignment horizontal="center"/>
    </xf>
    <xf numFmtId="0" fontId="6" fillId="2" borderId="9" xfId="2" applyFont="1" applyFill="1" applyBorder="1" applyAlignment="1" applyProtection="1">
      <alignment horizontal="center"/>
    </xf>
    <xf numFmtId="0" fontId="2" fillId="0" borderId="0" xfId="0" applyFont="1"/>
    <xf numFmtId="0" fontId="9" fillId="0" borderId="0" xfId="0" applyFont="1"/>
    <xf numFmtId="3" fontId="2" fillId="0" borderId="0" xfId="0" applyNumberFormat="1" applyFont="1"/>
    <xf numFmtId="9" fontId="2" fillId="0" borderId="0" xfId="1" applyFont="1"/>
    <xf numFmtId="0" fontId="7" fillId="0" borderId="0" xfId="2" applyAlignment="1" applyProtection="1"/>
    <xf numFmtId="0" fontId="2" fillId="2" borderId="0" xfId="0" applyFont="1" applyFill="1"/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/>
    </xf>
    <xf numFmtId="0" fontId="2" fillId="2" borderId="6" xfId="0" applyFont="1" applyFill="1" applyBorder="1"/>
    <xf numFmtId="0" fontId="2" fillId="2" borderId="7" xfId="0" applyFont="1" applyFill="1" applyBorder="1" applyAlignment="1">
      <alignment horizontal="center"/>
    </xf>
    <xf numFmtId="9" fontId="2" fillId="2" borderId="7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4" fontId="2" fillId="2" borderId="0" xfId="0" applyNumberFormat="1" applyFont="1" applyFill="1"/>
    <xf numFmtId="1" fontId="2" fillId="2" borderId="0" xfId="0" applyNumberFormat="1" applyFont="1" applyFill="1"/>
    <xf numFmtId="3" fontId="2" fillId="2" borderId="0" xfId="0" applyNumberFormat="1" applyFont="1" applyFill="1"/>
    <xf numFmtId="17" fontId="1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0" borderId="0" xfId="0" applyFont="1"/>
    <xf numFmtId="17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Fill="1" applyAlignment="1">
      <alignment horizontal="right"/>
    </xf>
    <xf numFmtId="1" fontId="2" fillId="0" borderId="0" xfId="0" applyNumberFormat="1" applyFont="1" applyAlignment="1">
      <alignment horizontal="right"/>
    </xf>
    <xf numFmtId="9" fontId="2" fillId="0" borderId="0" xfId="1" applyFont="1" applyAlignment="1">
      <alignment horizontal="right"/>
    </xf>
    <xf numFmtId="17" fontId="1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17" fontId="2" fillId="4" borderId="0" xfId="0" applyNumberFormat="1" applyFont="1" applyFill="1" applyAlignment="1">
      <alignment horizontal="right"/>
    </xf>
    <xf numFmtId="17" fontId="1" fillId="4" borderId="0" xfId="0" applyNumberFormat="1" applyFont="1" applyFill="1" applyAlignment="1">
      <alignment horizontal="right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0</xdr:row>
      <xdr:rowOff>47625</xdr:rowOff>
    </xdr:from>
    <xdr:to>
      <xdr:col>9</xdr:col>
      <xdr:colOff>38101</xdr:colOff>
      <xdr:row>87</xdr:row>
      <xdr:rowOff>152400</xdr:rowOff>
    </xdr:to>
    <xdr:cxnSp macro="">
      <xdr:nvCxnSpPr>
        <xdr:cNvPr id="3" name="Straight Connector 2"/>
        <xdr:cNvCxnSpPr/>
      </xdr:nvCxnSpPr>
      <xdr:spPr>
        <a:xfrm flipH="1">
          <a:off x="6296025" y="47625"/>
          <a:ext cx="1" cy="14192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0</xdr:row>
      <xdr:rowOff>0</xdr:rowOff>
    </xdr:from>
    <xdr:to>
      <xdr:col>13</xdr:col>
      <xdr:colOff>19051</xdr:colOff>
      <xdr:row>87</xdr:row>
      <xdr:rowOff>104775</xdr:rowOff>
    </xdr:to>
    <xdr:cxnSp macro="">
      <xdr:nvCxnSpPr>
        <xdr:cNvPr id="6" name="Straight Connector 5"/>
        <xdr:cNvCxnSpPr/>
      </xdr:nvCxnSpPr>
      <xdr:spPr>
        <a:xfrm flipH="1">
          <a:off x="8886825" y="0"/>
          <a:ext cx="1" cy="14192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tabSelected="1" zoomScaleNormal="100" workbookViewId="0">
      <selection activeCell="J5" sqref="J5"/>
    </sheetView>
  </sheetViews>
  <sheetFormatPr defaultRowHeight="12.75" x14ac:dyDescent="0.2"/>
  <cols>
    <col min="1" max="1" width="9.140625" style="20"/>
    <col min="2" max="2" width="9.85546875" style="20" bestFit="1" customWidth="1"/>
    <col min="3" max="3" width="15.5703125" style="20" bestFit="1" customWidth="1"/>
    <col min="4" max="4" width="10.28515625" style="20" bestFit="1" customWidth="1"/>
    <col min="5" max="5" width="10.5703125" style="20" bestFit="1" customWidth="1"/>
    <col min="6" max="6" width="9" style="20" customWidth="1"/>
    <col min="7" max="8" width="9.140625" style="20"/>
    <col min="9" max="9" width="10.140625" style="20" bestFit="1" customWidth="1"/>
    <col min="10" max="10" width="9.28515625" style="20" bestFit="1" customWidth="1"/>
    <col min="11" max="16384" width="9.140625" style="20"/>
  </cols>
  <sheetData>
    <row r="2" spans="2:10" x14ac:dyDescent="0.2">
      <c r="B2" s="11" t="s">
        <v>54</v>
      </c>
      <c r="C2" s="13" t="s">
        <v>55</v>
      </c>
      <c r="D2" s="3" t="s">
        <v>56</v>
      </c>
      <c r="E2" s="3" t="s">
        <v>57</v>
      </c>
      <c r="F2" s="4" t="s">
        <v>58</v>
      </c>
      <c r="H2" s="20" t="s">
        <v>49</v>
      </c>
      <c r="I2" s="30">
        <v>3243</v>
      </c>
      <c r="J2" s="28"/>
    </row>
    <row r="3" spans="2:10" x14ac:dyDescent="0.2">
      <c r="B3" s="5" t="s">
        <v>4</v>
      </c>
      <c r="C3" s="14" t="s">
        <v>59</v>
      </c>
      <c r="D3" s="6" t="s">
        <v>68</v>
      </c>
      <c r="E3" s="21"/>
      <c r="F3" s="22">
        <v>2015</v>
      </c>
      <c r="H3" s="20" t="s">
        <v>48</v>
      </c>
      <c r="I3" s="29">
        <v>542.86611700000003</v>
      </c>
      <c r="J3" s="33" t="s">
        <v>93</v>
      </c>
    </row>
    <row r="4" spans="2:10" x14ac:dyDescent="0.2">
      <c r="B4" s="12" t="s">
        <v>1</v>
      </c>
      <c r="C4" s="21" t="s">
        <v>60</v>
      </c>
      <c r="D4" s="23"/>
      <c r="E4" s="21"/>
      <c r="F4" s="22"/>
      <c r="H4" s="20" t="s">
        <v>50</v>
      </c>
      <c r="I4" s="30">
        <f>I3*I2</f>
        <v>1760514.8174310001</v>
      </c>
    </row>
    <row r="5" spans="2:10" x14ac:dyDescent="0.2">
      <c r="B5" s="7" t="s">
        <v>2</v>
      </c>
      <c r="C5" s="21" t="s">
        <v>61</v>
      </c>
      <c r="D5" s="23"/>
      <c r="E5" s="21"/>
      <c r="F5" s="22"/>
      <c r="H5" s="20" t="s">
        <v>51</v>
      </c>
      <c r="I5" s="30">
        <f>455298+117974+268536</f>
        <v>841808</v>
      </c>
      <c r="J5" s="31" t="s">
        <v>93</v>
      </c>
    </row>
    <row r="6" spans="2:10" x14ac:dyDescent="0.2">
      <c r="B6" s="7" t="s">
        <v>5</v>
      </c>
      <c r="C6" s="21" t="s">
        <v>62</v>
      </c>
      <c r="D6" s="23"/>
      <c r="E6" s="21"/>
      <c r="F6" s="22"/>
      <c r="H6" s="20" t="s">
        <v>52</v>
      </c>
      <c r="I6" s="30">
        <f>53426+14281</f>
        <v>67707</v>
      </c>
      <c r="J6" s="31" t="s">
        <v>93</v>
      </c>
    </row>
    <row r="7" spans="2:10" x14ac:dyDescent="0.2">
      <c r="B7" s="7" t="s">
        <v>6</v>
      </c>
      <c r="C7" s="6" t="s">
        <v>62</v>
      </c>
      <c r="D7" s="8"/>
      <c r="E7" s="6"/>
      <c r="F7" s="9"/>
      <c r="H7" s="20" t="s">
        <v>53</v>
      </c>
      <c r="I7" s="30">
        <f>I4-I5+I6</f>
        <v>986413.81743100006</v>
      </c>
      <c r="J7" s="32"/>
    </row>
    <row r="8" spans="2:10" x14ac:dyDescent="0.2">
      <c r="B8" s="7" t="s">
        <v>3</v>
      </c>
      <c r="C8" s="6" t="s">
        <v>62</v>
      </c>
      <c r="D8" s="10"/>
      <c r="E8" s="6"/>
      <c r="F8" s="9"/>
    </row>
    <row r="9" spans="2:10" x14ac:dyDescent="0.2">
      <c r="B9" s="7" t="s">
        <v>8</v>
      </c>
      <c r="C9" s="6" t="s">
        <v>65</v>
      </c>
      <c r="D9" s="8"/>
      <c r="E9" s="6"/>
      <c r="F9" s="9"/>
    </row>
    <row r="10" spans="2:10" x14ac:dyDescent="0.2">
      <c r="B10" s="7" t="s">
        <v>14</v>
      </c>
      <c r="C10" s="6" t="s">
        <v>63</v>
      </c>
      <c r="D10" s="8"/>
      <c r="E10" s="6"/>
      <c r="F10" s="9"/>
    </row>
    <row r="11" spans="2:10" x14ac:dyDescent="0.2">
      <c r="B11" s="7" t="s">
        <v>15</v>
      </c>
      <c r="C11" s="6" t="s">
        <v>62</v>
      </c>
      <c r="D11" s="8"/>
      <c r="E11" s="6"/>
      <c r="F11" s="9"/>
      <c r="I11" s="30"/>
    </row>
    <row r="12" spans="2:10" x14ac:dyDescent="0.2">
      <c r="B12" s="7" t="s">
        <v>16</v>
      </c>
      <c r="C12" s="6" t="s">
        <v>64</v>
      </c>
      <c r="D12" s="8"/>
      <c r="E12" s="6"/>
      <c r="F12" s="9"/>
    </row>
    <row r="13" spans="2:10" x14ac:dyDescent="0.2">
      <c r="B13" s="24" t="s">
        <v>17</v>
      </c>
      <c r="C13" s="25" t="s">
        <v>66</v>
      </c>
      <c r="D13" s="26" t="s">
        <v>67</v>
      </c>
      <c r="E13" s="25"/>
      <c r="F13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I65"/>
  <sheetViews>
    <sheetView workbookViewId="0">
      <pane xSplit="2" ySplit="2" topLeftCell="C27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5" style="15" bestFit="1" customWidth="1"/>
    <col min="2" max="2" width="17.85546875" style="15" bestFit="1" customWidth="1"/>
    <col min="3" max="10" width="10.140625" style="37" bestFit="1" customWidth="1"/>
    <col min="11" max="11" width="8.7109375" style="15" customWidth="1"/>
    <col min="12" max="22" width="10.140625" style="37" bestFit="1" customWidth="1"/>
    <col min="23" max="24" width="10.140625" style="15" bestFit="1" customWidth="1"/>
    <col min="25" max="25" width="9.5703125" style="15" customWidth="1"/>
    <col min="26" max="87" width="10.140625" style="15" bestFit="1" customWidth="1"/>
    <col min="88" max="16384" width="9.140625" style="15"/>
  </cols>
  <sheetData>
    <row r="1" spans="1:22" x14ac:dyDescent="0.2">
      <c r="A1" s="19" t="s">
        <v>69</v>
      </c>
      <c r="C1" s="46">
        <v>39965</v>
      </c>
      <c r="D1" s="46">
        <v>40057</v>
      </c>
      <c r="E1" s="46">
        <v>40148</v>
      </c>
      <c r="F1" s="46">
        <v>40238</v>
      </c>
      <c r="G1" s="46">
        <v>40330</v>
      </c>
      <c r="H1" s="46">
        <v>40422</v>
      </c>
      <c r="I1" s="46">
        <v>40513</v>
      </c>
      <c r="J1" s="35">
        <v>40603</v>
      </c>
      <c r="L1" s="35">
        <v>40238</v>
      </c>
      <c r="M1" s="35">
        <v>40603</v>
      </c>
      <c r="N1" s="35">
        <v>40969</v>
      </c>
      <c r="O1" s="35">
        <v>41334</v>
      </c>
      <c r="P1" s="35">
        <v>41699</v>
      </c>
      <c r="Q1" s="35">
        <v>42064</v>
      </c>
      <c r="R1" s="35">
        <v>42430</v>
      </c>
      <c r="S1" s="35">
        <v>42795</v>
      </c>
      <c r="T1" s="35">
        <v>43160</v>
      </c>
      <c r="U1" s="35">
        <v>43525</v>
      </c>
      <c r="V1" s="35">
        <v>43891</v>
      </c>
    </row>
    <row r="2" spans="1:22" x14ac:dyDescent="0.2">
      <c r="C2" s="47" t="s">
        <v>88</v>
      </c>
      <c r="D2" s="47" t="s">
        <v>87</v>
      </c>
      <c r="E2" s="47" t="s">
        <v>86</v>
      </c>
      <c r="F2" s="47" t="s">
        <v>85</v>
      </c>
      <c r="G2" s="47" t="s">
        <v>84</v>
      </c>
      <c r="H2" s="47" t="s">
        <v>83</v>
      </c>
      <c r="I2" s="47" t="s">
        <v>82</v>
      </c>
      <c r="J2" s="42" t="s">
        <v>70</v>
      </c>
      <c r="L2" s="36" t="s">
        <v>71</v>
      </c>
      <c r="M2" s="36" t="s">
        <v>72</v>
      </c>
      <c r="N2" s="36" t="s">
        <v>73</v>
      </c>
      <c r="O2" s="36" t="s">
        <v>74</v>
      </c>
      <c r="P2" s="36" t="s">
        <v>75</v>
      </c>
      <c r="Q2" s="36" t="s">
        <v>76</v>
      </c>
      <c r="R2" s="36" t="s">
        <v>77</v>
      </c>
      <c r="S2" s="36" t="s">
        <v>78</v>
      </c>
      <c r="T2" s="36" t="s">
        <v>79</v>
      </c>
      <c r="U2" s="36" t="s">
        <v>80</v>
      </c>
      <c r="V2" s="36" t="s">
        <v>81</v>
      </c>
    </row>
    <row r="4" spans="1:22" x14ac:dyDescent="0.2">
      <c r="B4" s="16" t="s">
        <v>0</v>
      </c>
      <c r="K4" s="16"/>
    </row>
    <row r="5" spans="1:22" x14ac:dyDescent="0.2">
      <c r="B5" s="15" t="s">
        <v>1</v>
      </c>
      <c r="C5" s="38"/>
      <c r="D5" s="38"/>
      <c r="E5" s="38"/>
      <c r="F5" s="38"/>
      <c r="G5" s="38"/>
      <c r="H5" s="38"/>
      <c r="I5" s="38"/>
      <c r="J5" s="38"/>
      <c r="L5" s="38">
        <v>45400</v>
      </c>
      <c r="M5" s="38">
        <v>46500</v>
      </c>
      <c r="N5" s="38">
        <v>46500</v>
      </c>
      <c r="O5" s="38">
        <v>39800</v>
      </c>
      <c r="P5" s="38">
        <v>37800</v>
      </c>
      <c r="Q5" s="38">
        <v>32300</v>
      </c>
      <c r="R5" s="38">
        <v>30700</v>
      </c>
      <c r="S5" s="38">
        <f>R5-1500</f>
        <v>29200</v>
      </c>
      <c r="T5" s="38">
        <f>S5-1500</f>
        <v>27700</v>
      </c>
      <c r="U5" s="38">
        <f>T5-1500</f>
        <v>26200</v>
      </c>
      <c r="V5" s="38">
        <f>U5-1500</f>
        <v>24700</v>
      </c>
    </row>
    <row r="6" spans="1:22" x14ac:dyDescent="0.2">
      <c r="B6" s="15" t="s">
        <v>2</v>
      </c>
      <c r="C6" s="38"/>
      <c r="D6" s="38"/>
      <c r="E6" s="38"/>
      <c r="F6" s="38"/>
      <c r="G6" s="38"/>
      <c r="H6" s="38"/>
      <c r="I6" s="38"/>
      <c r="J6" s="38"/>
      <c r="L6" s="38">
        <v>34500</v>
      </c>
      <c r="M6" s="38">
        <v>27800</v>
      </c>
      <c r="N6" s="38">
        <v>25000</v>
      </c>
      <c r="O6" s="38">
        <v>20300</v>
      </c>
      <c r="P6" s="38">
        <v>18300</v>
      </c>
      <c r="Q6" s="38">
        <v>14800</v>
      </c>
      <c r="R6" s="38">
        <v>13300</v>
      </c>
      <c r="S6" s="38">
        <f>R6-1000</f>
        <v>12300</v>
      </c>
      <c r="T6" s="38">
        <f>S6-500</f>
        <v>11800</v>
      </c>
      <c r="U6" s="38">
        <f>T6-500</f>
        <v>11300</v>
      </c>
      <c r="V6" s="38">
        <f>U6-300</f>
        <v>11000</v>
      </c>
    </row>
    <row r="7" spans="1:22" x14ac:dyDescent="0.2">
      <c r="B7" s="15" t="s">
        <v>3</v>
      </c>
      <c r="C7" s="38"/>
      <c r="D7" s="38"/>
      <c r="E7" s="38"/>
      <c r="F7" s="38"/>
      <c r="G7" s="38"/>
      <c r="H7" s="38"/>
      <c r="I7" s="38"/>
      <c r="J7" s="38"/>
      <c r="L7" s="38">
        <v>18300</v>
      </c>
      <c r="M7" s="38">
        <v>15700</v>
      </c>
      <c r="N7" s="38">
        <v>14900</v>
      </c>
      <c r="O7" s="38">
        <v>13400</v>
      </c>
      <c r="P7" s="38">
        <v>12700</v>
      </c>
      <c r="Q7" s="38">
        <v>11500</v>
      </c>
      <c r="R7" s="38">
        <v>10900</v>
      </c>
      <c r="S7" s="38">
        <f>R7-500</f>
        <v>10400</v>
      </c>
      <c r="T7" s="38">
        <f>S7-400</f>
        <v>10000</v>
      </c>
      <c r="U7" s="38">
        <f>T7</f>
        <v>10000</v>
      </c>
      <c r="V7" s="38">
        <f>U7</f>
        <v>10000</v>
      </c>
    </row>
    <row r="8" spans="1:22" x14ac:dyDescent="0.2">
      <c r="B8" s="15" t="s">
        <v>4</v>
      </c>
      <c r="C8" s="38"/>
      <c r="D8" s="38"/>
      <c r="E8" s="38"/>
      <c r="F8" s="38"/>
      <c r="G8" s="38"/>
      <c r="H8" s="38"/>
      <c r="I8" s="38"/>
      <c r="J8" s="38"/>
      <c r="L8" s="38">
        <v>18700</v>
      </c>
      <c r="M8" s="38">
        <v>23000</v>
      </c>
      <c r="N8" s="38">
        <v>27600</v>
      </c>
      <c r="O8" s="38">
        <v>32900</v>
      </c>
      <c r="P8" s="38">
        <v>39200</v>
      </c>
      <c r="Q8" s="38">
        <v>41500</v>
      </c>
      <c r="R8" s="38">
        <v>43400</v>
      </c>
      <c r="S8" s="38">
        <f>R8+1500</f>
        <v>44900</v>
      </c>
      <c r="T8" s="38">
        <f>S8+1200</f>
        <v>46100</v>
      </c>
      <c r="U8" s="38">
        <f>T8+1000</f>
        <v>47100</v>
      </c>
      <c r="V8" s="38">
        <f>U8+1000</f>
        <v>48100</v>
      </c>
    </row>
    <row r="9" spans="1:22" x14ac:dyDescent="0.2">
      <c r="B9" s="15" t="s">
        <v>5</v>
      </c>
      <c r="C9" s="38"/>
      <c r="D9" s="38"/>
      <c r="E9" s="38"/>
      <c r="F9" s="38"/>
      <c r="G9" s="38"/>
      <c r="H9" s="38"/>
      <c r="I9" s="38"/>
      <c r="J9" s="38"/>
      <c r="L9" s="38">
        <v>37300</v>
      </c>
      <c r="M9" s="38">
        <v>37100</v>
      </c>
      <c r="N9" s="38">
        <v>38200</v>
      </c>
      <c r="O9" s="38">
        <v>35600</v>
      </c>
      <c r="P9" s="38">
        <v>34900</v>
      </c>
      <c r="Q9" s="38">
        <v>32500</v>
      </c>
      <c r="R9" s="38">
        <v>31900</v>
      </c>
      <c r="S9" s="38">
        <f>R9-500</f>
        <v>31400</v>
      </c>
      <c r="T9" s="38">
        <f>S9-500</f>
        <v>30900</v>
      </c>
      <c r="U9" s="38">
        <f>T9-500</f>
        <v>30400</v>
      </c>
      <c r="V9" s="38">
        <f>U9-500</f>
        <v>29900</v>
      </c>
    </row>
    <row r="10" spans="1:22" x14ac:dyDescent="0.2">
      <c r="B10" s="15" t="s">
        <v>6</v>
      </c>
      <c r="C10" s="38"/>
      <c r="D10" s="38"/>
      <c r="E10" s="38"/>
      <c r="F10" s="38"/>
      <c r="G10" s="38"/>
      <c r="H10" s="38"/>
      <c r="I10" s="38"/>
      <c r="J10" s="38"/>
      <c r="L10" s="38">
        <v>15200</v>
      </c>
      <c r="M10" s="38">
        <v>14100</v>
      </c>
      <c r="N10" s="38">
        <v>13800</v>
      </c>
      <c r="O10" s="38">
        <v>12800</v>
      </c>
      <c r="P10" s="38">
        <v>12500</v>
      </c>
      <c r="Q10" s="38">
        <v>11600</v>
      </c>
      <c r="R10" s="38">
        <v>11400</v>
      </c>
      <c r="S10" s="38">
        <f>R10-200</f>
        <v>11200</v>
      </c>
      <c r="T10" s="38">
        <f>S10-100</f>
        <v>11100</v>
      </c>
      <c r="U10" s="38">
        <f>T10-100</f>
        <v>11000</v>
      </c>
      <c r="V10" s="38">
        <f>U10-100</f>
        <v>10900</v>
      </c>
    </row>
    <row r="11" spans="1:22" x14ac:dyDescent="0.2">
      <c r="B11" s="15" t="s">
        <v>7</v>
      </c>
      <c r="C11" s="38"/>
      <c r="D11" s="38"/>
      <c r="E11" s="38"/>
      <c r="F11" s="38"/>
      <c r="G11" s="38"/>
      <c r="H11" s="38"/>
      <c r="I11" s="38"/>
      <c r="J11" s="38"/>
      <c r="L11" s="38">
        <v>5100</v>
      </c>
      <c r="M11" s="38">
        <v>5800</v>
      </c>
      <c r="N11" s="38">
        <v>6400</v>
      </c>
      <c r="O11" s="38">
        <v>6400</v>
      </c>
      <c r="P11" s="38">
        <v>6400</v>
      </c>
      <c r="Q11" s="38">
        <v>6100</v>
      </c>
      <c r="R11" s="38">
        <v>6100</v>
      </c>
      <c r="S11" s="38">
        <f t="shared" ref="S11:V12" si="0">R11</f>
        <v>6100</v>
      </c>
      <c r="T11" s="38">
        <f t="shared" si="0"/>
        <v>6100</v>
      </c>
      <c r="U11" s="38">
        <f t="shared" si="0"/>
        <v>6100</v>
      </c>
      <c r="V11" s="38">
        <f t="shared" si="0"/>
        <v>6100</v>
      </c>
    </row>
    <row r="12" spans="1:22" x14ac:dyDescent="0.2">
      <c r="B12" s="15" t="s">
        <v>8</v>
      </c>
      <c r="C12" s="38"/>
      <c r="D12" s="38"/>
      <c r="E12" s="38"/>
      <c r="F12" s="38"/>
      <c r="G12" s="38"/>
      <c r="H12" s="38"/>
      <c r="I12" s="38"/>
      <c r="J12" s="38"/>
      <c r="L12" s="38">
        <v>11200</v>
      </c>
      <c r="M12" s="38">
        <v>11200</v>
      </c>
      <c r="N12" s="38">
        <v>11800</v>
      </c>
      <c r="O12" s="38">
        <v>11800</v>
      </c>
      <c r="P12" s="38">
        <v>12200</v>
      </c>
      <c r="Q12" s="38">
        <v>11900</v>
      </c>
      <c r="R12" s="38">
        <v>12300</v>
      </c>
      <c r="S12" s="38">
        <f t="shared" si="0"/>
        <v>12300</v>
      </c>
      <c r="T12" s="38">
        <f t="shared" si="0"/>
        <v>12300</v>
      </c>
      <c r="U12" s="38">
        <f t="shared" si="0"/>
        <v>12300</v>
      </c>
      <c r="V12" s="38">
        <f t="shared" si="0"/>
        <v>12300</v>
      </c>
    </row>
    <row r="13" spans="1:22" x14ac:dyDescent="0.2">
      <c r="B13" s="15" t="s">
        <v>9</v>
      </c>
      <c r="C13" s="38"/>
      <c r="D13" s="38"/>
      <c r="E13" s="38"/>
      <c r="F13" s="38"/>
      <c r="G13" s="38"/>
      <c r="H13" s="38"/>
      <c r="I13" s="38"/>
      <c r="J13" s="38"/>
      <c r="L13" s="38">
        <v>7600</v>
      </c>
      <c r="M13" s="38">
        <v>7000</v>
      </c>
      <c r="N13" s="38">
        <v>6800</v>
      </c>
      <c r="O13" s="38">
        <v>6300</v>
      </c>
      <c r="P13" s="38">
        <v>6100</v>
      </c>
      <c r="Q13" s="38">
        <v>5600</v>
      </c>
      <c r="R13" s="38">
        <v>5400</v>
      </c>
      <c r="S13" s="38">
        <v>5200</v>
      </c>
      <c r="T13" s="38">
        <v>5000</v>
      </c>
      <c r="U13" s="38">
        <f>T13</f>
        <v>5000</v>
      </c>
      <c r="V13" s="38">
        <f>U13</f>
        <v>5000</v>
      </c>
    </row>
    <row r="14" spans="1:22" x14ac:dyDescent="0.2">
      <c r="B14" s="15" t="s">
        <v>10</v>
      </c>
      <c r="C14" s="38"/>
      <c r="D14" s="38"/>
      <c r="E14" s="38"/>
      <c r="F14" s="38"/>
      <c r="G14" s="38"/>
      <c r="H14" s="38"/>
      <c r="I14" s="38"/>
      <c r="J14" s="38"/>
      <c r="L14" s="38">
        <v>6400</v>
      </c>
      <c r="M14" s="38">
        <v>6500</v>
      </c>
      <c r="N14" s="38">
        <v>6200</v>
      </c>
      <c r="O14" s="38">
        <v>5600</v>
      </c>
      <c r="P14" s="38">
        <v>5300</v>
      </c>
      <c r="Q14" s="38">
        <v>4800</v>
      </c>
      <c r="R14" s="38">
        <v>4600</v>
      </c>
      <c r="S14" s="38">
        <v>4400</v>
      </c>
      <c r="T14" s="38">
        <f>S14-200</f>
        <v>4200</v>
      </c>
      <c r="U14" s="38">
        <f>T14-200</f>
        <v>4000</v>
      </c>
      <c r="V14" s="38">
        <f>U14</f>
        <v>4000</v>
      </c>
    </row>
    <row r="15" spans="1:22" x14ac:dyDescent="0.2">
      <c r="B15" s="15" t="s">
        <v>11</v>
      </c>
      <c r="C15" s="38"/>
      <c r="D15" s="38"/>
      <c r="E15" s="38"/>
      <c r="F15" s="38"/>
      <c r="G15" s="38"/>
      <c r="H15" s="38"/>
      <c r="I15" s="38"/>
      <c r="J15" s="38"/>
      <c r="L15" s="38">
        <v>5900</v>
      </c>
      <c r="M15" s="38">
        <v>6100</v>
      </c>
      <c r="N15" s="38">
        <v>6200</v>
      </c>
      <c r="O15" s="38">
        <v>5900</v>
      </c>
      <c r="P15" s="38">
        <v>5800</v>
      </c>
      <c r="Q15" s="38">
        <v>5400</v>
      </c>
      <c r="R15" s="38">
        <v>5300</v>
      </c>
      <c r="S15" s="38">
        <f t="shared" ref="S15:U17" si="1">R15-100</f>
        <v>5200</v>
      </c>
      <c r="T15" s="38">
        <f t="shared" si="1"/>
        <v>5100</v>
      </c>
      <c r="U15" s="38">
        <f t="shared" si="1"/>
        <v>5000</v>
      </c>
      <c r="V15" s="38">
        <f>U15</f>
        <v>5000</v>
      </c>
    </row>
    <row r="16" spans="1:22" x14ac:dyDescent="0.2">
      <c r="B16" s="15" t="s">
        <v>12</v>
      </c>
      <c r="C16" s="38"/>
      <c r="D16" s="38"/>
      <c r="E16" s="38"/>
      <c r="F16" s="38"/>
      <c r="G16" s="38"/>
      <c r="H16" s="38"/>
      <c r="I16" s="38"/>
      <c r="J16" s="38"/>
      <c r="L16" s="38">
        <v>2900</v>
      </c>
      <c r="M16" s="38">
        <v>2600</v>
      </c>
      <c r="N16" s="38">
        <v>2500</v>
      </c>
      <c r="O16" s="38">
        <v>2300</v>
      </c>
      <c r="P16" s="38">
        <v>2200</v>
      </c>
      <c r="Q16" s="38">
        <v>2000</v>
      </c>
      <c r="R16" s="38">
        <v>1900</v>
      </c>
      <c r="S16" s="38">
        <f t="shared" si="1"/>
        <v>1800</v>
      </c>
      <c r="T16" s="38">
        <f t="shared" si="1"/>
        <v>1700</v>
      </c>
      <c r="U16" s="38">
        <f t="shared" si="1"/>
        <v>1600</v>
      </c>
      <c r="V16" s="38">
        <f>U16-100</f>
        <v>1500</v>
      </c>
    </row>
    <row r="17" spans="2:22" x14ac:dyDescent="0.2">
      <c r="B17" s="15" t="s">
        <v>13</v>
      </c>
      <c r="C17" s="38"/>
      <c r="D17" s="38"/>
      <c r="E17" s="38"/>
      <c r="F17" s="38"/>
      <c r="G17" s="38"/>
      <c r="H17" s="38"/>
      <c r="I17" s="38"/>
      <c r="J17" s="38"/>
      <c r="L17" s="38">
        <v>3800</v>
      </c>
      <c r="M17" s="38">
        <v>4000</v>
      </c>
      <c r="N17" s="38">
        <v>4000</v>
      </c>
      <c r="O17" s="38">
        <v>3600</v>
      </c>
      <c r="P17" s="38">
        <v>3400</v>
      </c>
      <c r="Q17" s="38">
        <v>3100</v>
      </c>
      <c r="R17" s="38">
        <v>2900</v>
      </c>
      <c r="S17" s="38">
        <f t="shared" si="1"/>
        <v>2800</v>
      </c>
      <c r="T17" s="38">
        <f t="shared" si="1"/>
        <v>2700</v>
      </c>
      <c r="U17" s="38">
        <f t="shared" si="1"/>
        <v>2600</v>
      </c>
      <c r="V17" s="38">
        <f>U17-100</f>
        <v>2500</v>
      </c>
    </row>
    <row r="18" spans="2:22" x14ac:dyDescent="0.2">
      <c r="B18" s="15" t="s">
        <v>14</v>
      </c>
      <c r="C18" s="38"/>
      <c r="D18" s="38"/>
      <c r="E18" s="38"/>
      <c r="F18" s="38"/>
      <c r="G18" s="38"/>
      <c r="H18" s="38"/>
      <c r="I18" s="38"/>
      <c r="J18" s="38"/>
      <c r="L18" s="38"/>
      <c r="M18" s="38">
        <v>4300</v>
      </c>
      <c r="N18" s="38">
        <v>7700</v>
      </c>
      <c r="O18" s="38">
        <v>8800</v>
      </c>
      <c r="P18" s="38">
        <v>9200</v>
      </c>
      <c r="Q18" s="38">
        <v>9200</v>
      </c>
      <c r="R18" s="38">
        <v>9700</v>
      </c>
      <c r="S18" s="38">
        <f>R18+500</f>
        <v>10200</v>
      </c>
      <c r="T18" s="38">
        <f>S18+500</f>
        <v>10700</v>
      </c>
      <c r="U18" s="38">
        <f>T18+500</f>
        <v>11200</v>
      </c>
      <c r="V18" s="38">
        <f>U18+500</f>
        <v>11700</v>
      </c>
    </row>
    <row r="19" spans="2:22" x14ac:dyDescent="0.2">
      <c r="B19" s="15" t="s">
        <v>15</v>
      </c>
      <c r="C19" s="38"/>
      <c r="D19" s="38"/>
      <c r="E19" s="38"/>
      <c r="F19" s="38"/>
      <c r="G19" s="38"/>
      <c r="H19" s="38"/>
      <c r="I19" s="38"/>
      <c r="J19" s="38"/>
      <c r="L19" s="38"/>
      <c r="M19" s="38">
        <v>1100</v>
      </c>
      <c r="N19" s="38">
        <v>3300</v>
      </c>
      <c r="O19" s="38">
        <v>4700</v>
      </c>
      <c r="P19" s="38">
        <v>7100</v>
      </c>
      <c r="Q19" s="38">
        <v>10100</v>
      </c>
      <c r="R19" s="38">
        <v>13100</v>
      </c>
      <c r="S19" s="38">
        <f>R19+3000</f>
        <v>16100</v>
      </c>
      <c r="T19" s="38">
        <f>S19+3000</f>
        <v>19100</v>
      </c>
      <c r="U19" s="38">
        <f>T19+3000</f>
        <v>22100</v>
      </c>
      <c r="V19" s="38">
        <f>U19+3000</f>
        <v>25100</v>
      </c>
    </row>
    <row r="20" spans="2:22" x14ac:dyDescent="0.2">
      <c r="B20" s="15" t="s">
        <v>16</v>
      </c>
      <c r="C20" s="38"/>
      <c r="D20" s="38"/>
      <c r="E20" s="38"/>
      <c r="F20" s="38"/>
      <c r="G20" s="38"/>
      <c r="H20" s="38"/>
      <c r="I20" s="38"/>
      <c r="J20" s="38"/>
      <c r="L20" s="38"/>
      <c r="M20" s="38">
        <v>2900</v>
      </c>
      <c r="N20" s="38">
        <v>5800</v>
      </c>
      <c r="O20" s="38">
        <v>7200</v>
      </c>
      <c r="P20" s="38">
        <v>8300</v>
      </c>
      <c r="Q20" s="38">
        <v>8300</v>
      </c>
      <c r="R20" s="38">
        <v>8700</v>
      </c>
      <c r="S20" s="38">
        <f>R20+400</f>
        <v>9100</v>
      </c>
      <c r="T20" s="38">
        <f>S20+400</f>
        <v>9500</v>
      </c>
      <c r="U20" s="38">
        <f>T20+300</f>
        <v>9800</v>
      </c>
      <c r="V20" s="38">
        <f>U20+200</f>
        <v>10000</v>
      </c>
    </row>
    <row r="21" spans="2:22" x14ac:dyDescent="0.2">
      <c r="B21" s="15" t="s">
        <v>17</v>
      </c>
      <c r="C21" s="38"/>
      <c r="D21" s="38"/>
      <c r="E21" s="38"/>
      <c r="F21" s="38"/>
      <c r="G21" s="38"/>
      <c r="H21" s="38"/>
      <c r="I21" s="38"/>
      <c r="J21" s="38"/>
      <c r="L21" s="38"/>
      <c r="M21" s="38">
        <v>800</v>
      </c>
      <c r="N21" s="38">
        <v>3200</v>
      </c>
      <c r="O21" s="38">
        <v>4000</v>
      </c>
      <c r="P21" s="38">
        <v>5000</v>
      </c>
      <c r="Q21" s="38">
        <v>5700</v>
      </c>
      <c r="R21" s="38">
        <v>6600</v>
      </c>
      <c r="S21" s="38">
        <f>R21+900</f>
        <v>7500</v>
      </c>
      <c r="T21" s="38">
        <f>S21+800</f>
        <v>8300</v>
      </c>
      <c r="U21" s="38">
        <f>T21+700</f>
        <v>9000</v>
      </c>
      <c r="V21" s="38">
        <f>U21+600</f>
        <v>9600</v>
      </c>
    </row>
    <row r="22" spans="2:22" x14ac:dyDescent="0.2">
      <c r="B22" s="15" t="s">
        <v>18</v>
      </c>
      <c r="C22" s="38"/>
      <c r="D22" s="38"/>
      <c r="E22" s="38"/>
      <c r="F22" s="38"/>
      <c r="G22" s="38"/>
      <c r="H22" s="38"/>
      <c r="I22" s="38"/>
      <c r="J22" s="38"/>
      <c r="L22" s="38">
        <v>8200</v>
      </c>
      <c r="M22" s="38">
        <v>6600</v>
      </c>
      <c r="N22" s="38">
        <v>6800</v>
      </c>
      <c r="O22" s="38">
        <v>7000</v>
      </c>
      <c r="P22" s="38">
        <v>7200</v>
      </c>
      <c r="Q22" s="38">
        <v>7400</v>
      </c>
      <c r="R22" s="38">
        <v>7600</v>
      </c>
      <c r="S22" s="38">
        <f t="shared" ref="S22:V23" si="2">R22</f>
        <v>7600</v>
      </c>
      <c r="T22" s="38">
        <f t="shared" si="2"/>
        <v>7600</v>
      </c>
      <c r="U22" s="38">
        <f t="shared" si="2"/>
        <v>7600</v>
      </c>
      <c r="V22" s="38">
        <f t="shared" si="2"/>
        <v>7600</v>
      </c>
    </row>
    <row r="23" spans="2:22" x14ac:dyDescent="0.2">
      <c r="B23" s="15" t="s">
        <v>19</v>
      </c>
      <c r="C23" s="38"/>
      <c r="D23" s="38"/>
      <c r="E23" s="38"/>
      <c r="F23" s="38"/>
      <c r="G23" s="38"/>
      <c r="H23" s="38"/>
      <c r="I23" s="38"/>
      <c r="J23" s="38"/>
      <c r="L23" s="38">
        <v>83000</v>
      </c>
      <c r="M23" s="38">
        <v>87700</v>
      </c>
      <c r="N23" s="38">
        <v>88600</v>
      </c>
      <c r="O23" s="38">
        <v>87700</v>
      </c>
      <c r="P23" s="38">
        <v>86800</v>
      </c>
      <c r="Q23" s="38">
        <v>85900</v>
      </c>
      <c r="R23" s="38">
        <v>85000</v>
      </c>
      <c r="S23" s="38">
        <f t="shared" si="2"/>
        <v>85000</v>
      </c>
      <c r="T23" s="38">
        <f t="shared" si="2"/>
        <v>85000</v>
      </c>
      <c r="U23" s="38">
        <f t="shared" si="2"/>
        <v>85000</v>
      </c>
      <c r="V23" s="38">
        <f t="shared" si="2"/>
        <v>85000</v>
      </c>
    </row>
    <row r="24" spans="2:22" x14ac:dyDescent="0.2">
      <c r="B24" s="15" t="s">
        <v>20</v>
      </c>
      <c r="C24" s="38"/>
      <c r="D24" s="38"/>
      <c r="E24" s="38"/>
      <c r="F24" s="38"/>
      <c r="G24" s="38"/>
      <c r="H24" s="38"/>
      <c r="I24" s="38"/>
      <c r="J24" s="38"/>
      <c r="L24" s="38">
        <v>8900</v>
      </c>
      <c r="M24" s="38">
        <v>8900</v>
      </c>
      <c r="N24" s="38">
        <v>8700</v>
      </c>
      <c r="O24" s="38">
        <v>8500</v>
      </c>
      <c r="P24" s="38">
        <v>8300</v>
      </c>
      <c r="Q24" s="38">
        <v>8100</v>
      </c>
      <c r="R24" s="38">
        <v>7900</v>
      </c>
      <c r="S24" s="38">
        <v>8000</v>
      </c>
      <c r="T24" s="38">
        <f>S24</f>
        <v>8000</v>
      </c>
      <c r="U24" s="38">
        <f>T24</f>
        <v>8000</v>
      </c>
      <c r="V24" s="38">
        <f>U24</f>
        <v>8000</v>
      </c>
    </row>
    <row r="25" spans="2:22" x14ac:dyDescent="0.2">
      <c r="B25" s="15" t="s">
        <v>21</v>
      </c>
      <c r="C25" s="38"/>
      <c r="D25" s="38"/>
      <c r="E25" s="38"/>
      <c r="F25" s="38"/>
      <c r="G25" s="38"/>
      <c r="H25" s="38"/>
      <c r="I25" s="38"/>
      <c r="J25" s="38"/>
      <c r="L25" s="38"/>
      <c r="M25" s="38"/>
      <c r="N25" s="38"/>
      <c r="O25" s="38"/>
      <c r="P25" s="38"/>
      <c r="Q25" s="38"/>
      <c r="R25" s="38"/>
      <c r="S25" s="39"/>
      <c r="T25" s="39"/>
      <c r="U25" s="39"/>
      <c r="V25" s="39"/>
    </row>
    <row r="26" spans="2:22" x14ac:dyDescent="0.2">
      <c r="B26" s="16" t="s">
        <v>22</v>
      </c>
      <c r="C26" s="38"/>
      <c r="D26" s="38"/>
      <c r="E26" s="38"/>
      <c r="F26" s="38"/>
      <c r="G26" s="38"/>
      <c r="H26" s="38"/>
      <c r="I26" s="38"/>
      <c r="J26" s="38"/>
      <c r="K26" s="16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</row>
    <row r="27" spans="2:22" x14ac:dyDescent="0.2">
      <c r="B27" s="15" t="s">
        <v>23</v>
      </c>
      <c r="C27" s="38"/>
      <c r="D27" s="38"/>
      <c r="E27" s="38"/>
      <c r="F27" s="38"/>
      <c r="G27" s="38"/>
      <c r="H27" s="38"/>
      <c r="I27" s="38"/>
      <c r="J27" s="38"/>
      <c r="L27" s="38">
        <v>305600</v>
      </c>
      <c r="M27" s="38">
        <v>286200</v>
      </c>
      <c r="N27" s="38">
        <v>308900</v>
      </c>
      <c r="O27" s="38">
        <v>324300</v>
      </c>
      <c r="P27" s="38">
        <v>326700</v>
      </c>
      <c r="Q27" s="38">
        <v>311900</v>
      </c>
      <c r="R27" s="38">
        <v>88400</v>
      </c>
      <c r="S27" s="38">
        <f>0.1*P27</f>
        <v>32670</v>
      </c>
      <c r="T27" s="38">
        <f>S27*0.9</f>
        <v>29403</v>
      </c>
      <c r="U27" s="38">
        <f>T27*0.9</f>
        <v>26462.7</v>
      </c>
      <c r="V27" s="38">
        <f>U27*0.9</f>
        <v>23816.43</v>
      </c>
    </row>
    <row r="28" spans="2:22" x14ac:dyDescent="0.2">
      <c r="B28" s="15" t="s">
        <v>24</v>
      </c>
      <c r="C28" s="38"/>
      <c r="D28" s="38"/>
      <c r="E28" s="38"/>
      <c r="F28" s="38"/>
      <c r="G28" s="38"/>
      <c r="H28" s="38"/>
      <c r="I28" s="38"/>
      <c r="J28" s="38"/>
      <c r="L28" s="38">
        <v>50100</v>
      </c>
      <c r="M28" s="38">
        <v>56600</v>
      </c>
      <c r="N28" s="38">
        <v>64400</v>
      </c>
      <c r="O28" s="38">
        <v>71300</v>
      </c>
      <c r="P28" s="38">
        <v>78900</v>
      </c>
      <c r="Q28" s="38">
        <v>83400</v>
      </c>
      <c r="R28" s="38">
        <f>+Q28*0.5</f>
        <v>41700</v>
      </c>
      <c r="S28" s="38">
        <f>+R28*0.5</f>
        <v>20850</v>
      </c>
      <c r="T28" s="38">
        <f>+S28</f>
        <v>20850</v>
      </c>
      <c r="U28" s="38">
        <f>+T28</f>
        <v>20850</v>
      </c>
      <c r="V28" s="38">
        <f>+U28</f>
        <v>20850</v>
      </c>
    </row>
    <row r="29" spans="2:22" x14ac:dyDescent="0.2">
      <c r="B29" s="15" t="s">
        <v>1</v>
      </c>
      <c r="C29" s="38"/>
      <c r="D29" s="38"/>
      <c r="E29" s="38"/>
      <c r="F29" s="38"/>
      <c r="G29" s="38"/>
      <c r="H29" s="38"/>
      <c r="I29" s="38"/>
      <c r="J29" s="38"/>
      <c r="L29" s="38">
        <v>6100</v>
      </c>
      <c r="M29" s="38">
        <v>6300</v>
      </c>
      <c r="N29" s="38">
        <v>7200</v>
      </c>
      <c r="O29" s="38">
        <v>7900</v>
      </c>
      <c r="P29" s="38">
        <v>8700</v>
      </c>
      <c r="Q29" s="38">
        <v>9100</v>
      </c>
      <c r="R29" s="38">
        <v>9300</v>
      </c>
      <c r="S29" s="38">
        <f>R29+100</f>
        <v>9400</v>
      </c>
      <c r="T29" s="38">
        <f>S29+100</f>
        <v>9500</v>
      </c>
      <c r="U29" s="38">
        <f>T29+100</f>
        <v>9600</v>
      </c>
      <c r="V29" s="38">
        <f>U29+100</f>
        <v>9700</v>
      </c>
    </row>
    <row r="30" spans="2:22" x14ac:dyDescent="0.2">
      <c r="B30" s="15" t="s">
        <v>2</v>
      </c>
      <c r="C30" s="38"/>
      <c r="D30" s="38"/>
      <c r="E30" s="38"/>
      <c r="F30" s="38"/>
      <c r="G30" s="38"/>
      <c r="H30" s="38"/>
      <c r="I30" s="38"/>
      <c r="J30" s="38"/>
      <c r="L30" s="38">
        <v>2600</v>
      </c>
      <c r="M30" s="38">
        <v>2700</v>
      </c>
      <c r="N30" s="38">
        <v>3000</v>
      </c>
      <c r="O30" s="38">
        <v>3300</v>
      </c>
      <c r="P30" s="38">
        <v>3500</v>
      </c>
      <c r="Q30" s="38">
        <v>3700</v>
      </c>
      <c r="R30" s="38">
        <v>3900</v>
      </c>
      <c r="S30" s="38">
        <f>R30+200</f>
        <v>4100</v>
      </c>
      <c r="T30" s="38">
        <f>S30+200</f>
        <v>4300</v>
      </c>
      <c r="U30" s="38">
        <f>T30+200</f>
        <v>4500</v>
      </c>
      <c r="V30" s="38">
        <f>U30+200</f>
        <v>4700</v>
      </c>
    </row>
    <row r="31" spans="2:22" x14ac:dyDescent="0.2">
      <c r="B31" s="15" t="s">
        <v>25</v>
      </c>
      <c r="C31" s="38"/>
      <c r="D31" s="38"/>
      <c r="E31" s="38"/>
      <c r="F31" s="38"/>
      <c r="G31" s="38"/>
      <c r="H31" s="38"/>
      <c r="I31" s="38"/>
      <c r="J31" s="38"/>
      <c r="L31" s="38">
        <v>2000</v>
      </c>
      <c r="M31" s="38">
        <v>8000</v>
      </c>
      <c r="N31" s="38">
        <v>8500</v>
      </c>
      <c r="O31" s="38">
        <v>9500</v>
      </c>
      <c r="P31" s="38">
        <v>9500</v>
      </c>
      <c r="Q31" s="38">
        <v>9500</v>
      </c>
      <c r="R31" s="38">
        <v>9500</v>
      </c>
      <c r="S31" s="38">
        <f>R31</f>
        <v>9500</v>
      </c>
      <c r="T31" s="38">
        <f>S31</f>
        <v>9500</v>
      </c>
      <c r="U31" s="38">
        <f>T31</f>
        <v>9500</v>
      </c>
      <c r="V31" s="38">
        <f>U31</f>
        <v>9500</v>
      </c>
    </row>
    <row r="32" spans="2:22" x14ac:dyDescent="0.2">
      <c r="B32" s="15" t="s">
        <v>19</v>
      </c>
      <c r="C32" s="38"/>
      <c r="D32" s="38"/>
      <c r="E32" s="38"/>
      <c r="F32" s="38"/>
      <c r="G32" s="38"/>
      <c r="H32" s="38"/>
      <c r="I32" s="38"/>
      <c r="J32" s="38"/>
      <c r="L32" s="38">
        <v>9900</v>
      </c>
      <c r="M32" s="38">
        <v>8500</v>
      </c>
      <c r="N32" s="38">
        <v>9200</v>
      </c>
      <c r="O32" s="38">
        <v>9900</v>
      </c>
      <c r="P32" s="38">
        <v>10700</v>
      </c>
      <c r="Q32" s="38">
        <v>11600</v>
      </c>
      <c r="R32" s="38">
        <v>12200</v>
      </c>
      <c r="S32" s="38">
        <f>R32+600</f>
        <v>12800</v>
      </c>
      <c r="T32" s="38">
        <f>S32+600</f>
        <v>13400</v>
      </c>
      <c r="U32" s="38">
        <f>T32+600</f>
        <v>14000</v>
      </c>
      <c r="V32" s="38">
        <f>U32+500</f>
        <v>14500</v>
      </c>
    </row>
    <row r="33" spans="2:22" x14ac:dyDescent="0.2">
      <c r="B33" s="15" t="s">
        <v>26</v>
      </c>
      <c r="C33" s="38"/>
      <c r="D33" s="38"/>
      <c r="E33" s="38"/>
      <c r="F33" s="38"/>
      <c r="G33" s="38"/>
      <c r="H33" s="38"/>
      <c r="I33" s="38"/>
      <c r="J33" s="38"/>
      <c r="L33" s="38">
        <v>27200</v>
      </c>
      <c r="M33" s="38">
        <v>33400</v>
      </c>
      <c r="N33" s="38">
        <v>38400</v>
      </c>
      <c r="O33" s="38">
        <v>44200</v>
      </c>
      <c r="P33" s="38">
        <v>46400</v>
      </c>
      <c r="Q33" s="38">
        <v>48700</v>
      </c>
      <c r="R33" s="38">
        <v>51100</v>
      </c>
      <c r="S33" s="38">
        <f>R33+2200</f>
        <v>53300</v>
      </c>
      <c r="T33" s="38">
        <f>S33+2000</f>
        <v>55300</v>
      </c>
      <c r="U33" s="38">
        <f>T33+1500</f>
        <v>56800</v>
      </c>
      <c r="V33" s="38">
        <f>U33+1000</f>
        <v>57800</v>
      </c>
    </row>
    <row r="34" spans="2:22" x14ac:dyDescent="0.2">
      <c r="B34" s="15" t="s">
        <v>21</v>
      </c>
      <c r="C34" s="38"/>
      <c r="D34" s="38"/>
      <c r="E34" s="38"/>
      <c r="F34" s="38"/>
      <c r="G34" s="38"/>
      <c r="H34" s="38"/>
      <c r="I34" s="38"/>
      <c r="J34" s="38"/>
      <c r="L34" s="38"/>
      <c r="M34" s="38"/>
      <c r="N34" s="38"/>
      <c r="O34" s="38"/>
      <c r="P34" s="38"/>
      <c r="Q34" s="38"/>
      <c r="R34" s="38"/>
      <c r="S34" s="39"/>
      <c r="T34" s="39"/>
      <c r="U34" s="39"/>
      <c r="V34" s="39"/>
    </row>
    <row r="35" spans="2:22" x14ac:dyDescent="0.2">
      <c r="C35" s="38"/>
      <c r="D35" s="38"/>
      <c r="E35" s="38"/>
      <c r="F35" s="38"/>
      <c r="G35" s="38"/>
      <c r="H35" s="38"/>
      <c r="I35" s="38"/>
      <c r="J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</row>
    <row r="36" spans="2:22" x14ac:dyDescent="0.2">
      <c r="B36" s="15" t="s">
        <v>27</v>
      </c>
      <c r="C36" s="38"/>
      <c r="D36" s="38"/>
      <c r="E36" s="38"/>
      <c r="F36" s="38"/>
      <c r="G36" s="38"/>
      <c r="H36" s="38"/>
      <c r="I36" s="38"/>
      <c r="J36" s="38"/>
      <c r="L36" s="38">
        <f>SUM(L5:L34)</f>
        <v>715900</v>
      </c>
      <c r="M36" s="38">
        <f t="shared" ref="M36:V36" si="3">SUM(M5:M34)</f>
        <v>721400</v>
      </c>
      <c r="N36" s="38">
        <f t="shared" si="3"/>
        <v>773600</v>
      </c>
      <c r="O36" s="38">
        <f t="shared" si="3"/>
        <v>795000</v>
      </c>
      <c r="P36" s="38">
        <f t="shared" si="3"/>
        <v>813100</v>
      </c>
      <c r="Q36" s="38">
        <f t="shared" si="3"/>
        <v>795700</v>
      </c>
      <c r="R36" s="38">
        <f t="shared" si="3"/>
        <v>534800</v>
      </c>
      <c r="S36" s="38">
        <f t="shared" si="3"/>
        <v>463320</v>
      </c>
      <c r="T36" s="38">
        <f t="shared" si="3"/>
        <v>465153</v>
      </c>
      <c r="U36" s="38">
        <f t="shared" si="3"/>
        <v>467012.7</v>
      </c>
      <c r="V36" s="38">
        <f t="shared" si="3"/>
        <v>468866.43</v>
      </c>
    </row>
    <row r="37" spans="2:22" x14ac:dyDescent="0.2">
      <c r="B37" s="15" t="s">
        <v>28</v>
      </c>
      <c r="C37" s="38"/>
      <c r="D37" s="38"/>
      <c r="E37" s="38"/>
      <c r="F37" s="38"/>
      <c r="G37" s="38"/>
      <c r="H37" s="38"/>
      <c r="I37" s="38"/>
      <c r="J37" s="38"/>
      <c r="L37" s="38">
        <v>246969</v>
      </c>
      <c r="M37" s="38">
        <v>249489</v>
      </c>
      <c r="N37" s="38">
        <v>251800</v>
      </c>
      <c r="O37" s="38">
        <v>256500</v>
      </c>
      <c r="P37" s="38">
        <v>261700</v>
      </c>
      <c r="Q37" s="38">
        <v>268200</v>
      </c>
      <c r="R37" s="38">
        <v>273400</v>
      </c>
      <c r="S37" s="38">
        <f>R37+5000</f>
        <v>278400</v>
      </c>
      <c r="T37" s="38">
        <f>S37+5000</f>
        <v>283400</v>
      </c>
      <c r="U37" s="38">
        <f>T37+5000</f>
        <v>288400</v>
      </c>
      <c r="V37" s="38">
        <f>U37+5000</f>
        <v>293400</v>
      </c>
    </row>
    <row r="38" spans="2:22" x14ac:dyDescent="0.2">
      <c r="B38" s="15" t="s">
        <v>29</v>
      </c>
      <c r="C38" s="38"/>
      <c r="D38" s="38"/>
      <c r="E38" s="38"/>
      <c r="F38" s="38"/>
      <c r="G38" s="38"/>
      <c r="H38" s="38"/>
      <c r="I38" s="38"/>
      <c r="J38" s="38"/>
      <c r="L38" s="38">
        <v>50113</v>
      </c>
      <c r="M38" s="38">
        <v>46751</v>
      </c>
      <c r="N38" s="38">
        <v>50800</v>
      </c>
      <c r="O38" s="38">
        <v>52800</v>
      </c>
      <c r="P38" s="38">
        <v>54900</v>
      </c>
      <c r="Q38" s="38">
        <v>57200</v>
      </c>
      <c r="R38" s="38">
        <v>59700</v>
      </c>
      <c r="S38" s="38">
        <f>R38+2000</f>
        <v>61700</v>
      </c>
      <c r="T38" s="38">
        <f>S38+2000</f>
        <v>63700</v>
      </c>
      <c r="U38" s="38">
        <f>T38+2000</f>
        <v>65700</v>
      </c>
      <c r="V38" s="38">
        <f>U38+2000</f>
        <v>67700</v>
      </c>
    </row>
    <row r="39" spans="2:22" x14ac:dyDescent="0.2">
      <c r="B39" s="15" t="s">
        <v>20</v>
      </c>
      <c r="C39" s="38"/>
      <c r="D39" s="38"/>
      <c r="E39" s="38"/>
      <c r="F39" s="38"/>
      <c r="G39" s="38"/>
      <c r="H39" s="38"/>
      <c r="I39" s="38"/>
      <c r="J39" s="38"/>
      <c r="L39" s="38">
        <v>71308</v>
      </c>
      <c r="M39" s="38">
        <v>72569</v>
      </c>
      <c r="N39" s="38">
        <v>75000</v>
      </c>
      <c r="O39" s="38">
        <v>75000</v>
      </c>
      <c r="P39" s="38">
        <v>75000</v>
      </c>
      <c r="Q39" s="38">
        <v>75000</v>
      </c>
      <c r="R39" s="38">
        <v>75000</v>
      </c>
      <c r="S39" s="38">
        <f>R39</f>
        <v>75000</v>
      </c>
      <c r="T39" s="38">
        <f>S39</f>
        <v>75000</v>
      </c>
      <c r="U39" s="38">
        <f>T39</f>
        <v>75000</v>
      </c>
      <c r="V39" s="38">
        <f>U39</f>
        <v>75000</v>
      </c>
    </row>
    <row r="40" spans="2:22" x14ac:dyDescent="0.2">
      <c r="B40" s="15" t="s">
        <v>30</v>
      </c>
      <c r="C40" s="38"/>
      <c r="D40" s="38"/>
      <c r="E40" s="38"/>
      <c r="F40" s="38"/>
      <c r="G40" s="38"/>
      <c r="H40" s="38"/>
      <c r="I40" s="38"/>
      <c r="J40" s="38"/>
      <c r="L40" s="38">
        <f t="shared" ref="L40:R40" si="4">SUM(L36:L39)</f>
        <v>1084290</v>
      </c>
      <c r="M40" s="38">
        <f t="shared" si="4"/>
        <v>1090209</v>
      </c>
      <c r="N40" s="38">
        <f t="shared" si="4"/>
        <v>1151200</v>
      </c>
      <c r="O40" s="38">
        <f t="shared" si="4"/>
        <v>1179300</v>
      </c>
      <c r="P40" s="38">
        <f t="shared" si="4"/>
        <v>1204700</v>
      </c>
      <c r="Q40" s="38">
        <f t="shared" si="4"/>
        <v>1196100</v>
      </c>
      <c r="R40" s="38">
        <f t="shared" si="4"/>
        <v>942900</v>
      </c>
      <c r="S40" s="38">
        <f t="shared" ref="S40" si="5">SUM(S36:S39)</f>
        <v>878420</v>
      </c>
      <c r="T40" s="38">
        <f t="shared" ref="T40" si="6">SUM(T36:T39)</f>
        <v>887253</v>
      </c>
      <c r="U40" s="38">
        <f t="shared" ref="U40" si="7">SUM(U36:U39)</f>
        <v>896112.7</v>
      </c>
      <c r="V40" s="38">
        <f t="shared" ref="V40" si="8">SUM(V36:V39)</f>
        <v>904966.42999999993</v>
      </c>
    </row>
    <row r="41" spans="2:22" x14ac:dyDescent="0.2">
      <c r="C41" s="38"/>
      <c r="D41" s="38"/>
      <c r="E41" s="38"/>
      <c r="F41" s="38"/>
      <c r="G41" s="38"/>
      <c r="H41" s="38"/>
      <c r="I41" s="38"/>
      <c r="J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</row>
    <row r="42" spans="2:22" s="16" customFormat="1" x14ac:dyDescent="0.2">
      <c r="B42" s="16" t="s">
        <v>31</v>
      </c>
      <c r="C42" s="43"/>
      <c r="D42" s="43"/>
      <c r="E42" s="43"/>
      <c r="F42" s="43"/>
      <c r="G42" s="43"/>
      <c r="H42" s="43"/>
      <c r="I42" s="43"/>
      <c r="J42" s="43">
        <f>1090212-I42-H42-G42</f>
        <v>1090212</v>
      </c>
      <c r="L42" s="43">
        <f t="shared" ref="L42:R42" si="9">L40</f>
        <v>1084290</v>
      </c>
      <c r="M42" s="43">
        <f t="shared" si="9"/>
        <v>1090209</v>
      </c>
      <c r="N42" s="43">
        <f t="shared" si="9"/>
        <v>1151200</v>
      </c>
      <c r="O42" s="43">
        <f t="shared" si="9"/>
        <v>1179300</v>
      </c>
      <c r="P42" s="43">
        <f t="shared" si="9"/>
        <v>1204700</v>
      </c>
      <c r="Q42" s="43">
        <f t="shared" si="9"/>
        <v>1196100</v>
      </c>
      <c r="R42" s="43">
        <f t="shared" si="9"/>
        <v>942900</v>
      </c>
      <c r="S42" s="43">
        <f>S40</f>
        <v>878420</v>
      </c>
      <c r="T42" s="43">
        <f>T40</f>
        <v>887253</v>
      </c>
      <c r="U42" s="43">
        <f>U40</f>
        <v>896112.7</v>
      </c>
      <c r="V42" s="43">
        <f>V40</f>
        <v>904966.42999999993</v>
      </c>
    </row>
    <row r="43" spans="2:22" x14ac:dyDescent="0.2">
      <c r="B43" s="15" t="s">
        <v>32</v>
      </c>
      <c r="C43" s="38"/>
      <c r="D43" s="38"/>
      <c r="E43" s="38"/>
      <c r="F43" s="38"/>
      <c r="G43" s="38"/>
      <c r="H43" s="38"/>
      <c r="I43" s="38"/>
      <c r="J43" s="38">
        <v>367092</v>
      </c>
      <c r="L43" s="38">
        <v>356607</v>
      </c>
      <c r="M43" s="38">
        <v>367092</v>
      </c>
      <c r="N43" s="38">
        <f>N62*N42</f>
        <v>387628.71192587842</v>
      </c>
      <c r="O43" s="38">
        <f t="shared" ref="O43:V43" si="10">O62*O42</f>
        <v>397090.46210405527</v>
      </c>
      <c r="P43" s="38">
        <f t="shared" si="10"/>
        <v>405643.07614411548</v>
      </c>
      <c r="Q43" s="38">
        <f t="shared" si="10"/>
        <v>402747.30918566987</v>
      </c>
      <c r="R43" s="38">
        <f t="shared" si="10"/>
        <v>317490.54245562089</v>
      </c>
      <c r="S43" s="38">
        <f t="shared" si="10"/>
        <v>295779.02460904286</v>
      </c>
      <c r="T43" s="38">
        <f t="shared" si="10"/>
        <v>298753.246649037</v>
      </c>
      <c r="U43" s="38">
        <f t="shared" si="10"/>
        <v>301736.45903528586</v>
      </c>
      <c r="V43" s="38">
        <f t="shared" si="10"/>
        <v>304717.66122051823</v>
      </c>
    </row>
    <row r="44" spans="2:22" x14ac:dyDescent="0.2">
      <c r="B44" s="15" t="s">
        <v>33</v>
      </c>
      <c r="C44" s="38"/>
      <c r="D44" s="38"/>
      <c r="E44" s="38"/>
      <c r="F44" s="38"/>
      <c r="G44" s="38"/>
      <c r="H44" s="38"/>
      <c r="I44" s="38"/>
      <c r="J44" s="38">
        <f t="shared" ref="J44" si="11">J42-J43</f>
        <v>723120</v>
      </c>
      <c r="L44" s="38">
        <f t="shared" ref="L44:R44" si="12">L42-L43</f>
        <v>727683</v>
      </c>
      <c r="M44" s="38">
        <f t="shared" si="12"/>
        <v>723117</v>
      </c>
      <c r="N44" s="38">
        <f t="shared" si="12"/>
        <v>763571.28807412158</v>
      </c>
      <c r="O44" s="38">
        <f t="shared" si="12"/>
        <v>782209.53789594467</v>
      </c>
      <c r="P44" s="38">
        <f t="shared" si="12"/>
        <v>799056.92385588447</v>
      </c>
      <c r="Q44" s="38">
        <f t="shared" si="12"/>
        <v>793352.69081433013</v>
      </c>
      <c r="R44" s="38">
        <f t="shared" si="12"/>
        <v>625409.45754437917</v>
      </c>
      <c r="S44" s="38">
        <f t="shared" ref="S44" si="13">S42-S43</f>
        <v>582640.9753909572</v>
      </c>
      <c r="T44" s="38">
        <f t="shared" ref="T44" si="14">T42-T43</f>
        <v>588499.753350963</v>
      </c>
      <c r="U44" s="38">
        <f t="shared" ref="U44" si="15">U42-U43</f>
        <v>594376.24096471409</v>
      </c>
      <c r="V44" s="38">
        <f t="shared" ref="V44" si="16">V42-V43</f>
        <v>600248.76877948176</v>
      </c>
    </row>
    <row r="45" spans="2:22" x14ac:dyDescent="0.2">
      <c r="B45" s="34" t="s">
        <v>89</v>
      </c>
      <c r="C45" s="38"/>
      <c r="D45" s="38"/>
      <c r="E45" s="38"/>
      <c r="F45" s="38"/>
      <c r="G45" s="38"/>
      <c r="H45" s="38"/>
      <c r="I45" s="38"/>
      <c r="J45" s="38">
        <v>167714</v>
      </c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</row>
    <row r="46" spans="2:22" x14ac:dyDescent="0.2">
      <c r="B46" s="34" t="s">
        <v>90</v>
      </c>
      <c r="C46" s="38"/>
      <c r="D46" s="38"/>
      <c r="E46" s="38"/>
      <c r="F46" s="38"/>
      <c r="G46" s="38"/>
      <c r="H46" s="38"/>
      <c r="I46" s="38"/>
      <c r="J46" s="38">
        <f>78719+9434+6989+600+312</f>
        <v>96054</v>
      </c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</row>
    <row r="47" spans="2:22" x14ac:dyDescent="0.2">
      <c r="B47" s="34" t="s">
        <v>20</v>
      </c>
      <c r="C47" s="38"/>
      <c r="D47" s="38"/>
      <c r="E47" s="38"/>
      <c r="F47" s="38"/>
      <c r="G47" s="38"/>
      <c r="H47" s="38"/>
      <c r="I47" s="38"/>
      <c r="J47" s="38">
        <v>158887</v>
      </c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</row>
    <row r="48" spans="2:22" x14ac:dyDescent="0.2">
      <c r="B48" s="15" t="s">
        <v>34</v>
      </c>
      <c r="C48" s="38"/>
      <c r="D48" s="38"/>
      <c r="E48" s="38"/>
      <c r="F48" s="38"/>
      <c r="G48" s="38"/>
      <c r="H48" s="38"/>
      <c r="I48" s="38"/>
      <c r="J48" s="38">
        <v>164507</v>
      </c>
      <c r="L48" s="38">
        <v>151848</v>
      </c>
      <c r="M48" s="38">
        <v>164507</v>
      </c>
      <c r="N48" s="38">
        <v>180000</v>
      </c>
      <c r="O48" s="38">
        <v>50000</v>
      </c>
      <c r="P48" s="38">
        <v>50000</v>
      </c>
      <c r="Q48" s="38">
        <v>50000</v>
      </c>
      <c r="R48" s="38">
        <v>50000</v>
      </c>
      <c r="S48" s="38">
        <v>50000</v>
      </c>
      <c r="T48" s="38">
        <v>50000</v>
      </c>
      <c r="U48" s="38">
        <v>50000</v>
      </c>
      <c r="V48" s="38">
        <v>50000</v>
      </c>
    </row>
    <row r="49" spans="2:87" x14ac:dyDescent="0.2">
      <c r="B49" s="15" t="s">
        <v>35</v>
      </c>
      <c r="C49" s="38"/>
      <c r="D49" s="38"/>
      <c r="E49" s="38"/>
      <c r="F49" s="38"/>
      <c r="G49" s="38"/>
      <c r="H49" s="38"/>
      <c r="I49" s="38"/>
      <c r="J49" s="38"/>
      <c r="L49" s="38">
        <v>477354</v>
      </c>
      <c r="M49" s="38">
        <v>441110</v>
      </c>
      <c r="N49" s="38">
        <v>449400</v>
      </c>
      <c r="O49" s="38">
        <v>457100</v>
      </c>
      <c r="P49" s="38">
        <v>419800</v>
      </c>
      <c r="Q49" s="38">
        <v>426000</v>
      </c>
      <c r="R49" s="38">
        <v>341900</v>
      </c>
      <c r="S49" s="38">
        <f>R49</f>
        <v>341900</v>
      </c>
      <c r="T49" s="38">
        <f>S49</f>
        <v>341900</v>
      </c>
      <c r="U49" s="38">
        <f>T49</f>
        <v>341900</v>
      </c>
      <c r="V49" s="38">
        <f>U49</f>
        <v>341900</v>
      </c>
    </row>
    <row r="50" spans="2:87" x14ac:dyDescent="0.2">
      <c r="B50" s="15" t="s">
        <v>36</v>
      </c>
      <c r="C50" s="38"/>
      <c r="D50" s="38"/>
      <c r="E50" s="38"/>
      <c r="F50" s="38"/>
      <c r="G50" s="38"/>
      <c r="H50" s="38"/>
      <c r="I50" s="38"/>
      <c r="J50" s="38">
        <f>+J48+J47+J46+J45</f>
        <v>587162</v>
      </c>
      <c r="L50" s="38">
        <f t="shared" ref="L50:R50" si="17">L48+L49</f>
        <v>629202</v>
      </c>
      <c r="M50" s="38">
        <f t="shared" si="17"/>
        <v>605617</v>
      </c>
      <c r="N50" s="38">
        <f t="shared" si="17"/>
        <v>629400</v>
      </c>
      <c r="O50" s="38">
        <f t="shared" si="17"/>
        <v>507100</v>
      </c>
      <c r="P50" s="38">
        <f t="shared" si="17"/>
        <v>469800</v>
      </c>
      <c r="Q50" s="38">
        <f t="shared" si="17"/>
        <v>476000</v>
      </c>
      <c r="R50" s="38">
        <f t="shared" si="17"/>
        <v>391900</v>
      </c>
      <c r="S50" s="38">
        <f t="shared" ref="S50" si="18">S48+S49</f>
        <v>391900</v>
      </c>
      <c r="T50" s="38">
        <f t="shared" ref="T50" si="19">T48+T49</f>
        <v>391900</v>
      </c>
      <c r="U50" s="38">
        <f t="shared" ref="U50" si="20">U48+U49</f>
        <v>391900</v>
      </c>
      <c r="V50" s="38">
        <f t="shared" ref="V50" si="21">V48+V49</f>
        <v>391900</v>
      </c>
    </row>
    <row r="51" spans="2:87" x14ac:dyDescent="0.2">
      <c r="B51" s="15" t="s">
        <v>37</v>
      </c>
      <c r="C51" s="38"/>
      <c r="D51" s="38"/>
      <c r="E51" s="38"/>
      <c r="F51" s="38"/>
      <c r="G51" s="38"/>
      <c r="H51" s="38"/>
      <c r="I51" s="38"/>
      <c r="J51" s="38">
        <f>J44-J50</f>
        <v>135958</v>
      </c>
      <c r="L51" s="38">
        <f t="shared" ref="L51:R51" si="22">L44-L50</f>
        <v>98481</v>
      </c>
      <c r="M51" s="38">
        <f t="shared" si="22"/>
        <v>117500</v>
      </c>
      <c r="N51" s="38">
        <f t="shared" si="22"/>
        <v>134171.28807412158</v>
      </c>
      <c r="O51" s="38">
        <f t="shared" si="22"/>
        <v>275109.53789594467</v>
      </c>
      <c r="P51" s="38">
        <f t="shared" si="22"/>
        <v>329256.92385588447</v>
      </c>
      <c r="Q51" s="38">
        <f t="shared" si="22"/>
        <v>317352.69081433013</v>
      </c>
      <c r="R51" s="38">
        <f t="shared" si="22"/>
        <v>233509.45754437917</v>
      </c>
      <c r="S51" s="38">
        <f t="shared" ref="S51" si="23">S44-S50</f>
        <v>190740.9753909572</v>
      </c>
      <c r="T51" s="38">
        <f t="shared" ref="T51" si="24">T44-T50</f>
        <v>196599.753350963</v>
      </c>
      <c r="U51" s="38">
        <f t="shared" ref="U51" si="25">U44-U50</f>
        <v>202476.24096471409</v>
      </c>
      <c r="V51" s="38">
        <f t="shared" ref="V51" si="26">V44-V50</f>
        <v>208348.76877948176</v>
      </c>
    </row>
    <row r="52" spans="2:87" x14ac:dyDescent="0.2">
      <c r="B52" s="15" t="s">
        <v>20</v>
      </c>
      <c r="C52" s="38"/>
      <c r="D52" s="38"/>
      <c r="E52" s="38"/>
      <c r="F52" s="38"/>
      <c r="G52" s="38"/>
      <c r="H52" s="38"/>
      <c r="I52" s="38"/>
      <c r="J52" s="38">
        <f>17583-8567</f>
        <v>9016</v>
      </c>
      <c r="L52" s="38">
        <f>14859-4282</f>
        <v>10577</v>
      </c>
      <c r="M52" s="38">
        <f>17583-8567</f>
        <v>9016</v>
      </c>
      <c r="N52" s="38">
        <f t="shared" ref="N52:V52" si="27">M59*$Y$64</f>
        <v>10201.200000000001</v>
      </c>
      <c r="O52" s="38">
        <f t="shared" si="27"/>
        <v>12150.649761482431</v>
      </c>
      <c r="P52" s="38">
        <f t="shared" si="27"/>
        <v>16847.853514630973</v>
      </c>
      <c r="Q52" s="38">
        <f t="shared" si="27"/>
        <v>22249.949062041283</v>
      </c>
      <c r="R52" s="38">
        <f t="shared" si="27"/>
        <v>27560.001859568711</v>
      </c>
      <c r="S52" s="38">
        <f t="shared" si="27"/>
        <v>31739.39104764767</v>
      </c>
      <c r="T52" s="38">
        <f t="shared" si="27"/>
        <v>34720.627957924975</v>
      </c>
      <c r="U52" s="38">
        <f t="shared" si="27"/>
        <v>37820.32106746408</v>
      </c>
      <c r="V52" s="38">
        <f t="shared" si="27"/>
        <v>41040.294998695266</v>
      </c>
    </row>
    <row r="53" spans="2:87" x14ac:dyDescent="0.2">
      <c r="B53" s="15" t="s">
        <v>38</v>
      </c>
      <c r="C53" s="38"/>
      <c r="D53" s="38"/>
      <c r="E53" s="38"/>
      <c r="F53" s="38"/>
      <c r="G53" s="38"/>
      <c r="H53" s="38"/>
      <c r="I53" s="38"/>
      <c r="J53" s="38">
        <f>J51+J52</f>
        <v>144974</v>
      </c>
      <c r="L53" s="38">
        <f t="shared" ref="L53:R53" si="28">L51+L52</f>
        <v>109058</v>
      </c>
      <c r="M53" s="38">
        <f t="shared" si="28"/>
        <v>126516</v>
      </c>
      <c r="N53" s="38">
        <f t="shared" si="28"/>
        <v>144372.48807412159</v>
      </c>
      <c r="O53" s="38">
        <f t="shared" si="28"/>
        <v>287260.1876574271</v>
      </c>
      <c r="P53" s="38">
        <f t="shared" si="28"/>
        <v>346104.77737051545</v>
      </c>
      <c r="Q53" s="38">
        <f t="shared" si="28"/>
        <v>339602.63987637142</v>
      </c>
      <c r="R53" s="38">
        <f t="shared" si="28"/>
        <v>261069.45940394787</v>
      </c>
      <c r="S53" s="38">
        <f t="shared" ref="S53" si="29">S51+S52</f>
        <v>222480.36643860486</v>
      </c>
      <c r="T53" s="38">
        <f t="shared" ref="T53" si="30">T51+T52</f>
        <v>231320.38130888797</v>
      </c>
      <c r="U53" s="38">
        <f t="shared" ref="U53" si="31">U51+U52</f>
        <v>240296.56203217816</v>
      </c>
      <c r="V53" s="38">
        <f t="shared" ref="V53" si="32">V51+V52</f>
        <v>249389.06377817702</v>
      </c>
    </row>
    <row r="54" spans="2:87" x14ac:dyDescent="0.2">
      <c r="B54" s="15" t="s">
        <v>39</v>
      </c>
      <c r="C54" s="38"/>
      <c r="D54" s="38"/>
      <c r="E54" s="38"/>
      <c r="F54" s="38"/>
      <c r="G54" s="38"/>
      <c r="H54" s="38"/>
      <c r="I54" s="38"/>
      <c r="J54" s="38">
        <v>38708</v>
      </c>
      <c r="L54" s="38">
        <v>33485</v>
      </c>
      <c r="M54" s="38">
        <v>38708</v>
      </c>
      <c r="N54" s="38">
        <v>46900</v>
      </c>
      <c r="O54" s="38">
        <v>52400</v>
      </c>
      <c r="P54" s="38">
        <v>76000</v>
      </c>
      <c r="Q54" s="38">
        <v>74100</v>
      </c>
      <c r="R54" s="38">
        <v>52100</v>
      </c>
      <c r="S54" s="38">
        <f>S53*S63</f>
        <v>73418.520924739612</v>
      </c>
      <c r="T54" s="38">
        <f t="shared" ref="T54:V54" si="33">T53*T63</f>
        <v>76335.725831933029</v>
      </c>
      <c r="U54" s="38">
        <f t="shared" si="33"/>
        <v>79297.865470618795</v>
      </c>
      <c r="V54" s="38">
        <f t="shared" si="33"/>
        <v>82298.391046798424</v>
      </c>
    </row>
    <row r="55" spans="2:87" x14ac:dyDescent="0.2">
      <c r="B55" s="34" t="s">
        <v>92</v>
      </c>
      <c r="C55" s="38"/>
      <c r="D55" s="38"/>
      <c r="E55" s="38"/>
      <c r="F55" s="38"/>
      <c r="G55" s="38"/>
      <c r="H55" s="38"/>
      <c r="I55" s="38"/>
      <c r="J55" s="38">
        <f t="shared" ref="J55" si="34">J53-J54</f>
        <v>106266</v>
      </c>
      <c r="L55" s="38">
        <f t="shared" ref="L55:R55" si="35">L53-L54</f>
        <v>75573</v>
      </c>
      <c r="M55" s="38">
        <f t="shared" si="35"/>
        <v>87808</v>
      </c>
      <c r="N55" s="38">
        <f t="shared" si="35"/>
        <v>97472.488074121589</v>
      </c>
      <c r="O55" s="38">
        <f t="shared" si="35"/>
        <v>234860.1876574271</v>
      </c>
      <c r="P55" s="38">
        <f t="shared" si="35"/>
        <v>270104.77737051545</v>
      </c>
      <c r="Q55" s="38">
        <f t="shared" si="35"/>
        <v>265502.63987637142</v>
      </c>
      <c r="R55" s="38">
        <f t="shared" si="35"/>
        <v>208969.45940394787</v>
      </c>
      <c r="S55" s="38">
        <f t="shared" ref="S55" si="36">S53-S54</f>
        <v>149061.84551386524</v>
      </c>
      <c r="T55" s="38">
        <f t="shared" ref="T55" si="37">T53-T54</f>
        <v>154984.65547695494</v>
      </c>
      <c r="U55" s="38">
        <f t="shared" ref="U55" si="38">U53-U54</f>
        <v>160998.69656155937</v>
      </c>
      <c r="V55" s="38">
        <f t="shared" ref="V55" si="39">V53-V54</f>
        <v>167090.67273137858</v>
      </c>
      <c r="W55" s="17">
        <f>V55*(1+$Y$62)</f>
        <v>158736.13909480965</v>
      </c>
      <c r="X55" s="17">
        <f t="shared" ref="X55:CI55" si="40">W55*(1+$Y$62)</f>
        <v>150799.33214006916</v>
      </c>
      <c r="Y55" s="17">
        <f t="shared" si="40"/>
        <v>143259.36553306569</v>
      </c>
      <c r="Z55" s="17">
        <f t="shared" si="40"/>
        <v>136096.3972564124</v>
      </c>
      <c r="AA55" s="17">
        <f t="shared" si="40"/>
        <v>129291.57739359177</v>
      </c>
      <c r="AB55" s="17">
        <f t="shared" si="40"/>
        <v>122826.99852391217</v>
      </c>
      <c r="AC55" s="17">
        <f t="shared" si="40"/>
        <v>116685.64859771656</v>
      </c>
      <c r="AD55" s="17">
        <f t="shared" si="40"/>
        <v>110851.36616783073</v>
      </c>
      <c r="AE55" s="17">
        <f t="shared" si="40"/>
        <v>105308.79785943919</v>
      </c>
      <c r="AF55" s="17">
        <f t="shared" si="40"/>
        <v>100043.35796646723</v>
      </c>
      <c r="AG55" s="17">
        <f t="shared" si="40"/>
        <v>95041.190068143856</v>
      </c>
      <c r="AH55" s="17">
        <f t="shared" si="40"/>
        <v>90289.130564736653</v>
      </c>
      <c r="AI55" s="17">
        <f t="shared" si="40"/>
        <v>85774.674036499811</v>
      </c>
      <c r="AJ55" s="17">
        <f t="shared" si="40"/>
        <v>81485.940334674815</v>
      </c>
      <c r="AK55" s="17">
        <f t="shared" si="40"/>
        <v>77411.643317941067</v>
      </c>
      <c r="AL55" s="17">
        <f t="shared" si="40"/>
        <v>73541.061152044014</v>
      </c>
      <c r="AM55" s="17">
        <f t="shared" si="40"/>
        <v>69864.008094441815</v>
      </c>
      <c r="AN55" s="17">
        <f t="shared" si="40"/>
        <v>66370.807689719717</v>
      </c>
      <c r="AO55" s="17">
        <f t="shared" si="40"/>
        <v>63052.267305233727</v>
      </c>
      <c r="AP55" s="17">
        <f t="shared" si="40"/>
        <v>59899.653939972035</v>
      </c>
      <c r="AQ55" s="17">
        <f t="shared" si="40"/>
        <v>56904.671242973433</v>
      </c>
      <c r="AR55" s="17">
        <f t="shared" si="40"/>
        <v>54059.437680824762</v>
      </c>
      <c r="AS55" s="17">
        <f t="shared" si="40"/>
        <v>51356.465796783523</v>
      </c>
      <c r="AT55" s="17">
        <f t="shared" si="40"/>
        <v>48788.642506944343</v>
      </c>
      <c r="AU55" s="17">
        <f t="shared" si="40"/>
        <v>46349.21038159712</v>
      </c>
      <c r="AV55" s="17">
        <f t="shared" si="40"/>
        <v>44031.749862517259</v>
      </c>
      <c r="AW55" s="17">
        <f t="shared" si="40"/>
        <v>41830.162369391393</v>
      </c>
      <c r="AX55" s="17">
        <f t="shared" si="40"/>
        <v>39738.65425092182</v>
      </c>
      <c r="AY55" s="17">
        <f t="shared" si="40"/>
        <v>37751.721538375728</v>
      </c>
      <c r="AZ55" s="17">
        <f t="shared" si="40"/>
        <v>35864.135461456943</v>
      </c>
      <c r="BA55" s="17">
        <f t="shared" si="40"/>
        <v>34070.92868838409</v>
      </c>
      <c r="BB55" s="17">
        <f t="shared" si="40"/>
        <v>32367.382253964883</v>
      </c>
      <c r="BC55" s="17">
        <f t="shared" si="40"/>
        <v>30749.013141266638</v>
      </c>
      <c r="BD55" s="17">
        <f t="shared" si="40"/>
        <v>29211.562484203303</v>
      </c>
      <c r="BE55" s="17">
        <f t="shared" si="40"/>
        <v>27750.984359993137</v>
      </c>
      <c r="BF55" s="17">
        <f t="shared" si="40"/>
        <v>26363.435141993479</v>
      </c>
      <c r="BG55" s="17">
        <f t="shared" si="40"/>
        <v>25045.263384893806</v>
      </c>
      <c r="BH55" s="17">
        <f t="shared" si="40"/>
        <v>23793.000215649114</v>
      </c>
      <c r="BI55" s="17">
        <f t="shared" si="40"/>
        <v>22603.350204866656</v>
      </c>
      <c r="BJ55" s="17">
        <f t="shared" si="40"/>
        <v>21473.182694623323</v>
      </c>
      <c r="BK55" s="17">
        <f t="shared" si="40"/>
        <v>20399.523559892157</v>
      </c>
      <c r="BL55" s="17">
        <f t="shared" si="40"/>
        <v>19379.547381897548</v>
      </c>
      <c r="BM55" s="17">
        <f t="shared" si="40"/>
        <v>18410.570012802669</v>
      </c>
      <c r="BN55" s="17">
        <f t="shared" si="40"/>
        <v>17490.041512162534</v>
      </c>
      <c r="BO55" s="17">
        <f t="shared" si="40"/>
        <v>16615.539436554405</v>
      </c>
      <c r="BP55" s="17">
        <f t="shared" si="40"/>
        <v>15784.762464726684</v>
      </c>
      <c r="BQ55" s="17">
        <f t="shared" si="40"/>
        <v>14995.524341490349</v>
      </c>
      <c r="BR55" s="17">
        <f t="shared" si="40"/>
        <v>14245.748124415832</v>
      </c>
      <c r="BS55" s="17">
        <f t="shared" si="40"/>
        <v>13533.46071819504</v>
      </c>
      <c r="BT55" s="17">
        <f t="shared" si="40"/>
        <v>12856.787682285287</v>
      </c>
      <c r="BU55" s="17">
        <f t="shared" si="40"/>
        <v>12213.948298171023</v>
      </c>
      <c r="BV55" s="17">
        <f t="shared" si="40"/>
        <v>11603.250883262472</v>
      </c>
      <c r="BW55" s="17">
        <f t="shared" si="40"/>
        <v>11023.088339099348</v>
      </c>
      <c r="BX55" s="17">
        <f t="shared" si="40"/>
        <v>10471.933922144381</v>
      </c>
      <c r="BY55" s="17">
        <f t="shared" si="40"/>
        <v>9948.3372260371616</v>
      </c>
      <c r="BZ55" s="17">
        <f t="shared" si="40"/>
        <v>9450.9203647353024</v>
      </c>
      <c r="CA55" s="17">
        <f t="shared" si="40"/>
        <v>8978.3743464985364</v>
      </c>
      <c r="CB55" s="17">
        <f t="shared" si="40"/>
        <v>8529.4556291736099</v>
      </c>
      <c r="CC55" s="17">
        <f t="shared" si="40"/>
        <v>8102.9828477149285</v>
      </c>
      <c r="CD55" s="17">
        <f t="shared" si="40"/>
        <v>7697.8337053291816</v>
      </c>
      <c r="CE55" s="17">
        <f t="shared" si="40"/>
        <v>7312.9420200627219</v>
      </c>
      <c r="CF55" s="17">
        <f t="shared" si="40"/>
        <v>6947.2949190595855</v>
      </c>
      <c r="CG55" s="17">
        <f t="shared" si="40"/>
        <v>6599.9301731066062</v>
      </c>
      <c r="CH55" s="17">
        <f t="shared" si="40"/>
        <v>6269.9336644512759</v>
      </c>
      <c r="CI55" s="17">
        <f t="shared" si="40"/>
        <v>5956.4369812287123</v>
      </c>
    </row>
    <row r="56" spans="2:87" x14ac:dyDescent="0.2">
      <c r="B56" s="15" t="s">
        <v>40</v>
      </c>
      <c r="C56" s="40"/>
      <c r="D56" s="40"/>
      <c r="E56" s="40"/>
      <c r="F56" s="40"/>
      <c r="G56" s="40"/>
      <c r="H56" s="40"/>
      <c r="I56" s="40"/>
      <c r="J56" s="44">
        <f>J55/J57</f>
        <v>190.49719002930973</v>
      </c>
      <c r="L56" s="40">
        <f>L55/L57</f>
        <v>150.96484218937275</v>
      </c>
      <c r="M56" s="40">
        <f t="shared" ref="M56:V56" si="41">M55/M57</f>
        <v>175.40551338393925</v>
      </c>
      <c r="N56" s="40">
        <f t="shared" si="41"/>
        <v>194.71132256116977</v>
      </c>
      <c r="O56" s="40">
        <f t="shared" si="41"/>
        <v>469.15738645111287</v>
      </c>
      <c r="P56" s="40">
        <f t="shared" si="41"/>
        <v>539.56208024473722</v>
      </c>
      <c r="Q56" s="40">
        <f t="shared" si="41"/>
        <v>530.36883714816497</v>
      </c>
      <c r="R56" s="40">
        <f t="shared" si="41"/>
        <v>417.43799321603649</v>
      </c>
      <c r="S56" s="40">
        <f t="shared" si="41"/>
        <v>297.76637138207195</v>
      </c>
      <c r="T56" s="40">
        <f t="shared" si="41"/>
        <v>309.59779360158797</v>
      </c>
      <c r="U56" s="40">
        <f t="shared" si="41"/>
        <v>321.61145937187246</v>
      </c>
      <c r="V56" s="40">
        <f t="shared" si="41"/>
        <v>333.78080849256605</v>
      </c>
    </row>
    <row r="57" spans="2:87" x14ac:dyDescent="0.2">
      <c r="B57" s="34" t="s">
        <v>48</v>
      </c>
      <c r="C57" s="40"/>
      <c r="D57" s="40"/>
      <c r="E57" s="40"/>
      <c r="F57" s="40"/>
      <c r="G57" s="40"/>
      <c r="H57" s="40"/>
      <c r="I57" s="40"/>
      <c r="J57" s="45">
        <v>557.83500000000004</v>
      </c>
      <c r="L57" s="40">
        <v>500.6</v>
      </c>
      <c r="M57" s="40">
        <f t="shared" ref="M57:V57" si="42">L57</f>
        <v>500.6</v>
      </c>
      <c r="N57" s="40">
        <f t="shared" si="42"/>
        <v>500.6</v>
      </c>
      <c r="O57" s="40">
        <f t="shared" si="42"/>
        <v>500.6</v>
      </c>
      <c r="P57" s="40">
        <f t="shared" si="42"/>
        <v>500.6</v>
      </c>
      <c r="Q57" s="40">
        <f t="shared" si="42"/>
        <v>500.6</v>
      </c>
      <c r="R57" s="40">
        <f t="shared" si="42"/>
        <v>500.6</v>
      </c>
      <c r="S57" s="40">
        <f t="shared" si="42"/>
        <v>500.6</v>
      </c>
      <c r="T57" s="40">
        <f t="shared" si="42"/>
        <v>500.6</v>
      </c>
      <c r="U57" s="40">
        <f t="shared" si="42"/>
        <v>500.6</v>
      </c>
      <c r="V57" s="40">
        <f t="shared" si="42"/>
        <v>500.6</v>
      </c>
    </row>
    <row r="58" spans="2:87" x14ac:dyDescent="0.2">
      <c r="C58" s="40"/>
      <c r="D58" s="40"/>
      <c r="E58" s="40"/>
      <c r="F58" s="40"/>
      <c r="G58" s="40"/>
      <c r="H58" s="40"/>
      <c r="I58" s="40"/>
      <c r="J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</row>
    <row r="59" spans="2:87" x14ac:dyDescent="0.2">
      <c r="B59" s="34" t="s">
        <v>91</v>
      </c>
      <c r="C59" s="38"/>
      <c r="D59" s="38"/>
      <c r="E59" s="38"/>
      <c r="F59" s="38"/>
      <c r="G59" s="38"/>
      <c r="H59" s="38"/>
      <c r="I59" s="38"/>
      <c r="J59" s="38">
        <f>(299.99+50.21)*1000</f>
        <v>350200</v>
      </c>
      <c r="L59" s="38">
        <f>(299.99+50.21)*1000</f>
        <v>350200</v>
      </c>
      <c r="M59" s="38">
        <f>(387.52+122.54)*1000</f>
        <v>510060</v>
      </c>
      <c r="N59" s="38">
        <f>N55+M59</f>
        <v>607532.48807412153</v>
      </c>
      <c r="O59" s="38">
        <f t="shared" ref="O59:BZ59" si="43">O55+N59</f>
        <v>842392.67573154857</v>
      </c>
      <c r="P59" s="38">
        <f t="shared" si="43"/>
        <v>1112497.4531020641</v>
      </c>
      <c r="Q59" s="38">
        <f t="shared" si="43"/>
        <v>1378000.0929784356</v>
      </c>
      <c r="R59" s="38">
        <f t="shared" si="43"/>
        <v>1586969.5523823835</v>
      </c>
      <c r="S59" s="38">
        <f t="shared" si="43"/>
        <v>1736031.3978962488</v>
      </c>
      <c r="T59" s="38">
        <f t="shared" si="43"/>
        <v>1891016.0533732038</v>
      </c>
      <c r="U59" s="38">
        <f t="shared" si="43"/>
        <v>2052014.7499347632</v>
      </c>
      <c r="V59" s="38">
        <f t="shared" si="43"/>
        <v>2219105.4226661418</v>
      </c>
      <c r="W59" s="17">
        <f t="shared" si="43"/>
        <v>2377841.5617609513</v>
      </c>
      <c r="X59" s="17">
        <f t="shared" si="43"/>
        <v>2528640.8939010203</v>
      </c>
      <c r="Y59" s="17">
        <f t="shared" si="43"/>
        <v>2671900.2594340858</v>
      </c>
      <c r="Z59" s="17">
        <f t="shared" si="43"/>
        <v>2807996.6566904983</v>
      </c>
      <c r="AA59" s="17">
        <f t="shared" si="43"/>
        <v>2937288.2340840902</v>
      </c>
      <c r="AB59" s="17">
        <f t="shared" si="43"/>
        <v>3060115.2326080026</v>
      </c>
      <c r="AC59" s="17">
        <f t="shared" si="43"/>
        <v>3176800.881205719</v>
      </c>
      <c r="AD59" s="17">
        <f t="shared" si="43"/>
        <v>3287652.2473735497</v>
      </c>
      <c r="AE59" s="17">
        <f t="shared" si="43"/>
        <v>3392961.0452329889</v>
      </c>
      <c r="AF59" s="17">
        <f t="shared" si="43"/>
        <v>3493004.4031994562</v>
      </c>
      <c r="AG59" s="17">
        <f t="shared" si="43"/>
        <v>3588045.5932676001</v>
      </c>
      <c r="AH59" s="17">
        <f t="shared" si="43"/>
        <v>3678334.7238323367</v>
      </c>
      <c r="AI59" s="17">
        <f t="shared" si="43"/>
        <v>3764109.3978688363</v>
      </c>
      <c r="AJ59" s="17">
        <f t="shared" si="43"/>
        <v>3845595.3382035112</v>
      </c>
      <c r="AK59" s="17">
        <f t="shared" si="43"/>
        <v>3923006.9815214523</v>
      </c>
      <c r="AL59" s="17">
        <f t="shared" si="43"/>
        <v>3996548.0426734965</v>
      </c>
      <c r="AM59" s="17">
        <f t="shared" si="43"/>
        <v>4066412.0507679381</v>
      </c>
      <c r="AN59" s="17">
        <f t="shared" si="43"/>
        <v>4132782.858457658</v>
      </c>
      <c r="AO59" s="17">
        <f t="shared" si="43"/>
        <v>4195835.125762892</v>
      </c>
      <c r="AP59" s="17">
        <f t="shared" si="43"/>
        <v>4255734.7797028637</v>
      </c>
      <c r="AQ59" s="17">
        <f t="shared" si="43"/>
        <v>4312639.4509458374</v>
      </c>
      <c r="AR59" s="17">
        <f t="shared" si="43"/>
        <v>4366698.8886266621</v>
      </c>
      <c r="AS59" s="17">
        <f t="shared" si="43"/>
        <v>4418055.3544234456</v>
      </c>
      <c r="AT59" s="17">
        <f t="shared" si="43"/>
        <v>4466843.9969303897</v>
      </c>
      <c r="AU59" s="17">
        <f t="shared" si="43"/>
        <v>4513193.2073119869</v>
      </c>
      <c r="AV59" s="17">
        <f t="shared" si="43"/>
        <v>4557224.9571745042</v>
      </c>
      <c r="AW59" s="17">
        <f t="shared" si="43"/>
        <v>4599055.1195438951</v>
      </c>
      <c r="AX59" s="17">
        <f t="shared" si="43"/>
        <v>4638793.7737948168</v>
      </c>
      <c r="AY59" s="17">
        <f t="shared" si="43"/>
        <v>4676545.4953331929</v>
      </c>
      <c r="AZ59" s="17">
        <f t="shared" si="43"/>
        <v>4712409.6307946499</v>
      </c>
      <c r="BA59" s="17">
        <f t="shared" si="43"/>
        <v>4746480.5594830336</v>
      </c>
      <c r="BB59" s="17">
        <f t="shared" si="43"/>
        <v>4778847.941736998</v>
      </c>
      <c r="BC59" s="17">
        <f t="shared" si="43"/>
        <v>4809596.954878265</v>
      </c>
      <c r="BD59" s="17">
        <f t="shared" si="43"/>
        <v>4838808.5173624679</v>
      </c>
      <c r="BE59" s="17">
        <f t="shared" si="43"/>
        <v>4866559.5017224615</v>
      </c>
      <c r="BF59" s="17">
        <f t="shared" si="43"/>
        <v>4892922.9368644552</v>
      </c>
      <c r="BG59" s="17">
        <f t="shared" si="43"/>
        <v>4917968.2002493488</v>
      </c>
      <c r="BH59" s="17">
        <f t="shared" si="43"/>
        <v>4941761.2004649974</v>
      </c>
      <c r="BI59" s="17">
        <f t="shared" si="43"/>
        <v>4964364.5506698638</v>
      </c>
      <c r="BJ59" s="17">
        <f t="shared" si="43"/>
        <v>4985837.7333644871</v>
      </c>
      <c r="BK59" s="17">
        <f t="shared" si="43"/>
        <v>5006237.2569243796</v>
      </c>
      <c r="BL59" s="17">
        <f t="shared" si="43"/>
        <v>5025616.8043062771</v>
      </c>
      <c r="BM59" s="17">
        <f t="shared" si="43"/>
        <v>5044027.3743190793</v>
      </c>
      <c r="BN59" s="17">
        <f t="shared" si="43"/>
        <v>5061517.4158312418</v>
      </c>
      <c r="BO59" s="17">
        <f t="shared" si="43"/>
        <v>5078132.9552677963</v>
      </c>
      <c r="BP59" s="17">
        <f t="shared" si="43"/>
        <v>5093917.7177325226</v>
      </c>
      <c r="BQ59" s="17">
        <f t="shared" si="43"/>
        <v>5108913.2420740128</v>
      </c>
      <c r="BR59" s="17">
        <f t="shared" si="43"/>
        <v>5123158.9901984287</v>
      </c>
      <c r="BS59" s="17">
        <f t="shared" si="43"/>
        <v>5136692.4509166237</v>
      </c>
      <c r="BT59" s="17">
        <f t="shared" si="43"/>
        <v>5149549.2385989092</v>
      </c>
      <c r="BU59" s="17">
        <f t="shared" si="43"/>
        <v>5161763.1868970804</v>
      </c>
      <c r="BV59" s="17">
        <f t="shared" si="43"/>
        <v>5173366.437780343</v>
      </c>
      <c r="BW59" s="17">
        <f t="shared" si="43"/>
        <v>5184389.5261194427</v>
      </c>
      <c r="BX59" s="17">
        <f t="shared" si="43"/>
        <v>5194861.4600415872</v>
      </c>
      <c r="BY59" s="17">
        <f t="shared" si="43"/>
        <v>5204809.7972676242</v>
      </c>
      <c r="BZ59" s="17">
        <f t="shared" si="43"/>
        <v>5214260.7176323598</v>
      </c>
      <c r="CA59" s="17">
        <f t="shared" ref="CA59:CI59" si="44">CA55+BZ59</f>
        <v>5223239.0919788582</v>
      </c>
      <c r="CB59" s="17">
        <f t="shared" si="44"/>
        <v>5231768.5476080319</v>
      </c>
      <c r="CC59" s="17">
        <f t="shared" si="44"/>
        <v>5239871.5304557467</v>
      </c>
      <c r="CD59" s="17">
        <f t="shared" si="44"/>
        <v>5247569.364161076</v>
      </c>
      <c r="CE59" s="17">
        <f t="shared" si="44"/>
        <v>5254882.3061811384</v>
      </c>
      <c r="CF59" s="17">
        <f t="shared" si="44"/>
        <v>5261829.601100198</v>
      </c>
      <c r="CG59" s="17">
        <f t="shared" si="44"/>
        <v>5268429.5312733045</v>
      </c>
      <c r="CH59" s="17">
        <f t="shared" si="44"/>
        <v>5274699.4649377558</v>
      </c>
      <c r="CI59" s="17">
        <f t="shared" si="44"/>
        <v>5280655.9019189849</v>
      </c>
    </row>
    <row r="61" spans="2:87" x14ac:dyDescent="0.2">
      <c r="X61" s="1" t="s">
        <v>43</v>
      </c>
      <c r="Y61" s="18">
        <v>0.12</v>
      </c>
    </row>
    <row r="62" spans="2:87" x14ac:dyDescent="0.2">
      <c r="B62" s="15" t="s">
        <v>41</v>
      </c>
      <c r="C62" s="41"/>
      <c r="D62" s="41"/>
      <c r="E62" s="41"/>
      <c r="F62" s="41"/>
      <c r="G62" s="41"/>
      <c r="H62" s="41"/>
      <c r="I62" s="41"/>
      <c r="J62" s="41">
        <f>J43/J42</f>
        <v>0.33671616162727985</v>
      </c>
      <c r="L62" s="41">
        <f>L43/L42</f>
        <v>0.32888526132307777</v>
      </c>
      <c r="M62" s="41">
        <f t="shared" ref="M62" si="45">M43/M42</f>
        <v>0.33671708819134677</v>
      </c>
      <c r="N62" s="41">
        <f t="shared" ref="N62:V62" si="46">M62</f>
        <v>0.33671708819134677</v>
      </c>
      <c r="O62" s="41">
        <f t="shared" si="46"/>
        <v>0.33671708819134677</v>
      </c>
      <c r="P62" s="41">
        <f t="shared" si="46"/>
        <v>0.33671708819134677</v>
      </c>
      <c r="Q62" s="41">
        <f t="shared" si="46"/>
        <v>0.33671708819134677</v>
      </c>
      <c r="R62" s="41">
        <f t="shared" si="46"/>
        <v>0.33671708819134677</v>
      </c>
      <c r="S62" s="41">
        <f t="shared" si="46"/>
        <v>0.33671708819134677</v>
      </c>
      <c r="T62" s="41">
        <f t="shared" si="46"/>
        <v>0.33671708819134677</v>
      </c>
      <c r="U62" s="41">
        <f t="shared" si="46"/>
        <v>0.33671708819134677</v>
      </c>
      <c r="V62" s="41">
        <f t="shared" si="46"/>
        <v>0.33671708819134677</v>
      </c>
      <c r="X62" s="1" t="s">
        <v>44</v>
      </c>
      <c r="Y62" s="18">
        <v>-0.05</v>
      </c>
    </row>
    <row r="63" spans="2:87" x14ac:dyDescent="0.2">
      <c r="B63" s="15" t="s">
        <v>42</v>
      </c>
      <c r="C63" s="41"/>
      <c r="D63" s="41"/>
      <c r="E63" s="41"/>
      <c r="F63" s="41"/>
      <c r="G63" s="41"/>
      <c r="H63" s="41"/>
      <c r="I63" s="41"/>
      <c r="J63" s="41">
        <f>J54/J53</f>
        <v>0.266999599928263</v>
      </c>
      <c r="L63" s="41">
        <f>L54/L53</f>
        <v>0.30703845660107465</v>
      </c>
      <c r="M63" s="41">
        <f t="shared" ref="M63" si="47">M54/M53</f>
        <v>0.30595339719877329</v>
      </c>
      <c r="N63" s="41">
        <v>0.33</v>
      </c>
      <c r="O63" s="41">
        <f t="shared" ref="O63:V63" si="48">N63</f>
        <v>0.33</v>
      </c>
      <c r="P63" s="41">
        <f t="shared" si="48"/>
        <v>0.33</v>
      </c>
      <c r="Q63" s="41">
        <f t="shared" si="48"/>
        <v>0.33</v>
      </c>
      <c r="R63" s="41">
        <f t="shared" si="48"/>
        <v>0.33</v>
      </c>
      <c r="S63" s="41">
        <f t="shared" si="48"/>
        <v>0.33</v>
      </c>
      <c r="T63" s="41">
        <f t="shared" si="48"/>
        <v>0.33</v>
      </c>
      <c r="U63" s="41">
        <f t="shared" si="48"/>
        <v>0.33</v>
      </c>
      <c r="V63" s="41">
        <f t="shared" si="48"/>
        <v>0.33</v>
      </c>
      <c r="X63" s="1" t="s">
        <v>45</v>
      </c>
      <c r="Y63" s="17">
        <f>NPV(Y61,O55:CJ55)+N55+Main!I5-Main!I6</f>
        <v>2298908.0938556516</v>
      </c>
    </row>
    <row r="64" spans="2:87" x14ac:dyDescent="0.2">
      <c r="X64" s="2" t="s">
        <v>47</v>
      </c>
      <c r="Y64" s="18">
        <v>0.02</v>
      </c>
    </row>
    <row r="65" spans="24:25" x14ac:dyDescent="0.2">
      <c r="X65" s="1" t="s">
        <v>46</v>
      </c>
      <c r="Y65" s="17">
        <f>Y63/M57</f>
        <v>4592.305421205856</v>
      </c>
    </row>
  </sheetData>
  <hyperlinks>
    <hyperlink ref="A1" location="Main!A1" display="Main"/>
  </hyperlinks>
  <pageMargins left="0.7" right="0.7" top="0.75" bottom="0.75" header="0.3" footer="0.3"/>
  <pageSetup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4A4B226BE2F34C80DFAA3D37A3CB30" ma:contentTypeVersion="0" ma:contentTypeDescription="Create a new document." ma:contentTypeScope="" ma:versionID="70544b0716d1f2dd0e24adda29a3d13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9C6CA2-1B03-4227-85AA-1536A77E23F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4E05593-643E-4151-BAA2-91E9602FE5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6C80F79-CBB7-41B8-A75E-8E1B1FC382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Stewart</dc:creator>
  <cp:lastModifiedBy>Martin</cp:lastModifiedBy>
  <dcterms:created xsi:type="dcterms:W3CDTF">2011-07-07T14:28:13Z</dcterms:created>
  <dcterms:modified xsi:type="dcterms:W3CDTF">2014-08-07T01:19:07Z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0x010100764A4B226BE2F34C80DFAA3D37A3CB30</vt:lpwstr>
  </property>
</Properties>
</file>