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esktop\Investing Class\"/>
    </mc:Choice>
  </mc:AlternateContent>
  <bookViews>
    <workbookView xWindow="0" yWindow="0" windowWidth="21360" windowHeight="12285" activeTab="1"/>
  </bookViews>
  <sheets>
    <sheet name="Main" sheetId="1" r:id="rId1"/>
    <sheet name="Mode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2" l="1"/>
  <c r="L20" i="2"/>
  <c r="L3" i="1"/>
  <c r="L6" i="1"/>
  <c r="L5" i="1"/>
  <c r="AK15" i="2" l="1"/>
  <c r="AJ15" i="2"/>
  <c r="AJ13" i="2"/>
  <c r="AK13" i="2" s="1"/>
  <c r="AI13" i="2"/>
  <c r="X3" i="2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I33" i="2"/>
  <c r="I32" i="2"/>
  <c r="E23" i="2"/>
  <c r="E20" i="2"/>
  <c r="E34" i="2" s="1"/>
  <c r="E18" i="2"/>
  <c r="E17" i="2"/>
  <c r="J33" i="2"/>
  <c r="J32" i="2"/>
  <c r="F25" i="2"/>
  <c r="F23" i="2"/>
  <c r="F20" i="2"/>
  <c r="F34" i="2" s="1"/>
  <c r="F18" i="2"/>
  <c r="F17" i="2"/>
  <c r="W33" i="2"/>
  <c r="W30" i="2"/>
  <c r="V30" i="2"/>
  <c r="V27" i="2"/>
  <c r="V25" i="2"/>
  <c r="W25" i="2"/>
  <c r="W22" i="2"/>
  <c r="V22" i="2"/>
  <c r="V23" i="2" s="1"/>
  <c r="W21" i="2"/>
  <c r="V21" i="2"/>
  <c r="V19" i="2"/>
  <c r="W17" i="2"/>
  <c r="X17" i="2" s="1"/>
  <c r="Y17" i="2" s="1"/>
  <c r="Z17" i="2" s="1"/>
  <c r="V17" i="2"/>
  <c r="V16" i="2"/>
  <c r="V12" i="2"/>
  <c r="V11" i="2"/>
  <c r="V10" i="2"/>
  <c r="W9" i="2"/>
  <c r="X9" i="2" s="1"/>
  <c r="Y9" i="2" s="1"/>
  <c r="Z9" i="2" s="1"/>
  <c r="AA9" i="2" s="1"/>
  <c r="AB9" i="2" s="1"/>
  <c r="AC9" i="2" s="1"/>
  <c r="AD9" i="2" s="1"/>
  <c r="AE9" i="2" s="1"/>
  <c r="AF9" i="2" s="1"/>
  <c r="AG9" i="2" s="1"/>
  <c r="AH9" i="2" s="1"/>
  <c r="AI9" i="2" s="1"/>
  <c r="AJ9" i="2" s="1"/>
  <c r="AK9" i="2" s="1"/>
  <c r="V9" i="2"/>
  <c r="W8" i="2"/>
  <c r="X8" i="2" s="1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V8" i="2"/>
  <c r="V7" i="2"/>
  <c r="W6" i="2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AJ6" i="2" s="1"/>
  <c r="AK6" i="2" s="1"/>
  <c r="V6" i="2"/>
  <c r="W5" i="2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  <c r="AJ5" i="2" s="1"/>
  <c r="AK5" i="2" s="1"/>
  <c r="V5" i="2"/>
  <c r="W4" i="2"/>
  <c r="X4" i="2" s="1"/>
  <c r="V4" i="2"/>
  <c r="W3" i="2"/>
  <c r="V3" i="2"/>
  <c r="M30" i="2"/>
  <c r="N30" i="2" s="1"/>
  <c r="N23" i="2"/>
  <c r="M23" i="2"/>
  <c r="L23" i="2"/>
  <c r="N22" i="2"/>
  <c r="M22" i="2"/>
  <c r="N21" i="2"/>
  <c r="M21" i="2"/>
  <c r="J35" i="2"/>
  <c r="I35" i="2"/>
  <c r="H35" i="2"/>
  <c r="K34" i="2"/>
  <c r="J34" i="2"/>
  <c r="I34" i="2"/>
  <c r="H34" i="2"/>
  <c r="K32" i="2"/>
  <c r="N33" i="2"/>
  <c r="M33" i="2"/>
  <c r="L33" i="2"/>
  <c r="L18" i="2"/>
  <c r="L32" i="2" s="1"/>
  <c r="M17" i="2"/>
  <c r="N17" i="2" s="1"/>
  <c r="M16" i="2"/>
  <c r="N12" i="2"/>
  <c r="M12" i="2"/>
  <c r="N11" i="2"/>
  <c r="M11" i="2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N10" i="2"/>
  <c r="M10" i="2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AH10" i="2" s="1"/>
  <c r="AI10" i="2" s="1"/>
  <c r="AJ10" i="2" s="1"/>
  <c r="AK10" i="2" s="1"/>
  <c r="N9" i="2"/>
  <c r="M9" i="2"/>
  <c r="N8" i="2"/>
  <c r="M8" i="2"/>
  <c r="N7" i="2"/>
  <c r="M7" i="2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N6" i="2"/>
  <c r="M6" i="2"/>
  <c r="N5" i="2"/>
  <c r="M5" i="2"/>
  <c r="N3" i="2"/>
  <c r="M3" i="2"/>
  <c r="K33" i="2"/>
  <c r="G17" i="2"/>
  <c r="G18" i="2" s="1"/>
  <c r="G20" i="2" s="1"/>
  <c r="G34" i="2" s="1"/>
  <c r="G23" i="2"/>
  <c r="M4" i="2"/>
  <c r="N4" i="2" s="1"/>
  <c r="H17" i="2"/>
  <c r="H23" i="2"/>
  <c r="H18" i="2"/>
  <c r="H20" i="2" s="1"/>
  <c r="I25" i="2"/>
  <c r="I17" i="2"/>
  <c r="I23" i="2"/>
  <c r="I18" i="2"/>
  <c r="I20" i="2" s="1"/>
  <c r="J17" i="2"/>
  <c r="J18" i="2" s="1"/>
  <c r="J20" i="2" s="1"/>
  <c r="J25" i="2"/>
  <c r="J23" i="2"/>
  <c r="K23" i="2"/>
  <c r="K20" i="2"/>
  <c r="K18" i="2"/>
  <c r="K17" i="2"/>
  <c r="S2" i="2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R2" i="2"/>
  <c r="L4" i="1"/>
  <c r="L7" i="1" s="1"/>
  <c r="W23" i="2" l="1"/>
  <c r="N16" i="2"/>
  <c r="W16" i="2" s="1"/>
  <c r="L34" i="2"/>
  <c r="W12" i="2"/>
  <c r="X12" i="2" s="1"/>
  <c r="Y12" i="2" s="1"/>
  <c r="Z12" i="2" s="1"/>
  <c r="AA12" i="2" s="1"/>
  <c r="AB12" i="2" s="1"/>
  <c r="AC12" i="2" s="1"/>
  <c r="AD12" i="2" s="1"/>
  <c r="AE12" i="2" s="1"/>
  <c r="AF12" i="2" s="1"/>
  <c r="AG12" i="2" s="1"/>
  <c r="AH12" i="2" s="1"/>
  <c r="AI12" i="2" s="1"/>
  <c r="AJ12" i="2" s="1"/>
  <c r="AK12" i="2" s="1"/>
  <c r="N18" i="2"/>
  <c r="N32" i="2" s="1"/>
  <c r="M18" i="2"/>
  <c r="M20" i="2" s="1"/>
  <c r="M34" i="2" s="1"/>
  <c r="Y4" i="2"/>
  <c r="V18" i="2"/>
  <c r="V20" i="2" s="1"/>
  <c r="AA17" i="2"/>
  <c r="E24" i="2"/>
  <c r="E26" i="2" s="1"/>
  <c r="F24" i="2"/>
  <c r="F26" i="2" s="1"/>
  <c r="V24" i="2"/>
  <c r="V26" i="2" s="1"/>
  <c r="V28" i="2" s="1"/>
  <c r="V29" i="2" s="1"/>
  <c r="M32" i="2"/>
  <c r="G24" i="2"/>
  <c r="G26" i="2" s="1"/>
  <c r="H24" i="2"/>
  <c r="H26" i="2" s="1"/>
  <c r="H28" i="2" s="1"/>
  <c r="H29" i="2" s="1"/>
  <c r="I24" i="2"/>
  <c r="I26" i="2" s="1"/>
  <c r="I28" i="2" s="1"/>
  <c r="I29" i="2" s="1"/>
  <c r="J24" i="2"/>
  <c r="J26" i="2" s="1"/>
  <c r="J28" i="2" s="1"/>
  <c r="J29" i="2" s="1"/>
  <c r="K24" i="2"/>
  <c r="K26" i="2" s="1"/>
  <c r="X16" i="2" l="1"/>
  <c r="Y16" i="2" s="1"/>
  <c r="Z16" i="2" s="1"/>
  <c r="AA16" i="2" s="1"/>
  <c r="AB16" i="2" s="1"/>
  <c r="AC16" i="2" s="1"/>
  <c r="AD16" i="2" s="1"/>
  <c r="AE16" i="2" s="1"/>
  <c r="AF16" i="2" s="1"/>
  <c r="AG16" i="2" s="1"/>
  <c r="AH16" i="2" s="1"/>
  <c r="AI16" i="2" s="1"/>
  <c r="AJ16" i="2" s="1"/>
  <c r="AK16" i="2" s="1"/>
  <c r="W18" i="2"/>
  <c r="W32" i="2" s="1"/>
  <c r="L24" i="2"/>
  <c r="L26" i="2" s="1"/>
  <c r="L35" i="2" s="1"/>
  <c r="N20" i="2"/>
  <c r="N34" i="2" s="1"/>
  <c r="X18" i="2"/>
  <c r="Y18" i="2"/>
  <c r="Z4" i="2"/>
  <c r="AB17" i="2"/>
  <c r="E28" i="2"/>
  <c r="E29" i="2" s="1"/>
  <c r="E35" i="2"/>
  <c r="F28" i="2"/>
  <c r="F29" i="2" s="1"/>
  <c r="F35" i="2"/>
  <c r="G28" i="2"/>
  <c r="G29" i="2" s="1"/>
  <c r="G35" i="2"/>
  <c r="M24" i="2"/>
  <c r="M26" i="2" s="1"/>
  <c r="N24" i="2"/>
  <c r="N26" i="2" s="1"/>
  <c r="W20" i="2"/>
  <c r="M19" i="2"/>
  <c r="K28" i="2"/>
  <c r="K29" i="2" s="1"/>
  <c r="K35" i="2"/>
  <c r="N19" i="2" l="1"/>
  <c r="L28" i="2"/>
  <c r="L29" i="2" s="1"/>
  <c r="W19" i="2"/>
  <c r="AA4" i="2"/>
  <c r="Z18" i="2"/>
  <c r="AC17" i="2"/>
  <c r="N27" i="2"/>
  <c r="N35" i="2" s="1"/>
  <c r="W34" i="2"/>
  <c r="W24" i="2"/>
  <c r="W26" i="2" s="1"/>
  <c r="M27" i="2"/>
  <c r="W27" i="2" s="1"/>
  <c r="W35" i="2" l="1"/>
  <c r="AB4" i="2"/>
  <c r="AA18" i="2"/>
  <c r="AD17" i="2"/>
  <c r="M28" i="2"/>
  <c r="M29" i="2" s="1"/>
  <c r="M35" i="2"/>
  <c r="W28" i="2"/>
  <c r="W29" i="2" s="1"/>
  <c r="N28" i="2"/>
  <c r="N29" i="2" s="1"/>
  <c r="AC4" i="2" l="1"/>
  <c r="AB18" i="2"/>
  <c r="AE17" i="2"/>
  <c r="AD4" i="2" l="1"/>
  <c r="AC18" i="2"/>
  <c r="AF17" i="2"/>
  <c r="AE4" i="2" l="1"/>
  <c r="AD18" i="2"/>
  <c r="AG17" i="2"/>
  <c r="AF4" i="2" l="1"/>
  <c r="AE18" i="2"/>
  <c r="AH17" i="2"/>
  <c r="AG4" i="2" l="1"/>
  <c r="AF18" i="2"/>
  <c r="AI17" i="2"/>
  <c r="AH4" i="2" l="1"/>
  <c r="AG18" i="2"/>
  <c r="AJ17" i="2"/>
  <c r="AI4" i="2" l="1"/>
  <c r="AH18" i="2"/>
  <c r="AK17" i="2"/>
  <c r="AJ4" i="2" l="1"/>
  <c r="AI18" i="2"/>
  <c r="AK4" i="2" l="1"/>
  <c r="AK18" i="2" s="1"/>
  <c r="AJ18" i="2"/>
</calcChain>
</file>

<file path=xl/sharedStrings.xml><?xml version="1.0" encoding="utf-8"?>
<sst xmlns="http://schemas.openxmlformats.org/spreadsheetml/2006/main" count="85" uniqueCount="72">
  <si>
    <t>Price</t>
  </si>
  <si>
    <t>Shares</t>
  </si>
  <si>
    <t>MC</t>
  </si>
  <si>
    <t>Cash</t>
  </si>
  <si>
    <t>Debt</t>
  </si>
  <si>
    <t>EV</t>
  </si>
  <si>
    <t>Q116</t>
  </si>
  <si>
    <t>Main</t>
  </si>
  <si>
    <t>Humira</t>
  </si>
  <si>
    <t>Q114</t>
  </si>
  <si>
    <t>Q214</t>
  </si>
  <si>
    <t>Q314</t>
  </si>
  <si>
    <t>Q414</t>
  </si>
  <si>
    <t>Q115</t>
  </si>
  <si>
    <t>Q215</t>
  </si>
  <si>
    <t>Q315</t>
  </si>
  <si>
    <t>Q415</t>
  </si>
  <si>
    <t>Q216</t>
  </si>
  <si>
    <t>Q316</t>
  </si>
  <si>
    <t>Q416</t>
  </si>
  <si>
    <t>Revenue</t>
  </si>
  <si>
    <t>Imbruvica</t>
  </si>
  <si>
    <t>Viekira</t>
  </si>
  <si>
    <t>Lupron</t>
  </si>
  <si>
    <t>Synagis</t>
  </si>
  <si>
    <t>Synthroid</t>
  </si>
  <si>
    <t>Creon</t>
  </si>
  <si>
    <t>AndroGel</t>
  </si>
  <si>
    <t>Kaletra</t>
  </si>
  <si>
    <t>Sevoflurane</t>
  </si>
  <si>
    <t>Duodopa</t>
  </si>
  <si>
    <t>Other</t>
  </si>
  <si>
    <t>EPS</t>
  </si>
  <si>
    <t>Net Income</t>
  </si>
  <si>
    <t>COGS</t>
  </si>
  <si>
    <t>Gross Margin</t>
  </si>
  <si>
    <t>SG&amp;A</t>
  </si>
  <si>
    <t>R&amp;D</t>
  </si>
  <si>
    <t>Operating Expenses</t>
  </si>
  <si>
    <t>Operating Income</t>
  </si>
  <si>
    <t>Interest Income</t>
  </si>
  <si>
    <t>Pretax Income</t>
  </si>
  <si>
    <t>Taxes</t>
  </si>
  <si>
    <t>ARGX-115</t>
  </si>
  <si>
    <t>ibrutinib</t>
  </si>
  <si>
    <t>Generic</t>
  </si>
  <si>
    <t>Brand</t>
  </si>
  <si>
    <t>Indication</t>
  </si>
  <si>
    <t>ombitasvir/paritaprevir/ritonavir</t>
  </si>
  <si>
    <t>Exviera</t>
  </si>
  <si>
    <t>dasabuvir</t>
  </si>
  <si>
    <t>Venclexta</t>
  </si>
  <si>
    <t>venetoclax</t>
  </si>
  <si>
    <t>CLL</t>
  </si>
  <si>
    <t>elagolix</t>
  </si>
  <si>
    <t>ABT-494</t>
  </si>
  <si>
    <t>III</t>
  </si>
  <si>
    <t>Phase</t>
  </si>
  <si>
    <t>JAK1</t>
  </si>
  <si>
    <t>Viekira/Viekirax</t>
  </si>
  <si>
    <t>C2N-8E12</t>
  </si>
  <si>
    <t>PSP</t>
  </si>
  <si>
    <t>RA</t>
  </si>
  <si>
    <t>Oncology</t>
  </si>
  <si>
    <t>Uterine Fibroids</t>
  </si>
  <si>
    <t>adalimumab</t>
  </si>
  <si>
    <t>RSV</t>
  </si>
  <si>
    <t>Duopa</t>
  </si>
  <si>
    <t>carbidopa/levadopa</t>
  </si>
  <si>
    <t>Parkinson's</t>
  </si>
  <si>
    <t>Tax Rate</t>
  </si>
  <si>
    <t>Dyslipidemia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</si>
</sst>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9" fontId="0" fillId="0" borderId="0" xfId="0" applyNumberFormat="1" applyAlignment="1">
      <alignment horizontal="right"/>
    </xf>
    <xf numFmtId="9" fontId="1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0</xdr:row>
      <xdr:rowOff>0</xdr:rowOff>
    </xdr:from>
    <xdr:to>
      <xdr:col>12</xdr:col>
      <xdr:colOff>38100</xdr:colOff>
      <xdr:row>43</xdr:row>
      <xdr:rowOff>114300</xdr:rowOff>
    </xdr:to>
    <xdr:cxnSp macro="">
      <xdr:nvCxnSpPr>
        <xdr:cNvPr id="3" name="Straight Connector 2"/>
        <xdr:cNvCxnSpPr/>
      </xdr:nvCxnSpPr>
      <xdr:spPr>
        <a:xfrm>
          <a:off x="7677150" y="0"/>
          <a:ext cx="0" cy="7077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0</xdr:row>
      <xdr:rowOff>0</xdr:rowOff>
    </xdr:from>
    <xdr:to>
      <xdr:col>22</xdr:col>
      <xdr:colOff>38100</xdr:colOff>
      <xdr:row>43</xdr:row>
      <xdr:rowOff>114300</xdr:rowOff>
    </xdr:to>
    <xdr:cxnSp macro="">
      <xdr:nvCxnSpPr>
        <xdr:cNvPr id="4" name="Straight Connector 3"/>
        <xdr:cNvCxnSpPr/>
      </xdr:nvCxnSpPr>
      <xdr:spPr>
        <a:xfrm>
          <a:off x="13773150" y="0"/>
          <a:ext cx="0" cy="6591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workbookViewId="0">
      <selection activeCell="M3" sqref="M3"/>
    </sheetView>
  </sheetViews>
  <sheetFormatPr defaultRowHeight="12.75" x14ac:dyDescent="0.2"/>
  <cols>
    <col min="2" max="2" width="13.85546875" customWidth="1"/>
    <col min="3" max="3" width="12" customWidth="1"/>
    <col min="4" max="4" width="14.140625" bestFit="1" customWidth="1"/>
  </cols>
  <sheetData>
    <row r="2" spans="2:13" x14ac:dyDescent="0.2">
      <c r="B2" s="11" t="s">
        <v>46</v>
      </c>
      <c r="C2" s="12" t="s">
        <v>45</v>
      </c>
      <c r="D2" s="12" t="s">
        <v>47</v>
      </c>
      <c r="E2" s="12"/>
      <c r="F2" s="12"/>
      <c r="G2" s="12"/>
      <c r="H2" s="12"/>
      <c r="I2" s="13"/>
      <c r="K2" t="s">
        <v>0</v>
      </c>
      <c r="L2" s="1">
        <v>61.15</v>
      </c>
    </row>
    <row r="3" spans="2:13" x14ac:dyDescent="0.2">
      <c r="B3" s="14" t="s">
        <v>8</v>
      </c>
      <c r="C3" s="15" t="s">
        <v>65</v>
      </c>
      <c r="D3" s="15" t="s">
        <v>62</v>
      </c>
      <c r="E3" s="15"/>
      <c r="F3" s="15"/>
      <c r="G3" s="15"/>
      <c r="H3" s="15"/>
      <c r="I3" s="16"/>
      <c r="K3" t="s">
        <v>1</v>
      </c>
      <c r="L3" s="2">
        <f>1761.253463-132.711</f>
        <v>1628.542463</v>
      </c>
      <c r="M3" s="3" t="s">
        <v>17</v>
      </c>
    </row>
    <row r="4" spans="2:13" x14ac:dyDescent="0.2">
      <c r="B4" s="14" t="s">
        <v>24</v>
      </c>
      <c r="C4" s="15"/>
      <c r="D4" s="15" t="s">
        <v>66</v>
      </c>
      <c r="E4" s="15"/>
      <c r="F4" s="15"/>
      <c r="G4" s="15"/>
      <c r="H4" s="15"/>
      <c r="I4" s="16"/>
      <c r="K4" t="s">
        <v>2</v>
      </c>
      <c r="L4" s="2">
        <f>+L3*L2</f>
        <v>99585.371612449992</v>
      </c>
      <c r="M4" s="3"/>
    </row>
    <row r="5" spans="2:13" x14ac:dyDescent="0.2">
      <c r="B5" s="14" t="s">
        <v>21</v>
      </c>
      <c r="C5" s="15" t="s">
        <v>44</v>
      </c>
      <c r="D5" s="15"/>
      <c r="E5" s="15"/>
      <c r="F5" s="15"/>
      <c r="G5" s="15"/>
      <c r="H5" s="15"/>
      <c r="I5" s="16"/>
      <c r="K5" t="s">
        <v>3</v>
      </c>
      <c r="L5" s="2">
        <f>6327+1675+1400</f>
        <v>9402</v>
      </c>
      <c r="M5" s="3" t="s">
        <v>17</v>
      </c>
    </row>
    <row r="6" spans="2:13" x14ac:dyDescent="0.2">
      <c r="B6" s="14" t="s">
        <v>59</v>
      </c>
      <c r="C6" s="15" t="s">
        <v>48</v>
      </c>
      <c r="D6" s="15"/>
      <c r="E6" s="15"/>
      <c r="F6" s="15"/>
      <c r="G6" s="15"/>
      <c r="H6" s="15"/>
      <c r="I6" s="16"/>
      <c r="K6" t="s">
        <v>4</v>
      </c>
      <c r="L6" s="2">
        <f>37328+23+494</f>
        <v>37845</v>
      </c>
      <c r="M6" s="3" t="s">
        <v>17</v>
      </c>
    </row>
    <row r="7" spans="2:13" x14ac:dyDescent="0.2">
      <c r="B7" s="14" t="s">
        <v>49</v>
      </c>
      <c r="C7" s="20" t="s">
        <v>50</v>
      </c>
      <c r="D7" s="15"/>
      <c r="E7" s="15"/>
      <c r="F7" s="15"/>
      <c r="G7" s="15"/>
      <c r="H7" s="15"/>
      <c r="I7" s="16"/>
      <c r="K7" t="s">
        <v>5</v>
      </c>
      <c r="L7" s="2">
        <f>+L4-L5+L6</f>
        <v>128028.37161244999</v>
      </c>
    </row>
    <row r="8" spans="2:13" x14ac:dyDescent="0.2">
      <c r="B8" s="14" t="s">
        <v>51</v>
      </c>
      <c r="C8" s="20" t="s">
        <v>52</v>
      </c>
      <c r="D8" s="15" t="s">
        <v>53</v>
      </c>
      <c r="E8" s="15"/>
      <c r="F8" s="15"/>
      <c r="G8" s="15"/>
      <c r="H8" s="15"/>
      <c r="I8" s="16"/>
    </row>
    <row r="9" spans="2:13" x14ac:dyDescent="0.2">
      <c r="B9" s="14" t="s">
        <v>67</v>
      </c>
      <c r="C9" s="20" t="s">
        <v>68</v>
      </c>
      <c r="D9" s="15" t="s">
        <v>69</v>
      </c>
      <c r="E9" s="15"/>
      <c r="F9" s="15"/>
      <c r="G9" s="15"/>
      <c r="H9" s="15"/>
      <c r="I9" s="16"/>
    </row>
    <row r="10" spans="2:13" x14ac:dyDescent="0.2">
      <c r="B10" s="14"/>
      <c r="C10" s="15"/>
      <c r="D10" s="15"/>
      <c r="E10" s="15"/>
      <c r="F10" s="15"/>
      <c r="G10" s="15"/>
      <c r="H10" s="15"/>
      <c r="I10" s="16"/>
    </row>
    <row r="11" spans="2:13" x14ac:dyDescent="0.2">
      <c r="B11" s="14"/>
      <c r="C11" s="15"/>
      <c r="D11" s="15"/>
      <c r="E11" s="15"/>
      <c r="F11" s="15"/>
      <c r="G11" s="15"/>
      <c r="H11" s="15"/>
      <c r="I11" s="16"/>
    </row>
    <row r="12" spans="2:13" x14ac:dyDescent="0.2">
      <c r="B12" s="14"/>
      <c r="C12" s="15"/>
      <c r="D12" s="15"/>
      <c r="E12" s="15"/>
      <c r="F12" s="15"/>
      <c r="G12" s="15"/>
      <c r="H12" s="15"/>
      <c r="I12" s="16"/>
    </row>
    <row r="13" spans="2:13" x14ac:dyDescent="0.2">
      <c r="B13" s="14"/>
      <c r="C13" s="15"/>
      <c r="D13" s="15"/>
      <c r="E13" s="15"/>
      <c r="F13" s="15"/>
      <c r="G13" s="15"/>
      <c r="H13" s="15"/>
      <c r="I13" s="16"/>
    </row>
    <row r="14" spans="2:13" x14ac:dyDescent="0.2">
      <c r="B14" s="14"/>
      <c r="C14" s="15"/>
      <c r="D14" s="15"/>
      <c r="E14" s="15"/>
      <c r="F14" s="15"/>
      <c r="G14" s="15"/>
      <c r="H14" s="15"/>
      <c r="I14" s="16"/>
    </row>
    <row r="15" spans="2:13" x14ac:dyDescent="0.2">
      <c r="B15" s="14"/>
      <c r="C15" s="15"/>
      <c r="D15" s="15"/>
      <c r="E15" s="15"/>
      <c r="F15" s="15"/>
      <c r="G15" s="15"/>
      <c r="H15" s="15"/>
      <c r="I15" s="16"/>
    </row>
    <row r="16" spans="2:13" x14ac:dyDescent="0.2">
      <c r="B16" s="14"/>
      <c r="C16" s="15"/>
      <c r="D16" s="15"/>
      <c r="E16" s="15"/>
      <c r="F16" s="15"/>
      <c r="G16" s="15"/>
      <c r="H16" s="15"/>
      <c r="I16" s="16"/>
    </row>
    <row r="17" spans="2:9" x14ac:dyDescent="0.2">
      <c r="B17" s="14"/>
      <c r="C17" s="15"/>
      <c r="D17" s="15"/>
      <c r="E17" s="15"/>
      <c r="F17" s="15"/>
      <c r="G17" s="15"/>
      <c r="H17" s="15"/>
      <c r="I17" s="16"/>
    </row>
    <row r="18" spans="2:9" x14ac:dyDescent="0.2">
      <c r="B18" s="14"/>
      <c r="C18" s="15"/>
      <c r="D18" s="15"/>
      <c r="E18" s="15"/>
      <c r="F18" s="15"/>
      <c r="G18" s="15"/>
      <c r="H18" s="15"/>
      <c r="I18" s="16"/>
    </row>
    <row r="19" spans="2:9" x14ac:dyDescent="0.2">
      <c r="B19" s="11"/>
      <c r="C19" s="12"/>
      <c r="D19" s="12"/>
      <c r="E19" s="12" t="s">
        <v>57</v>
      </c>
      <c r="F19" s="12"/>
      <c r="G19" s="12"/>
      <c r="H19" s="12"/>
      <c r="I19" s="13"/>
    </row>
    <row r="20" spans="2:9" x14ac:dyDescent="0.2">
      <c r="B20" s="14"/>
      <c r="C20" s="15" t="s">
        <v>54</v>
      </c>
      <c r="D20" s="15" t="s">
        <v>64</v>
      </c>
      <c r="E20" s="15"/>
      <c r="F20" s="15"/>
      <c r="G20" s="15"/>
      <c r="H20" s="15"/>
      <c r="I20" s="16"/>
    </row>
    <row r="21" spans="2:9" x14ac:dyDescent="0.2">
      <c r="B21" s="14" t="s">
        <v>43</v>
      </c>
      <c r="C21" s="15"/>
      <c r="D21" s="15" t="s">
        <v>63</v>
      </c>
      <c r="E21" s="15"/>
      <c r="F21" s="15"/>
      <c r="G21" s="15"/>
      <c r="H21" s="15"/>
      <c r="I21" s="16"/>
    </row>
    <row r="22" spans="2:9" x14ac:dyDescent="0.2">
      <c r="B22" s="14" t="s">
        <v>55</v>
      </c>
      <c r="C22" s="15"/>
      <c r="D22" s="15" t="s">
        <v>62</v>
      </c>
      <c r="E22" s="15" t="s">
        <v>56</v>
      </c>
      <c r="F22" s="15" t="s">
        <v>58</v>
      </c>
      <c r="G22" s="15"/>
      <c r="H22" s="15"/>
      <c r="I22" s="16"/>
    </row>
    <row r="23" spans="2:9" x14ac:dyDescent="0.2">
      <c r="B23" s="14" t="s">
        <v>60</v>
      </c>
      <c r="C23" s="15"/>
      <c r="D23" s="15" t="s">
        <v>61</v>
      </c>
      <c r="E23" s="15"/>
      <c r="F23" s="15"/>
      <c r="G23" s="15"/>
      <c r="H23" s="15"/>
      <c r="I23" s="16"/>
    </row>
    <row r="24" spans="2:9" x14ac:dyDescent="0.2">
      <c r="B24" s="14"/>
      <c r="C24" s="15"/>
      <c r="D24" s="15"/>
      <c r="E24" s="15"/>
      <c r="F24" s="15"/>
      <c r="G24" s="15"/>
      <c r="H24" s="15"/>
      <c r="I24" s="16"/>
    </row>
    <row r="25" spans="2:9" x14ac:dyDescent="0.2">
      <c r="B25" s="14"/>
      <c r="C25" s="15"/>
      <c r="D25" s="15"/>
      <c r="E25" s="15"/>
      <c r="F25" s="15"/>
      <c r="G25" s="15"/>
      <c r="H25" s="15"/>
      <c r="I25" s="16"/>
    </row>
    <row r="26" spans="2:9" x14ac:dyDescent="0.2">
      <c r="B26" s="14"/>
      <c r="C26" s="15"/>
      <c r="D26" s="15"/>
      <c r="E26" s="15"/>
      <c r="F26" s="15"/>
      <c r="G26" s="15"/>
      <c r="H26" s="15"/>
      <c r="I26" s="16"/>
    </row>
    <row r="27" spans="2:9" x14ac:dyDescent="0.2">
      <c r="B27" s="14"/>
      <c r="C27" s="15"/>
      <c r="D27" s="15"/>
      <c r="E27" s="15"/>
      <c r="F27" s="15"/>
      <c r="G27" s="15"/>
      <c r="H27" s="15"/>
      <c r="I27" s="16"/>
    </row>
    <row r="28" spans="2:9" x14ac:dyDescent="0.2">
      <c r="B28" s="14"/>
      <c r="C28" s="15"/>
      <c r="D28" s="15"/>
      <c r="E28" s="15"/>
      <c r="F28" s="15"/>
      <c r="G28" s="15"/>
      <c r="H28" s="15"/>
      <c r="I28" s="16"/>
    </row>
    <row r="29" spans="2:9" x14ac:dyDescent="0.2">
      <c r="B29" s="14"/>
      <c r="C29" s="15"/>
      <c r="D29" s="15"/>
      <c r="E29" s="15"/>
      <c r="F29" s="15"/>
      <c r="G29" s="15"/>
      <c r="H29" s="15"/>
      <c r="I29" s="16"/>
    </row>
    <row r="30" spans="2:9" x14ac:dyDescent="0.2">
      <c r="B30" s="14"/>
      <c r="C30" s="15"/>
      <c r="D30" s="15"/>
      <c r="E30" s="15"/>
      <c r="F30" s="15"/>
      <c r="G30" s="15"/>
      <c r="H30" s="15"/>
      <c r="I30" s="16"/>
    </row>
    <row r="31" spans="2:9" x14ac:dyDescent="0.2">
      <c r="B31" s="14"/>
      <c r="C31" s="15"/>
      <c r="D31" s="15"/>
      <c r="E31" s="15"/>
      <c r="F31" s="15"/>
      <c r="G31" s="15"/>
      <c r="H31" s="15"/>
      <c r="I31" s="16"/>
    </row>
    <row r="32" spans="2:9" x14ac:dyDescent="0.2">
      <c r="B32" s="14"/>
      <c r="C32" s="15"/>
      <c r="D32" s="15"/>
      <c r="E32" s="15"/>
      <c r="F32" s="15"/>
      <c r="G32" s="15"/>
      <c r="H32" s="15"/>
      <c r="I32" s="16"/>
    </row>
    <row r="33" spans="2:9" x14ac:dyDescent="0.2">
      <c r="B33" s="17"/>
      <c r="C33" s="18"/>
      <c r="D33" s="18"/>
      <c r="E33" s="18"/>
      <c r="F33" s="18"/>
      <c r="G33" s="18"/>
      <c r="H33" s="18"/>
      <c r="I33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" sqref="L3"/>
    </sheetView>
  </sheetViews>
  <sheetFormatPr defaultRowHeight="12.75" x14ac:dyDescent="0.2"/>
  <cols>
    <col min="1" max="1" width="5" bestFit="1" customWidth="1"/>
    <col min="2" max="2" width="18.140625" bestFit="1" customWidth="1"/>
    <col min="3" max="40" width="9.140625" style="3"/>
  </cols>
  <sheetData>
    <row r="1" spans="1:72" x14ac:dyDescent="0.2">
      <c r="A1" s="10" t="s">
        <v>7</v>
      </c>
    </row>
    <row r="2" spans="1:72" x14ac:dyDescent="0.2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6</v>
      </c>
      <c r="L2" s="3" t="s">
        <v>17</v>
      </c>
      <c r="M2" s="3" t="s">
        <v>18</v>
      </c>
      <c r="N2" s="3" t="s">
        <v>19</v>
      </c>
      <c r="Q2" s="3">
        <v>2010</v>
      </c>
      <c r="R2" s="3">
        <f>+Q2+1</f>
        <v>2011</v>
      </c>
      <c r="S2" s="3">
        <f t="shared" ref="S2:BT2" si="0">+R2+1</f>
        <v>2012</v>
      </c>
      <c r="T2" s="3">
        <f t="shared" si="0"/>
        <v>2013</v>
      </c>
      <c r="U2" s="3">
        <f t="shared" si="0"/>
        <v>2014</v>
      </c>
      <c r="V2" s="3">
        <f t="shared" si="0"/>
        <v>2015</v>
      </c>
      <c r="W2" s="3">
        <f t="shared" si="0"/>
        <v>2016</v>
      </c>
      <c r="X2" s="3">
        <f t="shared" si="0"/>
        <v>2017</v>
      </c>
      <c r="Y2" s="3">
        <f t="shared" si="0"/>
        <v>2018</v>
      </c>
      <c r="Z2" s="3">
        <f t="shared" si="0"/>
        <v>2019</v>
      </c>
      <c r="AA2" s="3">
        <f t="shared" si="0"/>
        <v>2020</v>
      </c>
      <c r="AB2" s="3">
        <f t="shared" si="0"/>
        <v>2021</v>
      </c>
      <c r="AC2" s="3">
        <f t="shared" si="0"/>
        <v>2022</v>
      </c>
      <c r="AD2" s="3">
        <f t="shared" si="0"/>
        <v>2023</v>
      </c>
      <c r="AE2" s="3">
        <f t="shared" si="0"/>
        <v>2024</v>
      </c>
      <c r="AF2" s="3">
        <f t="shared" si="0"/>
        <v>2025</v>
      </c>
      <c r="AG2" s="3">
        <f t="shared" si="0"/>
        <v>2026</v>
      </c>
      <c r="AH2" s="3">
        <f t="shared" si="0"/>
        <v>2027</v>
      </c>
      <c r="AI2" s="3">
        <f t="shared" si="0"/>
        <v>2028</v>
      </c>
      <c r="AJ2" s="3">
        <f t="shared" si="0"/>
        <v>2029</v>
      </c>
      <c r="AK2" s="3">
        <f t="shared" si="0"/>
        <v>2030</v>
      </c>
      <c r="AL2" s="3">
        <f t="shared" si="0"/>
        <v>2031</v>
      </c>
      <c r="AM2" s="3">
        <f t="shared" si="0"/>
        <v>2032</v>
      </c>
      <c r="AN2" s="3">
        <f t="shared" si="0"/>
        <v>2033</v>
      </c>
      <c r="AO2" s="3">
        <f t="shared" si="0"/>
        <v>2034</v>
      </c>
      <c r="AP2" s="3">
        <f t="shared" si="0"/>
        <v>2035</v>
      </c>
      <c r="AQ2" s="3">
        <f t="shared" si="0"/>
        <v>2036</v>
      </c>
      <c r="AR2" s="3">
        <f t="shared" si="0"/>
        <v>2037</v>
      </c>
      <c r="AS2" s="3">
        <f t="shared" si="0"/>
        <v>2038</v>
      </c>
      <c r="AT2" s="3">
        <f t="shared" si="0"/>
        <v>2039</v>
      </c>
      <c r="AU2" s="3">
        <f t="shared" si="0"/>
        <v>2040</v>
      </c>
      <c r="AV2" s="3">
        <f t="shared" si="0"/>
        <v>2041</v>
      </c>
      <c r="AW2" s="3">
        <f t="shared" si="0"/>
        <v>2042</v>
      </c>
      <c r="AX2" s="3">
        <f t="shared" si="0"/>
        <v>2043</v>
      </c>
      <c r="AY2" s="3">
        <f t="shared" si="0"/>
        <v>2044</v>
      </c>
      <c r="AZ2" s="3">
        <f t="shared" si="0"/>
        <v>2045</v>
      </c>
      <c r="BA2" s="3">
        <f t="shared" si="0"/>
        <v>2046</v>
      </c>
      <c r="BB2" s="3">
        <f t="shared" si="0"/>
        <v>2047</v>
      </c>
      <c r="BC2" s="3">
        <f t="shared" si="0"/>
        <v>2048</v>
      </c>
      <c r="BD2" s="3">
        <f t="shared" si="0"/>
        <v>2049</v>
      </c>
      <c r="BE2" s="3">
        <f t="shared" si="0"/>
        <v>2050</v>
      </c>
      <c r="BF2" s="3">
        <f t="shared" si="0"/>
        <v>2051</v>
      </c>
      <c r="BG2" s="3">
        <f t="shared" si="0"/>
        <v>2052</v>
      </c>
      <c r="BH2" s="3">
        <f t="shared" si="0"/>
        <v>2053</v>
      </c>
      <c r="BI2" s="3">
        <f t="shared" si="0"/>
        <v>2054</v>
      </c>
      <c r="BJ2" s="3">
        <f t="shared" si="0"/>
        <v>2055</v>
      </c>
      <c r="BK2" s="3">
        <f t="shared" si="0"/>
        <v>2056</v>
      </c>
      <c r="BL2" s="3">
        <f t="shared" si="0"/>
        <v>2057</v>
      </c>
      <c r="BM2" s="3">
        <f t="shared" si="0"/>
        <v>2058</v>
      </c>
      <c r="BN2" s="3">
        <f t="shared" si="0"/>
        <v>2059</v>
      </c>
      <c r="BO2" s="3">
        <f t="shared" si="0"/>
        <v>2060</v>
      </c>
      <c r="BP2" s="3">
        <f t="shared" si="0"/>
        <v>2061</v>
      </c>
      <c r="BQ2" s="3">
        <f t="shared" si="0"/>
        <v>2062</v>
      </c>
      <c r="BR2" s="3">
        <f t="shared" si="0"/>
        <v>2063</v>
      </c>
      <c r="BS2" s="3">
        <f t="shared" si="0"/>
        <v>2064</v>
      </c>
      <c r="BT2" s="3">
        <f t="shared" si="0"/>
        <v>2065</v>
      </c>
    </row>
    <row r="3" spans="1:72" s="2" customFormat="1" x14ac:dyDescent="0.2">
      <c r="B3" s="2" t="s">
        <v>8</v>
      </c>
      <c r="C3" s="6"/>
      <c r="D3" s="6"/>
      <c r="E3" s="6">
        <v>3255</v>
      </c>
      <c r="F3" s="6">
        <v>3363</v>
      </c>
      <c r="G3" s="6">
        <v>3111</v>
      </c>
      <c r="H3" s="6">
        <v>3537</v>
      </c>
      <c r="I3" s="6">
        <v>3647</v>
      </c>
      <c r="J3" s="6">
        <v>3717</v>
      </c>
      <c r="K3" s="6">
        <v>3577</v>
      </c>
      <c r="L3" s="6">
        <v>4149</v>
      </c>
      <c r="M3" s="6">
        <f t="shared" ref="M3:N3" si="1">+I3*1.05</f>
        <v>3829.3500000000004</v>
      </c>
      <c r="N3" s="6">
        <f t="shared" si="1"/>
        <v>3902.8500000000004</v>
      </c>
      <c r="O3" s="6"/>
      <c r="P3" s="6"/>
      <c r="Q3" s="6"/>
      <c r="R3" s="6"/>
      <c r="S3" s="6"/>
      <c r="T3" s="6"/>
      <c r="U3" s="6"/>
      <c r="V3" s="6">
        <f>SUM(G3:J3)</f>
        <v>14012</v>
      </c>
      <c r="W3" s="6">
        <f>SUM(K3:N3)</f>
        <v>15458.2</v>
      </c>
      <c r="X3" s="6">
        <f>+W3*1.01</f>
        <v>15612.782000000001</v>
      </c>
      <c r="Y3" s="6">
        <f>+X3*0.95</f>
        <v>14832.142900000001</v>
      </c>
      <c r="Z3" s="6">
        <f t="shared" ref="Z3:AK3" si="2">+Y3*0.95</f>
        <v>14090.535755000001</v>
      </c>
      <c r="AA3" s="6">
        <f t="shared" si="2"/>
        <v>13386.00896725</v>
      </c>
      <c r="AB3" s="6">
        <f t="shared" si="2"/>
        <v>12716.708518887499</v>
      </c>
      <c r="AC3" s="6">
        <f t="shared" si="2"/>
        <v>12080.873092943124</v>
      </c>
      <c r="AD3" s="6">
        <f t="shared" si="2"/>
        <v>11476.829438295967</v>
      </c>
      <c r="AE3" s="6">
        <f t="shared" si="2"/>
        <v>10902.987966381168</v>
      </c>
      <c r="AF3" s="6">
        <f t="shared" si="2"/>
        <v>10357.838568062109</v>
      </c>
      <c r="AG3" s="6">
        <f t="shared" si="2"/>
        <v>9839.9466396590033</v>
      </c>
      <c r="AH3" s="6">
        <f t="shared" si="2"/>
        <v>9347.9493076760518</v>
      </c>
      <c r="AI3" s="6">
        <f t="shared" si="2"/>
        <v>8880.5518422922487</v>
      </c>
      <c r="AJ3" s="6">
        <f t="shared" si="2"/>
        <v>8436.5242501776356</v>
      </c>
      <c r="AK3" s="6">
        <f t="shared" si="2"/>
        <v>8014.6980376687534</v>
      </c>
      <c r="AL3" s="6"/>
      <c r="AM3" s="6"/>
      <c r="AN3" s="6"/>
    </row>
    <row r="4" spans="1:72" s="2" customFormat="1" x14ac:dyDescent="0.2">
      <c r="B4" s="2" t="s">
        <v>21</v>
      </c>
      <c r="C4" s="6"/>
      <c r="D4" s="6"/>
      <c r="E4" s="6">
        <v>0</v>
      </c>
      <c r="F4" s="6">
        <v>0</v>
      </c>
      <c r="G4" s="6">
        <v>0</v>
      </c>
      <c r="H4" s="6">
        <v>107</v>
      </c>
      <c r="I4" s="6">
        <v>304</v>
      </c>
      <c r="J4" s="6">
        <v>343</v>
      </c>
      <c r="K4" s="6">
        <v>381</v>
      </c>
      <c r="L4" s="6">
        <v>439</v>
      </c>
      <c r="M4" s="6">
        <f t="shared" ref="M4:N4" si="3">+L4+30</f>
        <v>469</v>
      </c>
      <c r="N4" s="6">
        <f t="shared" si="3"/>
        <v>499</v>
      </c>
      <c r="O4" s="6"/>
      <c r="P4" s="6"/>
      <c r="Q4" s="6"/>
      <c r="R4" s="6"/>
      <c r="S4" s="6"/>
      <c r="T4" s="6"/>
      <c r="U4" s="6"/>
      <c r="V4" s="6">
        <f t="shared" ref="V4:V17" si="4">SUM(G4:J4)</f>
        <v>754</v>
      </c>
      <c r="W4" s="6">
        <f t="shared" ref="W4:W17" si="5">SUM(K4:N4)</f>
        <v>1788</v>
      </c>
      <c r="X4" s="6">
        <f>+W4*2</f>
        <v>3576</v>
      </c>
      <c r="Y4" s="6">
        <f>+X4*1.3</f>
        <v>4648.8</v>
      </c>
      <c r="Z4" s="6">
        <f>+Y4*1.2</f>
        <v>5578.56</v>
      </c>
      <c r="AA4" s="6">
        <f>+Z4*1.01</f>
        <v>5634.3456000000006</v>
      </c>
      <c r="AB4" s="6">
        <f t="shared" ref="AB4:AK4" si="6">+AA4*1.01</f>
        <v>5690.6890560000002</v>
      </c>
      <c r="AC4" s="6">
        <f t="shared" si="6"/>
        <v>5747.5959465599999</v>
      </c>
      <c r="AD4" s="6">
        <f t="shared" si="6"/>
        <v>5805.0719060255997</v>
      </c>
      <c r="AE4" s="6">
        <f t="shared" si="6"/>
        <v>5863.1226250858554</v>
      </c>
      <c r="AF4" s="6">
        <f t="shared" si="6"/>
        <v>5921.7538513367135</v>
      </c>
      <c r="AG4" s="6">
        <f t="shared" si="6"/>
        <v>5980.9713898500804</v>
      </c>
      <c r="AH4" s="6">
        <f t="shared" si="6"/>
        <v>6040.7811037485817</v>
      </c>
      <c r="AI4" s="6">
        <f t="shared" si="6"/>
        <v>6101.1889147860675</v>
      </c>
      <c r="AJ4" s="6">
        <f t="shared" si="6"/>
        <v>6162.200803933928</v>
      </c>
      <c r="AK4" s="6">
        <f t="shared" si="6"/>
        <v>6223.8228119732676</v>
      </c>
      <c r="AL4" s="6"/>
      <c r="AM4" s="6"/>
      <c r="AN4" s="6"/>
    </row>
    <row r="5" spans="1:72" s="2" customFormat="1" x14ac:dyDescent="0.2">
      <c r="B5" s="2" t="s">
        <v>22</v>
      </c>
      <c r="C5" s="6"/>
      <c r="D5" s="6"/>
      <c r="E5" s="6">
        <v>0</v>
      </c>
      <c r="F5" s="6">
        <v>48</v>
      </c>
      <c r="G5" s="6">
        <v>231</v>
      </c>
      <c r="H5" s="6">
        <v>385</v>
      </c>
      <c r="I5" s="6">
        <v>469</v>
      </c>
      <c r="J5" s="6">
        <v>554</v>
      </c>
      <c r="K5" s="6">
        <v>414</v>
      </c>
      <c r="L5" s="6">
        <v>419</v>
      </c>
      <c r="M5" s="6">
        <f t="shared" ref="M5:N5" si="7">+I5*1.1</f>
        <v>515.90000000000009</v>
      </c>
      <c r="N5" s="6">
        <f t="shared" si="7"/>
        <v>609.40000000000009</v>
      </c>
      <c r="O5" s="6"/>
      <c r="P5" s="6"/>
      <c r="Q5" s="6"/>
      <c r="R5" s="6"/>
      <c r="S5" s="6"/>
      <c r="T5" s="6"/>
      <c r="U5" s="6"/>
      <c r="V5" s="6">
        <f t="shared" si="4"/>
        <v>1639</v>
      </c>
      <c r="W5" s="6">
        <f t="shared" si="5"/>
        <v>1958.3000000000002</v>
      </c>
      <c r="X5" s="6">
        <f>+W5*1.2</f>
        <v>2349.96</v>
      </c>
      <c r="Y5" s="6">
        <f t="shared" ref="Y5" si="8">+X5*1.2</f>
        <v>2819.9519999999998</v>
      </c>
      <c r="Z5" s="6">
        <f t="shared" ref="Z5:AK5" si="9">+Y5*0.5</f>
        <v>1409.9759999999999</v>
      </c>
      <c r="AA5" s="6">
        <f t="shared" si="9"/>
        <v>704.98799999999994</v>
      </c>
      <c r="AB5" s="6">
        <f t="shared" si="9"/>
        <v>352.49399999999997</v>
      </c>
      <c r="AC5" s="6">
        <f t="shared" si="9"/>
        <v>176.24699999999999</v>
      </c>
      <c r="AD5" s="6">
        <f t="shared" si="9"/>
        <v>88.123499999999993</v>
      </c>
      <c r="AE5" s="6">
        <f t="shared" si="9"/>
        <v>44.061749999999996</v>
      </c>
      <c r="AF5" s="6">
        <f t="shared" si="9"/>
        <v>22.030874999999998</v>
      </c>
      <c r="AG5" s="6">
        <f t="shared" si="9"/>
        <v>11.015437499999999</v>
      </c>
      <c r="AH5" s="6">
        <f t="shared" si="9"/>
        <v>5.5077187499999996</v>
      </c>
      <c r="AI5" s="6">
        <f t="shared" si="9"/>
        <v>2.7538593749999998</v>
      </c>
      <c r="AJ5" s="6">
        <f t="shared" si="9"/>
        <v>1.3769296874999999</v>
      </c>
      <c r="AK5" s="6">
        <f t="shared" si="9"/>
        <v>0.68846484374999994</v>
      </c>
      <c r="AL5" s="6"/>
      <c r="AM5" s="6"/>
      <c r="AN5" s="6"/>
    </row>
    <row r="6" spans="1:72" s="2" customFormat="1" x14ac:dyDescent="0.2">
      <c r="B6" s="2" t="s">
        <v>23</v>
      </c>
      <c r="C6" s="6"/>
      <c r="D6" s="6"/>
      <c r="E6" s="6">
        <v>196</v>
      </c>
      <c r="F6" s="6">
        <v>207</v>
      </c>
      <c r="G6" s="6">
        <v>192</v>
      </c>
      <c r="H6" s="6">
        <v>198</v>
      </c>
      <c r="I6" s="6">
        <v>161</v>
      </c>
      <c r="J6" s="6">
        <v>235</v>
      </c>
      <c r="K6" s="6">
        <v>190</v>
      </c>
      <c r="L6" s="6">
        <v>219</v>
      </c>
      <c r="M6" s="6">
        <f t="shared" ref="M6:N6" si="10">+I6</f>
        <v>161</v>
      </c>
      <c r="N6" s="6">
        <f t="shared" si="10"/>
        <v>235</v>
      </c>
      <c r="O6" s="6"/>
      <c r="P6" s="6"/>
      <c r="Q6" s="6"/>
      <c r="R6" s="6"/>
      <c r="S6" s="6"/>
      <c r="T6" s="6"/>
      <c r="U6" s="6"/>
      <c r="V6" s="6">
        <f t="shared" si="4"/>
        <v>786</v>
      </c>
      <c r="W6" s="6">
        <f t="shared" si="5"/>
        <v>805</v>
      </c>
      <c r="X6" s="6">
        <f>+W6*0.95</f>
        <v>764.75</v>
      </c>
      <c r="Y6" s="6">
        <f t="shared" ref="Y6:AK6" si="11">+X6*0.95</f>
        <v>726.51249999999993</v>
      </c>
      <c r="Z6" s="6">
        <f t="shared" si="11"/>
        <v>690.18687499999987</v>
      </c>
      <c r="AA6" s="6">
        <f t="shared" si="11"/>
        <v>655.6775312499999</v>
      </c>
      <c r="AB6" s="6">
        <f t="shared" si="11"/>
        <v>622.89365468749986</v>
      </c>
      <c r="AC6" s="6">
        <f t="shared" si="11"/>
        <v>591.74897195312485</v>
      </c>
      <c r="AD6" s="6">
        <f t="shared" si="11"/>
        <v>562.1615233554686</v>
      </c>
      <c r="AE6" s="6">
        <f t="shared" si="11"/>
        <v>534.05344718769516</v>
      </c>
      <c r="AF6" s="6">
        <f t="shared" si="11"/>
        <v>507.35077482831036</v>
      </c>
      <c r="AG6" s="6">
        <f t="shared" si="11"/>
        <v>481.98323608689481</v>
      </c>
      <c r="AH6" s="6">
        <f t="shared" si="11"/>
        <v>457.88407428255005</v>
      </c>
      <c r="AI6" s="6">
        <f t="shared" si="11"/>
        <v>434.98987056842253</v>
      </c>
      <c r="AJ6" s="6">
        <f t="shared" si="11"/>
        <v>413.24037704000136</v>
      </c>
      <c r="AK6" s="6">
        <f t="shared" si="11"/>
        <v>392.57835818800129</v>
      </c>
      <c r="AL6" s="6"/>
      <c r="AM6" s="6"/>
      <c r="AN6" s="6"/>
    </row>
    <row r="7" spans="1:72" s="2" customFormat="1" x14ac:dyDescent="0.2">
      <c r="B7" s="2" t="s">
        <v>24</v>
      </c>
      <c r="C7" s="6"/>
      <c r="D7" s="6"/>
      <c r="E7" s="6">
        <v>109</v>
      </c>
      <c r="F7" s="6">
        <v>298</v>
      </c>
      <c r="G7" s="6">
        <v>335</v>
      </c>
      <c r="H7" s="6">
        <v>46</v>
      </c>
      <c r="I7" s="6">
        <v>93</v>
      </c>
      <c r="J7" s="6">
        <v>266</v>
      </c>
      <c r="K7" s="6">
        <v>319</v>
      </c>
      <c r="L7" s="6">
        <v>45</v>
      </c>
      <c r="M7" s="6">
        <f t="shared" ref="M7:N8" si="12">+I7*0.95</f>
        <v>88.35</v>
      </c>
      <c r="N7" s="6">
        <f t="shared" si="12"/>
        <v>252.7</v>
      </c>
      <c r="O7" s="6"/>
      <c r="P7" s="6"/>
      <c r="Q7" s="6"/>
      <c r="R7" s="6"/>
      <c r="S7" s="6"/>
      <c r="T7" s="6"/>
      <c r="U7" s="6"/>
      <c r="V7" s="6">
        <f t="shared" si="4"/>
        <v>740</v>
      </c>
      <c r="W7" s="6">
        <f t="shared" si="5"/>
        <v>705.05</v>
      </c>
      <c r="X7" s="6">
        <f t="shared" ref="X7:AK7" si="13">+W7*0.95</f>
        <v>669.7974999999999</v>
      </c>
      <c r="Y7" s="6">
        <f t="shared" si="13"/>
        <v>636.30762499999992</v>
      </c>
      <c r="Z7" s="6">
        <f t="shared" si="13"/>
        <v>604.49224374999994</v>
      </c>
      <c r="AA7" s="6">
        <f t="shared" si="13"/>
        <v>574.2676315624999</v>
      </c>
      <c r="AB7" s="6">
        <f t="shared" si="13"/>
        <v>545.55424998437491</v>
      </c>
      <c r="AC7" s="6">
        <f t="shared" si="13"/>
        <v>518.27653748515615</v>
      </c>
      <c r="AD7" s="6">
        <f t="shared" si="13"/>
        <v>492.36271061089832</v>
      </c>
      <c r="AE7" s="6">
        <f t="shared" si="13"/>
        <v>467.7445750803534</v>
      </c>
      <c r="AF7" s="6">
        <f t="shared" si="13"/>
        <v>444.35734632633569</v>
      </c>
      <c r="AG7" s="6">
        <f t="shared" si="13"/>
        <v>422.13947901001887</v>
      </c>
      <c r="AH7" s="6">
        <f t="shared" si="13"/>
        <v>401.03250505951792</v>
      </c>
      <c r="AI7" s="6">
        <f t="shared" si="13"/>
        <v>380.98087980654202</v>
      </c>
      <c r="AJ7" s="6">
        <f t="shared" si="13"/>
        <v>361.93183581621491</v>
      </c>
      <c r="AK7" s="6">
        <f t="shared" si="13"/>
        <v>343.83524402540417</v>
      </c>
      <c r="AL7" s="6"/>
      <c r="AM7" s="6"/>
      <c r="AN7" s="6"/>
    </row>
    <row r="8" spans="1:72" s="2" customFormat="1" x14ac:dyDescent="0.2">
      <c r="B8" s="2" t="s">
        <v>25</v>
      </c>
      <c r="C8" s="6"/>
      <c r="D8" s="6"/>
      <c r="E8" s="6">
        <v>200</v>
      </c>
      <c r="F8" s="6">
        <v>186</v>
      </c>
      <c r="G8" s="6">
        <v>186</v>
      </c>
      <c r="H8" s="6">
        <v>198</v>
      </c>
      <c r="I8" s="6">
        <v>201</v>
      </c>
      <c r="J8" s="6">
        <v>194</v>
      </c>
      <c r="K8" s="6">
        <v>182</v>
      </c>
      <c r="L8" s="6">
        <v>188</v>
      </c>
      <c r="M8" s="6">
        <f t="shared" si="12"/>
        <v>190.95</v>
      </c>
      <c r="N8" s="6">
        <f t="shared" si="12"/>
        <v>184.29999999999998</v>
      </c>
      <c r="O8" s="6"/>
      <c r="P8" s="6"/>
      <c r="Q8" s="6"/>
      <c r="R8" s="6"/>
      <c r="S8" s="6"/>
      <c r="T8" s="6"/>
      <c r="U8" s="6"/>
      <c r="V8" s="6">
        <f t="shared" si="4"/>
        <v>779</v>
      </c>
      <c r="W8" s="6">
        <f t="shared" si="5"/>
        <v>745.25</v>
      </c>
      <c r="X8" s="6">
        <f t="shared" ref="X8:AK11" si="14">+W8*0.95</f>
        <v>707.98749999999995</v>
      </c>
      <c r="Y8" s="6">
        <f t="shared" si="14"/>
        <v>672.58812499999988</v>
      </c>
      <c r="Z8" s="6">
        <f t="shared" si="14"/>
        <v>638.95871874999989</v>
      </c>
      <c r="AA8" s="6">
        <f t="shared" si="14"/>
        <v>607.01078281249988</v>
      </c>
      <c r="AB8" s="6">
        <f t="shared" si="14"/>
        <v>576.66024367187481</v>
      </c>
      <c r="AC8" s="6">
        <f t="shared" si="14"/>
        <v>547.82723148828109</v>
      </c>
      <c r="AD8" s="6">
        <f t="shared" si="14"/>
        <v>520.43586991386701</v>
      </c>
      <c r="AE8" s="6">
        <f t="shared" si="14"/>
        <v>494.41407641817364</v>
      </c>
      <c r="AF8" s="6">
        <f t="shared" si="14"/>
        <v>469.69337259726495</v>
      </c>
      <c r="AG8" s="6">
        <f t="shared" si="14"/>
        <v>446.20870396740168</v>
      </c>
      <c r="AH8" s="6">
        <f t="shared" si="14"/>
        <v>423.89826876903157</v>
      </c>
      <c r="AI8" s="6">
        <f t="shared" si="14"/>
        <v>402.70335533058</v>
      </c>
      <c r="AJ8" s="6">
        <f t="shared" si="14"/>
        <v>382.56818756405096</v>
      </c>
      <c r="AK8" s="6">
        <f t="shared" si="14"/>
        <v>363.43977818584841</v>
      </c>
      <c r="AL8" s="6"/>
      <c r="AM8" s="6"/>
      <c r="AN8" s="6"/>
    </row>
    <row r="9" spans="1:72" s="2" customFormat="1" x14ac:dyDescent="0.2">
      <c r="B9" s="2" t="s">
        <v>26</v>
      </c>
      <c r="C9" s="6"/>
      <c r="D9" s="6"/>
      <c r="E9" s="6">
        <v>148</v>
      </c>
      <c r="F9" s="6">
        <v>151</v>
      </c>
      <c r="G9" s="6">
        <v>127</v>
      </c>
      <c r="H9" s="6">
        <v>159</v>
      </c>
      <c r="I9" s="6">
        <v>188</v>
      </c>
      <c r="J9" s="6">
        <v>185</v>
      </c>
      <c r="K9" s="6">
        <v>150</v>
      </c>
      <c r="L9" s="6">
        <v>180</v>
      </c>
      <c r="M9" s="6">
        <f t="shared" ref="M9:N9" si="15">+I9*1.05</f>
        <v>197.4</v>
      </c>
      <c r="N9" s="6">
        <f t="shared" si="15"/>
        <v>194.25</v>
      </c>
      <c r="O9" s="6"/>
      <c r="P9" s="6"/>
      <c r="Q9" s="6"/>
      <c r="R9" s="6"/>
      <c r="S9" s="6"/>
      <c r="T9" s="6"/>
      <c r="U9" s="6"/>
      <c r="V9" s="6">
        <f t="shared" si="4"/>
        <v>659</v>
      </c>
      <c r="W9" s="6">
        <f t="shared" si="5"/>
        <v>721.65</v>
      </c>
      <c r="X9" s="6">
        <f>+W9*1.02</f>
        <v>736.08299999999997</v>
      </c>
      <c r="Y9" s="6">
        <f t="shared" ref="Y9:AK9" si="16">+X9*1.02</f>
        <v>750.80466000000001</v>
      </c>
      <c r="Z9" s="6">
        <f t="shared" si="16"/>
        <v>765.82075320000001</v>
      </c>
      <c r="AA9" s="6">
        <f t="shared" si="16"/>
        <v>781.13716826400002</v>
      </c>
      <c r="AB9" s="6">
        <f t="shared" si="16"/>
        <v>796.75991162928005</v>
      </c>
      <c r="AC9" s="6">
        <f t="shared" si="16"/>
        <v>812.69510986186572</v>
      </c>
      <c r="AD9" s="6">
        <f t="shared" si="16"/>
        <v>828.9490120591031</v>
      </c>
      <c r="AE9" s="6">
        <f t="shared" si="16"/>
        <v>845.52799230028518</v>
      </c>
      <c r="AF9" s="6">
        <f t="shared" si="16"/>
        <v>862.43855214629093</v>
      </c>
      <c r="AG9" s="6">
        <f t="shared" si="16"/>
        <v>879.68732318921673</v>
      </c>
      <c r="AH9" s="6">
        <f t="shared" si="16"/>
        <v>897.28106965300105</v>
      </c>
      <c r="AI9" s="6">
        <f t="shared" si="16"/>
        <v>915.22669104606109</v>
      </c>
      <c r="AJ9" s="6">
        <f t="shared" si="16"/>
        <v>933.53122486698237</v>
      </c>
      <c r="AK9" s="6">
        <f t="shared" si="16"/>
        <v>952.20184936432202</v>
      </c>
      <c r="AL9" s="6"/>
      <c r="AM9" s="6"/>
      <c r="AN9" s="6"/>
    </row>
    <row r="10" spans="1:72" s="2" customFormat="1" x14ac:dyDescent="0.2">
      <c r="B10" s="2" t="s">
        <v>27</v>
      </c>
      <c r="C10" s="6"/>
      <c r="D10" s="6"/>
      <c r="E10" s="6">
        <v>232</v>
      </c>
      <c r="F10" s="6">
        <v>230</v>
      </c>
      <c r="G10" s="6">
        <v>153</v>
      </c>
      <c r="H10" s="6">
        <v>170</v>
      </c>
      <c r="I10" s="6">
        <v>168</v>
      </c>
      <c r="J10" s="6">
        <v>194</v>
      </c>
      <c r="K10" s="6">
        <v>156</v>
      </c>
      <c r="L10" s="6">
        <v>171</v>
      </c>
      <c r="M10" s="6">
        <f t="shared" ref="M10" si="17">+I10*0.95</f>
        <v>159.6</v>
      </c>
      <c r="N10" s="6">
        <f t="shared" ref="N10" si="18">+J10*0.95</f>
        <v>184.29999999999998</v>
      </c>
      <c r="O10" s="6"/>
      <c r="P10" s="6"/>
      <c r="Q10" s="6"/>
      <c r="R10" s="6"/>
      <c r="S10" s="6"/>
      <c r="T10" s="6"/>
      <c r="U10" s="6"/>
      <c r="V10" s="6">
        <f t="shared" si="4"/>
        <v>685</v>
      </c>
      <c r="W10" s="6">
        <f t="shared" si="5"/>
        <v>670.9</v>
      </c>
      <c r="X10" s="6">
        <f t="shared" si="14"/>
        <v>637.3549999999999</v>
      </c>
      <c r="Y10" s="6">
        <f t="shared" si="14"/>
        <v>605.4872499999999</v>
      </c>
      <c r="Z10" s="6">
        <f t="shared" si="14"/>
        <v>575.21288749999985</v>
      </c>
      <c r="AA10" s="6">
        <f t="shared" si="14"/>
        <v>546.45224312499988</v>
      </c>
      <c r="AB10" s="6">
        <f t="shared" si="14"/>
        <v>519.12963096874989</v>
      </c>
      <c r="AC10" s="6">
        <f t="shared" si="14"/>
        <v>493.17314942031237</v>
      </c>
      <c r="AD10" s="6">
        <f t="shared" si="14"/>
        <v>468.51449194929671</v>
      </c>
      <c r="AE10" s="6">
        <f t="shared" si="14"/>
        <v>445.08876735183185</v>
      </c>
      <c r="AF10" s="6">
        <f t="shared" si="14"/>
        <v>422.83432898424024</v>
      </c>
      <c r="AG10" s="6">
        <f t="shared" si="14"/>
        <v>401.69261253502822</v>
      </c>
      <c r="AH10" s="6">
        <f t="shared" si="14"/>
        <v>381.60798190827677</v>
      </c>
      <c r="AI10" s="6">
        <f t="shared" si="14"/>
        <v>362.52758281286293</v>
      </c>
      <c r="AJ10" s="6">
        <f t="shared" si="14"/>
        <v>344.40120367221976</v>
      </c>
      <c r="AK10" s="6">
        <f t="shared" si="14"/>
        <v>327.18114348860877</v>
      </c>
      <c r="AL10" s="6"/>
      <c r="AM10" s="6"/>
      <c r="AN10" s="6"/>
    </row>
    <row r="11" spans="1:72" s="2" customFormat="1" x14ac:dyDescent="0.2">
      <c r="B11" s="2" t="s">
        <v>28</v>
      </c>
      <c r="C11" s="6"/>
      <c r="D11" s="6"/>
      <c r="E11" s="6">
        <v>256</v>
      </c>
      <c r="F11" s="6">
        <v>203</v>
      </c>
      <c r="G11" s="6">
        <v>180</v>
      </c>
      <c r="H11" s="6">
        <v>167</v>
      </c>
      <c r="I11" s="6">
        <v>177</v>
      </c>
      <c r="J11" s="6">
        <v>185</v>
      </c>
      <c r="K11" s="6">
        <v>133</v>
      </c>
      <c r="L11" s="6">
        <v>146</v>
      </c>
      <c r="M11" s="6">
        <f t="shared" ref="M11:N12" si="19">+I11*0.9</f>
        <v>159.30000000000001</v>
      </c>
      <c r="N11" s="6">
        <f t="shared" si="19"/>
        <v>166.5</v>
      </c>
      <c r="O11" s="6"/>
      <c r="P11" s="6"/>
      <c r="Q11" s="6"/>
      <c r="R11" s="6"/>
      <c r="S11" s="6"/>
      <c r="T11" s="6"/>
      <c r="U11" s="6"/>
      <c r="V11" s="6">
        <f t="shared" si="4"/>
        <v>709</v>
      </c>
      <c r="W11" s="6">
        <f t="shared" si="5"/>
        <v>604.79999999999995</v>
      </c>
      <c r="X11" s="6">
        <f>+W11*0.9</f>
        <v>544.31999999999994</v>
      </c>
      <c r="Y11" s="6">
        <f t="shared" si="14"/>
        <v>517.10399999999993</v>
      </c>
      <c r="Z11" s="6">
        <f t="shared" si="14"/>
        <v>491.2487999999999</v>
      </c>
      <c r="AA11" s="6">
        <f t="shared" si="14"/>
        <v>466.68635999999987</v>
      </c>
      <c r="AB11" s="6">
        <f t="shared" si="14"/>
        <v>443.35204199999987</v>
      </c>
      <c r="AC11" s="6">
        <f t="shared" si="14"/>
        <v>421.18443989999986</v>
      </c>
      <c r="AD11" s="6">
        <f t="shared" si="14"/>
        <v>400.12521790499983</v>
      </c>
      <c r="AE11" s="6">
        <f t="shared" si="14"/>
        <v>380.11895700974981</v>
      </c>
      <c r="AF11" s="6">
        <f t="shared" si="14"/>
        <v>361.11300915926228</v>
      </c>
      <c r="AG11" s="6">
        <f t="shared" si="14"/>
        <v>343.05735870129917</v>
      </c>
      <c r="AH11" s="6">
        <f t="shared" si="14"/>
        <v>325.90449076623418</v>
      </c>
      <c r="AI11" s="6">
        <f t="shared" si="14"/>
        <v>309.60926622792243</v>
      </c>
      <c r="AJ11" s="6">
        <f t="shared" si="14"/>
        <v>294.1288029165263</v>
      </c>
      <c r="AK11" s="6">
        <f t="shared" si="14"/>
        <v>279.42236277069998</v>
      </c>
      <c r="AL11" s="6"/>
      <c r="AM11" s="6"/>
      <c r="AN11" s="6"/>
    </row>
    <row r="12" spans="1:72" s="2" customFormat="1" x14ac:dyDescent="0.2">
      <c r="B12" s="2" t="s">
        <v>29</v>
      </c>
      <c r="C12" s="6"/>
      <c r="D12" s="6"/>
      <c r="E12" s="6">
        <v>134</v>
      </c>
      <c r="F12" s="6">
        <v>120</v>
      </c>
      <c r="G12" s="6">
        <v>126</v>
      </c>
      <c r="H12" s="6">
        <v>118</v>
      </c>
      <c r="I12" s="6">
        <v>122</v>
      </c>
      <c r="J12" s="6">
        <v>108</v>
      </c>
      <c r="K12" s="6">
        <v>111</v>
      </c>
      <c r="L12" s="6">
        <v>114</v>
      </c>
      <c r="M12" s="6">
        <f t="shared" si="19"/>
        <v>109.8</v>
      </c>
      <c r="N12" s="6">
        <f t="shared" si="19"/>
        <v>97.2</v>
      </c>
      <c r="O12" s="6"/>
      <c r="P12" s="6"/>
      <c r="Q12" s="6"/>
      <c r="R12" s="6"/>
      <c r="S12" s="6"/>
      <c r="T12" s="6"/>
      <c r="U12" s="6"/>
      <c r="V12" s="6">
        <f t="shared" si="4"/>
        <v>474</v>
      </c>
      <c r="W12" s="6">
        <f t="shared" si="5"/>
        <v>432</v>
      </c>
      <c r="X12" s="6">
        <f>+W12*0.9</f>
        <v>388.8</v>
      </c>
      <c r="Y12" s="6">
        <f t="shared" ref="Y12:AK12" si="20">+X12*0.9</f>
        <v>349.92</v>
      </c>
      <c r="Z12" s="6">
        <f t="shared" si="20"/>
        <v>314.928</v>
      </c>
      <c r="AA12" s="6">
        <f t="shared" si="20"/>
        <v>283.43520000000001</v>
      </c>
      <c r="AB12" s="6">
        <f t="shared" si="20"/>
        <v>255.09168000000003</v>
      </c>
      <c r="AC12" s="6">
        <f t="shared" si="20"/>
        <v>229.58251200000004</v>
      </c>
      <c r="AD12" s="6">
        <f t="shared" si="20"/>
        <v>206.62426080000003</v>
      </c>
      <c r="AE12" s="6">
        <f t="shared" si="20"/>
        <v>185.96183472000004</v>
      </c>
      <c r="AF12" s="6">
        <f t="shared" si="20"/>
        <v>167.36565124800003</v>
      </c>
      <c r="AG12" s="6">
        <f t="shared" si="20"/>
        <v>150.62908612320004</v>
      </c>
      <c r="AH12" s="6">
        <f t="shared" si="20"/>
        <v>135.56617751088004</v>
      </c>
      <c r="AI12" s="6">
        <f t="shared" si="20"/>
        <v>122.00955975979204</v>
      </c>
      <c r="AJ12" s="6">
        <f t="shared" si="20"/>
        <v>109.80860378381284</v>
      </c>
      <c r="AK12" s="6">
        <f t="shared" si="20"/>
        <v>98.827743405431562</v>
      </c>
      <c r="AL12" s="6"/>
      <c r="AM12" s="6"/>
      <c r="AN12" s="6"/>
    </row>
    <row r="13" spans="1:72" s="2" customFormat="1" x14ac:dyDescent="0.2">
      <c r="B13" s="2" t="s">
        <v>51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>
        <v>50</v>
      </c>
      <c r="X13" s="6">
        <v>250</v>
      </c>
      <c r="Y13" s="6">
        <v>300</v>
      </c>
      <c r="Z13" s="6">
        <v>350</v>
      </c>
      <c r="AA13" s="6">
        <v>400</v>
      </c>
      <c r="AB13" s="6">
        <v>450</v>
      </c>
      <c r="AC13" s="6">
        <v>500</v>
      </c>
      <c r="AD13" s="6">
        <v>550</v>
      </c>
      <c r="AE13" s="6">
        <v>600</v>
      </c>
      <c r="AF13" s="6">
        <v>650</v>
      </c>
      <c r="AG13" s="6">
        <v>700</v>
      </c>
      <c r="AH13" s="6">
        <v>750</v>
      </c>
      <c r="AI13" s="6">
        <f>+AH13*0.1</f>
        <v>75</v>
      </c>
      <c r="AJ13" s="6">
        <f t="shared" ref="AJ13:AK13" si="21">+AI13*0.1</f>
        <v>7.5</v>
      </c>
      <c r="AK13" s="6">
        <f t="shared" si="21"/>
        <v>0.75</v>
      </c>
      <c r="AL13" s="6"/>
      <c r="AM13" s="6"/>
      <c r="AN13" s="6"/>
    </row>
    <row r="14" spans="1:72" s="2" customFormat="1" x14ac:dyDescent="0.2">
      <c r="B14" s="2" t="s">
        <v>71</v>
      </c>
      <c r="C14" s="6"/>
      <c r="D14" s="6"/>
      <c r="E14" s="6">
        <v>63</v>
      </c>
      <c r="F14" s="6">
        <v>104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</row>
    <row r="15" spans="1:72" s="2" customFormat="1" x14ac:dyDescent="0.2">
      <c r="B15" s="2" t="s">
        <v>55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>
        <v>50</v>
      </c>
      <c r="Y15" s="6">
        <v>200</v>
      </c>
      <c r="Z15" s="6">
        <v>300</v>
      </c>
      <c r="AA15" s="6">
        <v>350</v>
      </c>
      <c r="AB15" s="6">
        <v>400</v>
      </c>
      <c r="AC15" s="6">
        <v>450</v>
      </c>
      <c r="AD15" s="6">
        <v>500</v>
      </c>
      <c r="AE15" s="6">
        <v>550</v>
      </c>
      <c r="AF15" s="6">
        <v>600</v>
      </c>
      <c r="AG15" s="6">
        <v>650</v>
      </c>
      <c r="AH15" s="6">
        <v>700</v>
      </c>
      <c r="AI15" s="6">
        <v>750</v>
      </c>
      <c r="AJ15" s="6">
        <f>+AI15*0.1</f>
        <v>75</v>
      </c>
      <c r="AK15" s="6">
        <f t="shared" ref="AK15" si="22">+AJ15*0.1</f>
        <v>7.5</v>
      </c>
      <c r="AL15" s="6"/>
      <c r="AM15" s="6"/>
      <c r="AN15" s="6"/>
    </row>
    <row r="16" spans="1:72" s="2" customFormat="1" x14ac:dyDescent="0.2">
      <c r="B16" s="2" t="s">
        <v>30</v>
      </c>
      <c r="C16" s="6"/>
      <c r="D16" s="6"/>
      <c r="E16" s="6">
        <v>56</v>
      </c>
      <c r="F16" s="6">
        <v>56</v>
      </c>
      <c r="G16" s="6">
        <v>53</v>
      </c>
      <c r="H16" s="6">
        <v>55</v>
      </c>
      <c r="I16" s="6">
        <v>61</v>
      </c>
      <c r="J16" s="6">
        <v>62</v>
      </c>
      <c r="K16" s="6">
        <v>68</v>
      </c>
      <c r="L16" s="6">
        <v>73</v>
      </c>
      <c r="M16" s="6">
        <f t="shared" ref="M16:N16" si="23">+L16+5</f>
        <v>78</v>
      </c>
      <c r="N16" s="6">
        <f t="shared" si="23"/>
        <v>83</v>
      </c>
      <c r="O16" s="6"/>
      <c r="P16" s="6"/>
      <c r="Q16" s="6"/>
      <c r="R16" s="6"/>
      <c r="S16" s="6"/>
      <c r="T16" s="6"/>
      <c r="U16" s="6"/>
      <c r="V16" s="6">
        <f t="shared" si="4"/>
        <v>231</v>
      </c>
      <c r="W16" s="6">
        <f t="shared" si="5"/>
        <v>302</v>
      </c>
      <c r="X16" s="6">
        <f>+W16*1.01</f>
        <v>305.02</v>
      </c>
      <c r="Y16" s="6">
        <f t="shared" ref="Y16:AH16" si="24">+X16*1.01</f>
        <v>308.0702</v>
      </c>
      <c r="Z16" s="6">
        <f t="shared" si="24"/>
        <v>311.15090200000003</v>
      </c>
      <c r="AA16" s="6">
        <f t="shared" si="24"/>
        <v>314.26241102000006</v>
      </c>
      <c r="AB16" s="6">
        <f t="shared" si="24"/>
        <v>317.40503513020008</v>
      </c>
      <c r="AC16" s="6">
        <f t="shared" si="24"/>
        <v>320.57908548150209</v>
      </c>
      <c r="AD16" s="6">
        <f t="shared" si="24"/>
        <v>323.7848763363171</v>
      </c>
      <c r="AE16" s="6">
        <f t="shared" si="24"/>
        <v>327.02272509968026</v>
      </c>
      <c r="AF16" s="6">
        <f t="shared" si="24"/>
        <v>330.29295235067707</v>
      </c>
      <c r="AG16" s="6">
        <f t="shared" si="24"/>
        <v>333.59588187418382</v>
      </c>
      <c r="AH16" s="6">
        <f t="shared" si="24"/>
        <v>336.93184069292568</v>
      </c>
      <c r="AI16" s="6">
        <f>+AH16*0.1</f>
        <v>33.69318406929257</v>
      </c>
      <c r="AJ16" s="6">
        <f t="shared" ref="AJ16:AK16" si="25">+AI16*0.1</f>
        <v>3.3693184069292572</v>
      </c>
      <c r="AK16" s="6">
        <f t="shared" si="25"/>
        <v>0.33693184069292575</v>
      </c>
      <c r="AL16" s="6"/>
      <c r="AM16" s="6"/>
      <c r="AN16" s="6"/>
    </row>
    <row r="17" spans="2:40" s="2" customFormat="1" x14ac:dyDescent="0.2">
      <c r="B17" s="2" t="s">
        <v>31</v>
      </c>
      <c r="C17" s="6"/>
      <c r="D17" s="6"/>
      <c r="E17" s="6">
        <f>5019-SUM(E3:E16)</f>
        <v>370</v>
      </c>
      <c r="F17" s="6">
        <f>5452-SUM(F3:F16)</f>
        <v>486</v>
      </c>
      <c r="G17" s="6">
        <f>5040-SUM(G3:G16)</f>
        <v>346</v>
      </c>
      <c r="H17" s="6">
        <f>5475-SUM(H3:H16)</f>
        <v>335</v>
      </c>
      <c r="I17" s="6">
        <f>5944-SUM(I3:I16)</f>
        <v>353</v>
      </c>
      <c r="J17" s="6">
        <f>6360-SUM(J3:J16)</f>
        <v>317</v>
      </c>
      <c r="K17" s="6">
        <f>5958-SUM(K3:K16)</f>
        <v>277</v>
      </c>
      <c r="L17" s="6">
        <v>309</v>
      </c>
      <c r="M17" s="6">
        <f t="shared" ref="M17:N17" si="26">+L17-5</f>
        <v>304</v>
      </c>
      <c r="N17" s="6">
        <f t="shared" si="26"/>
        <v>299</v>
      </c>
      <c r="O17" s="6"/>
      <c r="P17" s="6"/>
      <c r="Q17" s="6"/>
      <c r="R17" s="6"/>
      <c r="S17" s="6"/>
      <c r="T17" s="6"/>
      <c r="U17" s="6"/>
      <c r="V17" s="6">
        <f t="shared" si="4"/>
        <v>1351</v>
      </c>
      <c r="W17" s="6">
        <f t="shared" si="5"/>
        <v>1189</v>
      </c>
      <c r="X17" s="6">
        <f>+W17*0.95</f>
        <v>1129.55</v>
      </c>
      <c r="Y17" s="6">
        <f t="shared" ref="Y17:AK17" si="27">+X17*0.95</f>
        <v>1073.0725</v>
      </c>
      <c r="Z17" s="6">
        <f t="shared" si="27"/>
        <v>1019.418875</v>
      </c>
      <c r="AA17" s="6">
        <f t="shared" si="27"/>
        <v>968.4479312499999</v>
      </c>
      <c r="AB17" s="6">
        <f t="shared" si="27"/>
        <v>920.02553468749988</v>
      </c>
      <c r="AC17" s="6">
        <f t="shared" si="27"/>
        <v>874.0242579531249</v>
      </c>
      <c r="AD17" s="6">
        <f t="shared" si="27"/>
        <v>830.32304505546858</v>
      </c>
      <c r="AE17" s="6">
        <f t="shared" si="27"/>
        <v>788.80689280269507</v>
      </c>
      <c r="AF17" s="6">
        <f t="shared" si="27"/>
        <v>749.36654816256032</v>
      </c>
      <c r="AG17" s="6">
        <f t="shared" si="27"/>
        <v>711.89822075443226</v>
      </c>
      <c r="AH17" s="6">
        <f t="shared" si="27"/>
        <v>676.3033097167106</v>
      </c>
      <c r="AI17" s="6">
        <f t="shared" si="27"/>
        <v>642.48814423087504</v>
      </c>
      <c r="AJ17" s="6">
        <f t="shared" si="27"/>
        <v>610.36373701933121</v>
      </c>
      <c r="AK17" s="6">
        <f t="shared" si="27"/>
        <v>579.84555016836464</v>
      </c>
      <c r="AL17" s="6"/>
      <c r="AM17" s="6"/>
      <c r="AN17" s="6"/>
    </row>
    <row r="18" spans="2:40" s="7" customFormat="1" x14ac:dyDescent="0.2">
      <c r="B18" s="7" t="s">
        <v>20</v>
      </c>
      <c r="C18" s="8"/>
      <c r="D18" s="8"/>
      <c r="E18" s="8">
        <f t="shared" ref="E18:F18" si="28">SUM(E3:E17)</f>
        <v>5019</v>
      </c>
      <c r="F18" s="8">
        <f t="shared" si="28"/>
        <v>5452</v>
      </c>
      <c r="G18" s="8">
        <f>SUM(G3:G17)</f>
        <v>5040</v>
      </c>
      <c r="H18" s="8">
        <f>SUM(H3:H17)</f>
        <v>5475</v>
      </c>
      <c r="I18" s="8">
        <f>SUM(I3:I17)</f>
        <v>5944</v>
      </c>
      <c r="J18" s="8">
        <f>SUM(J3:J17)</f>
        <v>6360</v>
      </c>
      <c r="K18" s="8">
        <f>SUM(K3:K17)</f>
        <v>5958</v>
      </c>
      <c r="L18" s="8">
        <f t="shared" ref="L18:N18" si="29">SUM(L3:L17)</f>
        <v>6452</v>
      </c>
      <c r="M18" s="8">
        <f t="shared" si="29"/>
        <v>6262.6500000000005</v>
      </c>
      <c r="N18" s="8">
        <f t="shared" si="29"/>
        <v>6707.5</v>
      </c>
      <c r="O18" s="8"/>
      <c r="P18" s="8"/>
      <c r="Q18" s="8"/>
      <c r="R18" s="8"/>
      <c r="S18" s="8"/>
      <c r="T18" s="8"/>
      <c r="U18" s="8"/>
      <c r="V18" s="8">
        <f t="shared" ref="V18" si="30">SUM(V3:V17)</f>
        <v>22819</v>
      </c>
      <c r="W18" s="8">
        <f t="shared" ref="W18:X18" si="31">SUM(W3:W17)</f>
        <v>25430.15</v>
      </c>
      <c r="X18" s="8">
        <f t="shared" si="31"/>
        <v>27722.404999999995</v>
      </c>
      <c r="Y18" s="8">
        <f t="shared" ref="Y18" si="32">SUM(Y3:Y17)</f>
        <v>28440.761759999998</v>
      </c>
      <c r="Z18" s="8">
        <f t="shared" ref="Z18" si="33">SUM(Z3:Z17)</f>
        <v>27140.489810200004</v>
      </c>
      <c r="AA18" s="8">
        <f t="shared" ref="AA18" si="34">SUM(AA3:AA17)</f>
        <v>25672.719826534001</v>
      </c>
      <c r="AB18" s="8">
        <f t="shared" ref="AB18" si="35">SUM(AB3:AB17)</f>
        <v>24606.763557646977</v>
      </c>
      <c r="AC18" s="8">
        <f t="shared" ref="AC18" si="36">SUM(AC3:AC17)</f>
        <v>23763.807335046495</v>
      </c>
      <c r="AD18" s="8">
        <f t="shared" ref="AD18" si="37">SUM(AD3:AD17)</f>
        <v>23053.305852306989</v>
      </c>
      <c r="AE18" s="8">
        <f t="shared" ref="AE18" si="38">SUM(AE3:AE17)</f>
        <v>22428.911609437484</v>
      </c>
      <c r="AF18" s="8">
        <f t="shared" ref="AF18" si="39">SUM(AF3:AF17)</f>
        <v>21866.435830201768</v>
      </c>
      <c r="AG18" s="8">
        <f t="shared" ref="AG18" si="40">SUM(AG3:AG17)</f>
        <v>21352.825369250764</v>
      </c>
      <c r="AH18" s="8">
        <f t="shared" ref="AH18" si="41">SUM(AH3:AH17)</f>
        <v>20880.647848533761</v>
      </c>
      <c r="AI18" s="8">
        <f t="shared" ref="AI18" si="42">SUM(AI3:AI17)</f>
        <v>19413.723150305668</v>
      </c>
      <c r="AJ18" s="8">
        <f t="shared" ref="AJ18" si="43">SUM(AJ3:AJ17)</f>
        <v>18135.945274885133</v>
      </c>
      <c r="AK18" s="8">
        <f t="shared" ref="AK18" si="44">SUM(AK3:AK17)</f>
        <v>17585.12827592314</v>
      </c>
      <c r="AL18" s="8"/>
      <c r="AM18" s="8"/>
      <c r="AN18" s="8"/>
    </row>
    <row r="19" spans="2:40" s="2" customFormat="1" x14ac:dyDescent="0.2">
      <c r="B19" s="2" t="s">
        <v>34</v>
      </c>
      <c r="C19" s="6"/>
      <c r="D19" s="6"/>
      <c r="E19" s="6">
        <v>948</v>
      </c>
      <c r="F19" s="6">
        <v>1119</v>
      </c>
      <c r="G19" s="6">
        <v>862</v>
      </c>
      <c r="H19" s="6">
        <v>806</v>
      </c>
      <c r="I19" s="6">
        <v>991</v>
      </c>
      <c r="J19" s="6">
        <v>1246</v>
      </c>
      <c r="K19" s="6">
        <v>1115</v>
      </c>
      <c r="L19" s="6">
        <v>1405</v>
      </c>
      <c r="M19" s="6">
        <f t="shared" ref="M19:N19" si="45">+M18-M20</f>
        <v>1252.5299999999997</v>
      </c>
      <c r="N19" s="6">
        <f t="shared" si="45"/>
        <v>1341.5</v>
      </c>
      <c r="O19" s="6"/>
      <c r="P19" s="6"/>
      <c r="Q19" s="6"/>
      <c r="R19" s="6"/>
      <c r="S19" s="6"/>
      <c r="T19" s="6"/>
      <c r="U19" s="6"/>
      <c r="V19" s="6">
        <f t="shared" ref="V19" si="46">SUM(G19:J19)</f>
        <v>3905</v>
      </c>
      <c r="W19" s="6">
        <f t="shared" ref="W19" si="47">SUM(K19:N19)</f>
        <v>5114.03</v>
      </c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</row>
    <row r="20" spans="2:40" s="2" customFormat="1" x14ac:dyDescent="0.2">
      <c r="B20" s="2" t="s">
        <v>35</v>
      </c>
      <c r="C20" s="6"/>
      <c r="D20" s="6"/>
      <c r="E20" s="6">
        <f t="shared" ref="E20:F20" si="48">+E18-E19</f>
        <v>4071</v>
      </c>
      <c r="F20" s="6">
        <f t="shared" si="48"/>
        <v>4333</v>
      </c>
      <c r="G20" s="6">
        <f>+G18-G19</f>
        <v>4178</v>
      </c>
      <c r="H20" s="6">
        <f>+H18-H19</f>
        <v>4669</v>
      </c>
      <c r="I20" s="6">
        <f>+I18-I19</f>
        <v>4953</v>
      </c>
      <c r="J20" s="6">
        <f>+J18-J19</f>
        <v>5114</v>
      </c>
      <c r="K20" s="6">
        <f>+K18-K19</f>
        <v>4843</v>
      </c>
      <c r="L20" s="6">
        <f>+L18-L19</f>
        <v>5047</v>
      </c>
      <c r="M20" s="6">
        <f t="shared" ref="M20:N20" si="49">+M18*0.8</f>
        <v>5010.1200000000008</v>
      </c>
      <c r="N20" s="6">
        <f t="shared" si="49"/>
        <v>5366</v>
      </c>
      <c r="O20" s="6"/>
      <c r="P20" s="6"/>
      <c r="Q20" s="6"/>
      <c r="R20" s="6"/>
      <c r="S20" s="6"/>
      <c r="T20" s="6"/>
      <c r="U20" s="6"/>
      <c r="V20" s="6">
        <f t="shared" ref="V20:W20" si="50">+V18*0.8</f>
        <v>18255.2</v>
      </c>
      <c r="W20" s="6">
        <f t="shared" si="50"/>
        <v>20344.120000000003</v>
      </c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2:40" s="2" customFormat="1" x14ac:dyDescent="0.2">
      <c r="B21" s="2" t="s">
        <v>36</v>
      </c>
      <c r="C21" s="6"/>
      <c r="D21" s="6"/>
      <c r="E21" s="6">
        <v>1326</v>
      </c>
      <c r="F21" s="6">
        <v>3341</v>
      </c>
      <c r="G21" s="6">
        <v>1345</v>
      </c>
      <c r="H21" s="6">
        <v>1375</v>
      </c>
      <c r="I21" s="6">
        <v>1370</v>
      </c>
      <c r="J21" s="6">
        <v>1531</v>
      </c>
      <c r="K21" s="6">
        <v>1347</v>
      </c>
      <c r="L21" s="6">
        <v>1466</v>
      </c>
      <c r="M21" s="6">
        <f t="shared" ref="M21:M22" si="51">+I21</f>
        <v>1370</v>
      </c>
      <c r="N21" s="6">
        <f t="shared" ref="N21:N22" si="52">+J21</f>
        <v>1531</v>
      </c>
      <c r="O21" s="6"/>
      <c r="P21" s="6"/>
      <c r="Q21" s="6"/>
      <c r="R21" s="6"/>
      <c r="S21" s="6"/>
      <c r="T21" s="6"/>
      <c r="U21" s="6"/>
      <c r="V21" s="6">
        <f t="shared" ref="V21:V22" si="53">SUM(G21:J21)</f>
        <v>5621</v>
      </c>
      <c r="W21" s="6">
        <f t="shared" ref="W21:W22" si="54">SUM(K21:N21)</f>
        <v>5714</v>
      </c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 spans="2:40" s="2" customFormat="1" x14ac:dyDescent="0.2">
      <c r="B22" s="2" t="s">
        <v>37</v>
      </c>
      <c r="C22" s="6"/>
      <c r="D22" s="6"/>
      <c r="E22" s="6">
        <v>811</v>
      </c>
      <c r="F22" s="6">
        <v>879</v>
      </c>
      <c r="G22" s="6">
        <v>811</v>
      </c>
      <c r="H22" s="6">
        <v>872</v>
      </c>
      <c r="I22" s="6">
        <v>916</v>
      </c>
      <c r="J22" s="6">
        <v>1018</v>
      </c>
      <c r="K22" s="6">
        <v>929</v>
      </c>
      <c r="L22" s="6">
        <v>1124</v>
      </c>
      <c r="M22" s="6">
        <f t="shared" si="51"/>
        <v>916</v>
      </c>
      <c r="N22" s="6">
        <f t="shared" si="52"/>
        <v>1018</v>
      </c>
      <c r="O22" s="6"/>
      <c r="P22" s="6"/>
      <c r="Q22" s="6"/>
      <c r="R22" s="6"/>
      <c r="S22" s="6"/>
      <c r="T22" s="6"/>
      <c r="U22" s="6"/>
      <c r="V22" s="6">
        <f t="shared" si="53"/>
        <v>3617</v>
      </c>
      <c r="W22" s="6">
        <f t="shared" si="54"/>
        <v>3987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2:40" s="2" customFormat="1" x14ac:dyDescent="0.2">
      <c r="B23" s="2" t="s">
        <v>38</v>
      </c>
      <c r="C23" s="6"/>
      <c r="D23" s="6"/>
      <c r="E23" s="6">
        <f t="shared" ref="E23:F23" si="55">+E22+E21</f>
        <v>2137</v>
      </c>
      <c r="F23" s="6">
        <f t="shared" si="55"/>
        <v>4220</v>
      </c>
      <c r="G23" s="6">
        <f>+G22+G21</f>
        <v>2156</v>
      </c>
      <c r="H23" s="6">
        <f>+H22+H21</f>
        <v>2247</v>
      </c>
      <c r="I23" s="6">
        <f>+I22+I21</f>
        <v>2286</v>
      </c>
      <c r="J23" s="6">
        <f>+J22+J21</f>
        <v>2549</v>
      </c>
      <c r="K23" s="6">
        <f>+K22+K21</f>
        <v>2276</v>
      </c>
      <c r="L23" s="6">
        <f t="shared" ref="L23:N23" si="56">+L22+L21</f>
        <v>2590</v>
      </c>
      <c r="M23" s="6">
        <f t="shared" si="56"/>
        <v>2286</v>
      </c>
      <c r="N23" s="6">
        <f t="shared" si="56"/>
        <v>2549</v>
      </c>
      <c r="O23" s="6"/>
      <c r="P23" s="6"/>
      <c r="Q23" s="6"/>
      <c r="R23" s="6"/>
      <c r="S23" s="6"/>
      <c r="T23" s="6"/>
      <c r="U23" s="6"/>
      <c r="V23" s="6">
        <f t="shared" ref="V23:W23" si="57">+V22+V21</f>
        <v>9238</v>
      </c>
      <c r="W23" s="6">
        <f t="shared" si="57"/>
        <v>9701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</row>
    <row r="24" spans="2:40" s="2" customFormat="1" x14ac:dyDescent="0.2">
      <c r="B24" s="2" t="s">
        <v>39</v>
      </c>
      <c r="C24" s="6"/>
      <c r="D24" s="6"/>
      <c r="E24" s="6">
        <f t="shared" ref="E24:F24" si="58">+E20-E23</f>
        <v>1934</v>
      </c>
      <c r="F24" s="6">
        <f t="shared" si="58"/>
        <v>113</v>
      </c>
      <c r="G24" s="6">
        <f>+G20-G23</f>
        <v>2022</v>
      </c>
      <c r="H24" s="6">
        <f>+H20-H23</f>
        <v>2422</v>
      </c>
      <c r="I24" s="6">
        <f>+I20-I23</f>
        <v>2667</v>
      </c>
      <c r="J24" s="6">
        <f>+J20-J23</f>
        <v>2565</v>
      </c>
      <c r="K24" s="6">
        <f>+K20-K23</f>
        <v>2567</v>
      </c>
      <c r="L24" s="6">
        <f t="shared" ref="L24:N24" si="59">+L20-L23</f>
        <v>2457</v>
      </c>
      <c r="M24" s="6">
        <f t="shared" si="59"/>
        <v>2724.1200000000008</v>
      </c>
      <c r="N24" s="6">
        <f t="shared" si="59"/>
        <v>2817</v>
      </c>
      <c r="O24" s="6"/>
      <c r="P24" s="6"/>
      <c r="Q24" s="6"/>
      <c r="R24" s="6"/>
      <c r="S24" s="6"/>
      <c r="T24" s="6"/>
      <c r="U24" s="6"/>
      <c r="V24" s="6">
        <f t="shared" ref="V24:W24" si="60">+V20-V23</f>
        <v>9017.2000000000007</v>
      </c>
      <c r="W24" s="6">
        <f t="shared" si="60"/>
        <v>10643.120000000003</v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</row>
    <row r="25" spans="2:40" s="2" customFormat="1" x14ac:dyDescent="0.2">
      <c r="B25" s="2" t="s">
        <v>40</v>
      </c>
      <c r="C25" s="6"/>
      <c r="D25" s="6"/>
      <c r="E25" s="6">
        <v>-58</v>
      </c>
      <c r="F25" s="6">
        <f>-129+3</f>
        <v>-126</v>
      </c>
      <c r="G25" s="6">
        <v>-67</v>
      </c>
      <c r="H25" s="6">
        <v>-137</v>
      </c>
      <c r="I25" s="6">
        <f>-197-28</f>
        <v>-225</v>
      </c>
      <c r="J25" s="6">
        <f>-199+12</f>
        <v>-187</v>
      </c>
      <c r="K25" s="6">
        <v>-200</v>
      </c>
      <c r="L25" s="6">
        <f>-225-15-51</f>
        <v>-291</v>
      </c>
      <c r="M25" s="6"/>
      <c r="N25" s="6"/>
      <c r="O25" s="6"/>
      <c r="P25" s="6"/>
      <c r="Q25" s="6"/>
      <c r="R25" s="6"/>
      <c r="S25" s="6"/>
      <c r="T25" s="6"/>
      <c r="U25" s="6"/>
      <c r="V25" s="6">
        <f t="shared" ref="V25" si="61">SUM(G25:J25)</f>
        <v>-616</v>
      </c>
      <c r="W25" s="6">
        <f t="shared" ref="W25" si="62">SUM(K25:N25)</f>
        <v>-491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</row>
    <row r="26" spans="2:40" s="2" customFormat="1" x14ac:dyDescent="0.2">
      <c r="B26" s="2" t="s">
        <v>41</v>
      </c>
      <c r="C26" s="6"/>
      <c r="D26" s="6"/>
      <c r="E26" s="6">
        <f t="shared" ref="E26:F26" si="63">+E25+E24</f>
        <v>1876</v>
      </c>
      <c r="F26" s="6">
        <f t="shared" si="63"/>
        <v>-13</v>
      </c>
      <c r="G26" s="6">
        <f>+G25+G24</f>
        <v>1955</v>
      </c>
      <c r="H26" s="6">
        <f>+H25+H24</f>
        <v>2285</v>
      </c>
      <c r="I26" s="6">
        <f>+I25+I24</f>
        <v>2442</v>
      </c>
      <c r="J26" s="6">
        <f>+J25+J24</f>
        <v>2378</v>
      </c>
      <c r="K26" s="6">
        <f>+K25+K24</f>
        <v>2367</v>
      </c>
      <c r="L26" s="6">
        <f t="shared" ref="L26:N26" si="64">+L25+L24</f>
        <v>2166</v>
      </c>
      <c r="M26" s="6">
        <f t="shared" si="64"/>
        <v>2724.1200000000008</v>
      </c>
      <c r="N26" s="6">
        <f t="shared" si="64"/>
        <v>2817</v>
      </c>
      <c r="O26" s="6"/>
      <c r="P26" s="6"/>
      <c r="Q26" s="6"/>
      <c r="R26" s="6"/>
      <c r="S26" s="6"/>
      <c r="T26" s="6"/>
      <c r="U26" s="6"/>
      <c r="V26" s="6">
        <f t="shared" ref="V26" si="65">+V25+V24</f>
        <v>8401.2000000000007</v>
      </c>
      <c r="W26" s="6">
        <f t="shared" ref="W26" si="66">+W25+W24</f>
        <v>10152.120000000003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2:40" s="2" customFormat="1" x14ac:dyDescent="0.2">
      <c r="B27" s="2" t="s">
        <v>42</v>
      </c>
      <c r="C27" s="6"/>
      <c r="D27" s="6"/>
      <c r="E27" s="6">
        <v>418</v>
      </c>
      <c r="F27" s="6">
        <v>-227</v>
      </c>
      <c r="G27" s="6">
        <v>437</v>
      </c>
      <c r="H27" s="6">
        <v>499</v>
      </c>
      <c r="I27" s="6">
        <v>530</v>
      </c>
      <c r="J27" s="6">
        <v>515</v>
      </c>
      <c r="K27" s="6">
        <v>489</v>
      </c>
      <c r="L27" s="6">
        <v>486</v>
      </c>
      <c r="M27" s="6">
        <f t="shared" ref="M27:N27" si="67">+M26*0.21</f>
        <v>572.06520000000012</v>
      </c>
      <c r="N27" s="6">
        <f t="shared" si="67"/>
        <v>591.56999999999994</v>
      </c>
      <c r="O27" s="6"/>
      <c r="P27" s="6"/>
      <c r="Q27" s="6"/>
      <c r="R27" s="6"/>
      <c r="S27" s="6"/>
      <c r="T27" s="6"/>
      <c r="U27" s="6"/>
      <c r="V27" s="6">
        <f t="shared" ref="V27" si="68">SUM(G27:J27)</f>
        <v>1981</v>
      </c>
      <c r="W27" s="6">
        <f t="shared" ref="W27" si="69">SUM(K27:N27)</f>
        <v>2138.6351999999997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</row>
    <row r="28" spans="2:40" s="2" customFormat="1" x14ac:dyDescent="0.2">
      <c r="B28" s="2" t="s">
        <v>33</v>
      </c>
      <c r="C28" s="6"/>
      <c r="D28" s="6"/>
      <c r="E28" s="6">
        <f t="shared" ref="E28:F28" si="70">+E26-E27</f>
        <v>1458</v>
      </c>
      <c r="F28" s="6">
        <f t="shared" si="70"/>
        <v>214</v>
      </c>
      <c r="G28" s="6">
        <f t="shared" ref="G28:L28" si="71">+G26-G27</f>
        <v>1518</v>
      </c>
      <c r="H28" s="6">
        <f t="shared" si="71"/>
        <v>1786</v>
      </c>
      <c r="I28" s="6">
        <f t="shared" si="71"/>
        <v>1912</v>
      </c>
      <c r="J28" s="6">
        <f t="shared" si="71"/>
        <v>1863</v>
      </c>
      <c r="K28" s="6">
        <f t="shared" si="71"/>
        <v>1878</v>
      </c>
      <c r="L28" s="6">
        <f t="shared" si="71"/>
        <v>1680</v>
      </c>
      <c r="M28" s="6">
        <f t="shared" ref="M28:N28" si="72">+M26-M27</f>
        <v>2152.0548000000008</v>
      </c>
      <c r="N28" s="6">
        <f t="shared" si="72"/>
        <v>2225.4300000000003</v>
      </c>
      <c r="O28" s="6"/>
      <c r="P28" s="6"/>
      <c r="Q28" s="6"/>
      <c r="R28" s="6"/>
      <c r="S28" s="6"/>
      <c r="T28" s="6"/>
      <c r="U28" s="6"/>
      <c r="V28" s="6">
        <f t="shared" ref="V28" si="73">+V26-V27</f>
        <v>6420.2000000000007</v>
      </c>
      <c r="W28" s="6">
        <f t="shared" ref="W28" si="74">+W26-W27</f>
        <v>8013.4848000000029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2:40" s="1" customFormat="1" x14ac:dyDescent="0.2">
      <c r="B29" s="1" t="s">
        <v>32</v>
      </c>
      <c r="C29" s="9"/>
      <c r="D29" s="9"/>
      <c r="E29" s="9">
        <f t="shared" ref="E29:F29" si="75">E28/E30</f>
        <v>0.90559006211180126</v>
      </c>
      <c r="F29" s="9">
        <f t="shared" si="75"/>
        <v>0.1340012523481528</v>
      </c>
      <c r="G29" s="9">
        <f>G28/G30</f>
        <v>0.94402985074626866</v>
      </c>
      <c r="H29" s="9">
        <f>H28/H30</f>
        <v>1.093692590324556</v>
      </c>
      <c r="I29" s="9">
        <f>I28/I30</f>
        <v>1.1490384615384615</v>
      </c>
      <c r="J29" s="9">
        <f>J28/J30</f>
        <v>1.1359756097560976</v>
      </c>
      <c r="K29" s="9">
        <f>K28/K30</f>
        <v>1.1556923076923078</v>
      </c>
      <c r="L29" s="9">
        <f t="shared" ref="L29" si="76">L28/L30</f>
        <v>1.0294117647058822</v>
      </c>
      <c r="M29" s="9">
        <f t="shared" ref="M29" si="77">M28/M30</f>
        <v>1.3186610294117651</v>
      </c>
      <c r="N29" s="9">
        <f t="shared" ref="N29" si="78">N28/N30</f>
        <v>1.3636213235294119</v>
      </c>
      <c r="O29" s="9"/>
      <c r="P29" s="9"/>
      <c r="Q29" s="9"/>
      <c r="R29" s="9"/>
      <c r="S29" s="9"/>
      <c r="T29" s="9"/>
      <c r="U29" s="9"/>
      <c r="V29" s="9">
        <f t="shared" ref="V29" si="79">V28/V30</f>
        <v>3.9237280366692135</v>
      </c>
      <c r="W29" s="9">
        <f t="shared" ref="W29" si="80">W28/W30</f>
        <v>4.9154944333691173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spans="2:40" s="2" customFormat="1" x14ac:dyDescent="0.2">
      <c r="B30" s="2" t="s">
        <v>1</v>
      </c>
      <c r="C30" s="6"/>
      <c r="D30" s="6"/>
      <c r="E30" s="6">
        <v>1610</v>
      </c>
      <c r="F30" s="6">
        <v>1597</v>
      </c>
      <c r="G30" s="6">
        <v>1608</v>
      </c>
      <c r="H30" s="6">
        <v>1633</v>
      </c>
      <c r="I30" s="6">
        <v>1664</v>
      </c>
      <c r="J30" s="6">
        <v>1640</v>
      </c>
      <c r="K30" s="6">
        <v>1625</v>
      </c>
      <c r="L30" s="6">
        <v>1632</v>
      </c>
      <c r="M30" s="6">
        <f t="shared" ref="M30:N30" si="81">+L30</f>
        <v>1632</v>
      </c>
      <c r="N30" s="6">
        <f t="shared" si="81"/>
        <v>1632</v>
      </c>
      <c r="O30" s="6"/>
      <c r="P30" s="6"/>
      <c r="Q30" s="6"/>
      <c r="R30" s="6"/>
      <c r="S30" s="6"/>
      <c r="T30" s="6"/>
      <c r="U30" s="6"/>
      <c r="V30" s="6">
        <f>AVERAGE(G30:J30)</f>
        <v>1636.25</v>
      </c>
      <c r="W30" s="6">
        <f>AVERAGE(K30:N30)</f>
        <v>1630.25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</row>
    <row r="32" spans="2:40" s="4" customFormat="1" x14ac:dyDescent="0.2">
      <c r="B32" s="7" t="s">
        <v>20</v>
      </c>
      <c r="C32" s="5"/>
      <c r="D32" s="5"/>
      <c r="E32" s="5"/>
      <c r="F32" s="5"/>
      <c r="G32" s="5"/>
      <c r="H32" s="5"/>
      <c r="I32" s="22">
        <f t="shared" ref="I32" si="82">I18/E18-1</f>
        <v>0.18429966128710906</v>
      </c>
      <c r="J32" s="22">
        <f t="shared" ref="J32" si="83">J18/F18-1</f>
        <v>0.1665443873807777</v>
      </c>
      <c r="K32" s="22">
        <f>K18/G18-1</f>
        <v>0.18214285714285716</v>
      </c>
      <c r="L32" s="22">
        <f t="shared" ref="L32:N32" si="84">L18/H18-1</f>
        <v>0.1784474885844749</v>
      </c>
      <c r="M32" s="22">
        <f t="shared" si="84"/>
        <v>5.3608681022880411E-2</v>
      </c>
      <c r="N32" s="22">
        <f t="shared" si="84"/>
        <v>5.4638364779874271E-2</v>
      </c>
      <c r="O32" s="5"/>
      <c r="P32" s="5"/>
      <c r="Q32" s="5"/>
      <c r="R32" s="5"/>
      <c r="S32" s="5"/>
      <c r="T32" s="5"/>
      <c r="U32" s="5"/>
      <c r="V32" s="5"/>
      <c r="W32" s="22">
        <f>W18/V18-1</f>
        <v>0.11442876550243231</v>
      </c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2:23" x14ac:dyDescent="0.2">
      <c r="B33" s="2" t="s">
        <v>8</v>
      </c>
      <c r="I33" s="21">
        <f t="shared" ref="I33" si="85">I3/E3-1</f>
        <v>0.12043010752688166</v>
      </c>
      <c r="J33" s="21">
        <f t="shared" ref="J33" si="86">J3/F3-1</f>
        <v>0.10526315789473695</v>
      </c>
      <c r="K33" s="21">
        <f>K3/G3-1</f>
        <v>0.14979106396657027</v>
      </c>
      <c r="L33" s="21">
        <f t="shared" ref="L33:N33" si="87">L3/H3-1</f>
        <v>0.17302798982188294</v>
      </c>
      <c r="M33" s="21">
        <f t="shared" si="87"/>
        <v>5.0000000000000044E-2</v>
      </c>
      <c r="N33" s="21">
        <f t="shared" si="87"/>
        <v>5.0000000000000044E-2</v>
      </c>
      <c r="W33" s="21">
        <f>W3/V3-1</f>
        <v>0.10321153297173846</v>
      </c>
    </row>
    <row r="34" spans="2:23" x14ac:dyDescent="0.2">
      <c r="B34" s="2" t="s">
        <v>35</v>
      </c>
      <c r="E34" s="21">
        <f t="shared" ref="E34" si="88">E20/E18</f>
        <v>0.81111775254034668</v>
      </c>
      <c r="F34" s="21">
        <f t="shared" ref="F34" si="89">F20/F18</f>
        <v>0.79475421863536322</v>
      </c>
      <c r="G34" s="21">
        <f>G20/G18</f>
        <v>0.82896825396825402</v>
      </c>
      <c r="H34" s="21">
        <f t="shared" ref="H34:N34" si="90">H20/H18</f>
        <v>0.85278538812785387</v>
      </c>
      <c r="I34" s="21">
        <f t="shared" si="90"/>
        <v>0.83327725437415878</v>
      </c>
      <c r="J34" s="21">
        <f t="shared" si="90"/>
        <v>0.8040880503144654</v>
      </c>
      <c r="K34" s="21">
        <f t="shared" si="90"/>
        <v>0.81285666330983553</v>
      </c>
      <c r="L34" s="21">
        <f t="shared" si="90"/>
        <v>0.78223806571605703</v>
      </c>
      <c r="M34" s="21">
        <f t="shared" si="90"/>
        <v>0.8</v>
      </c>
      <c r="N34" s="21">
        <f t="shared" si="90"/>
        <v>0.8</v>
      </c>
      <c r="W34" s="21">
        <f t="shared" ref="W34" si="91">W20/W18</f>
        <v>0.8</v>
      </c>
    </row>
    <row r="35" spans="2:23" x14ac:dyDescent="0.2">
      <c r="B35" s="2" t="s">
        <v>70</v>
      </c>
      <c r="E35" s="21">
        <f t="shared" ref="E35" si="92">E27/E26</f>
        <v>0.22281449893390193</v>
      </c>
      <c r="F35" s="21">
        <f t="shared" ref="F35" si="93">F27/F26</f>
        <v>17.46153846153846</v>
      </c>
      <c r="G35" s="21">
        <f>G27/G26</f>
        <v>0.22352941176470589</v>
      </c>
      <c r="H35" s="21">
        <f t="shared" ref="H35:N35" si="94">H27/H26</f>
        <v>0.21838074398249452</v>
      </c>
      <c r="I35" s="21">
        <f t="shared" si="94"/>
        <v>0.21703521703521703</v>
      </c>
      <c r="J35" s="21">
        <f t="shared" si="94"/>
        <v>0.21656854499579478</v>
      </c>
      <c r="K35" s="21">
        <f t="shared" si="94"/>
        <v>0.20659062103929024</v>
      </c>
      <c r="L35" s="21">
        <f t="shared" si="94"/>
        <v>0.22437673130193905</v>
      </c>
      <c r="M35" s="21">
        <f t="shared" si="94"/>
        <v>0.21</v>
      </c>
      <c r="N35" s="21">
        <f t="shared" si="94"/>
        <v>0.20999999999999996</v>
      </c>
      <c r="W35" s="21">
        <f t="shared" ref="W35" si="95">W27/W26</f>
        <v>0.21065897566222613</v>
      </c>
    </row>
  </sheetData>
  <hyperlinks>
    <hyperlink ref="A1" location="Main!A1" display="Main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2016-05-13T04:30:34Z</dcterms:created>
  <dcterms:modified xsi:type="dcterms:W3CDTF">2016-10-14T00:24:15Z</dcterms:modified>
</cp:coreProperties>
</file>