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70" windowHeight="1195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2" l="1"/>
  <c r="AI12" i="2"/>
  <c r="AH12" i="2"/>
  <c r="AG12" i="2"/>
  <c r="AF31" i="2"/>
  <c r="AE31" i="2"/>
  <c r="O13" i="2"/>
  <c r="N13" i="2"/>
  <c r="O12" i="2"/>
  <c r="N12" i="2"/>
  <c r="M32" i="2"/>
  <c r="M54" i="2"/>
  <c r="M15" i="2"/>
  <c r="M31" i="2" s="1"/>
  <c r="AF23" i="2" l="1"/>
  <c r="AE40" i="2"/>
  <c r="AF17" i="2"/>
  <c r="AE17" i="2"/>
  <c r="AF35" i="2"/>
  <c r="AE35" i="2"/>
  <c r="AD35" i="2"/>
  <c r="AC35" i="2"/>
  <c r="AB35" i="2"/>
  <c r="AA35" i="2"/>
  <c r="Z35" i="2"/>
  <c r="Y35" i="2"/>
  <c r="X35" i="2"/>
  <c r="W35" i="2"/>
  <c r="V35" i="2"/>
  <c r="U35" i="2"/>
  <c r="AG20" i="2"/>
  <c r="AH20" i="2" s="1"/>
  <c r="AI20" i="2" s="1"/>
  <c r="AJ20" i="2" s="1"/>
  <c r="AK20" i="2" s="1"/>
  <c r="AL20" i="2" s="1"/>
  <c r="AM20" i="2" s="1"/>
  <c r="AG19" i="2"/>
  <c r="AG21" i="2" s="1"/>
  <c r="AH18" i="2"/>
  <c r="AI18" i="2" s="1"/>
  <c r="AJ18" i="2" s="1"/>
  <c r="AK18" i="2" s="1"/>
  <c r="AL18" i="2" s="1"/>
  <c r="AM18" i="2" s="1"/>
  <c r="AG18" i="2"/>
  <c r="AH28" i="2"/>
  <c r="AI28" i="2" s="1"/>
  <c r="AJ28" i="2" s="1"/>
  <c r="AK28" i="2" s="1"/>
  <c r="AL28" i="2" s="1"/>
  <c r="AM28" i="2" s="1"/>
  <c r="AG28" i="2"/>
  <c r="AH14" i="2"/>
  <c r="AI14" i="2" s="1"/>
  <c r="AJ14" i="2" s="1"/>
  <c r="AK14" i="2" s="1"/>
  <c r="AL14" i="2" s="1"/>
  <c r="AM14" i="2" s="1"/>
  <c r="AG14" i="2"/>
  <c r="AF14" i="2"/>
  <c r="AG13" i="2"/>
  <c r="AH13" i="2" s="1"/>
  <c r="AJ12" i="2"/>
  <c r="AK12" i="2" s="1"/>
  <c r="AL12" i="2" s="1"/>
  <c r="AM12" i="2" s="1"/>
  <c r="AF12" i="2"/>
  <c r="AF15" i="2" s="1"/>
  <c r="AF28" i="2"/>
  <c r="AE23" i="2"/>
  <c r="AF21" i="2"/>
  <c r="AE20" i="2"/>
  <c r="AF20" i="2" s="1"/>
  <c r="AF19" i="2"/>
  <c r="AE19" i="2"/>
  <c r="AF18" i="2"/>
  <c r="AE18" i="2"/>
  <c r="AE21" i="2" s="1"/>
  <c r="AF13" i="2"/>
  <c r="AD31" i="2"/>
  <c r="AE28" i="2"/>
  <c r="AD28" i="2"/>
  <c r="AD25" i="2"/>
  <c r="AD23" i="2"/>
  <c r="AD21" i="2"/>
  <c r="AD22" i="2" s="1"/>
  <c r="AD24" i="2" s="1"/>
  <c r="AD26" i="2" s="1"/>
  <c r="AD27" i="2" s="1"/>
  <c r="AD20" i="2"/>
  <c r="AD19" i="2"/>
  <c r="AD18" i="2"/>
  <c r="AD17" i="2"/>
  <c r="AD16" i="2"/>
  <c r="AE15" i="2"/>
  <c r="AE16" i="2" s="1"/>
  <c r="AE14" i="2"/>
  <c r="AE13" i="2"/>
  <c r="AE12" i="2"/>
  <c r="F94" i="2"/>
  <c r="L95" i="2"/>
  <c r="K95" i="2"/>
  <c r="J95" i="2"/>
  <c r="I95" i="2"/>
  <c r="H95" i="2"/>
  <c r="G95" i="2"/>
  <c r="F95" i="2"/>
  <c r="L94" i="2"/>
  <c r="K94" i="2"/>
  <c r="J94" i="2"/>
  <c r="I94" i="2"/>
  <c r="H94" i="2"/>
  <c r="G94" i="2"/>
  <c r="L96" i="2"/>
  <c r="K96" i="2"/>
  <c r="J96" i="2"/>
  <c r="I96" i="2"/>
  <c r="H96" i="2"/>
  <c r="G96" i="2"/>
  <c r="F96" i="2"/>
  <c r="F92" i="2"/>
  <c r="AE22" i="2" l="1"/>
  <c r="AE24" i="2" s="1"/>
  <c r="AE25" i="2" s="1"/>
  <c r="AH19" i="2"/>
  <c r="AI19" i="2" s="1"/>
  <c r="AJ19" i="2" s="1"/>
  <c r="AK19" i="2" s="1"/>
  <c r="AL19" i="2" s="1"/>
  <c r="AM19" i="2" s="1"/>
  <c r="AI13" i="2"/>
  <c r="AH15" i="2"/>
  <c r="AG15" i="2"/>
  <c r="AE26" i="2"/>
  <c r="AE27" i="2" s="1"/>
  <c r="AF22" i="2"/>
  <c r="AF24" i="2" s="1"/>
  <c r="AG31" i="2" l="1"/>
  <c r="AG17" i="2"/>
  <c r="AH17" i="2"/>
  <c r="AH35" i="2" s="1"/>
  <c r="AH21" i="2"/>
  <c r="AH22" i="2" s="1"/>
  <c r="AH31" i="2"/>
  <c r="AJ13" i="2"/>
  <c r="AI15" i="2"/>
  <c r="AF25" i="2"/>
  <c r="AF26" i="2" s="1"/>
  <c r="AF16" i="2"/>
  <c r="AI31" i="2" l="1"/>
  <c r="AI17" i="2"/>
  <c r="AI35" i="2" s="1"/>
  <c r="AH16" i="2"/>
  <c r="AG16" i="2"/>
  <c r="AG35" i="2"/>
  <c r="AG22" i="2"/>
  <c r="AF27" i="2"/>
  <c r="AF40" i="2"/>
  <c r="AI21" i="2"/>
  <c r="AI22" i="2" s="1"/>
  <c r="AK13" i="2"/>
  <c r="AJ15" i="2"/>
  <c r="M92" i="2"/>
  <c r="L92" i="2"/>
  <c r="K92" i="2"/>
  <c r="J92" i="2"/>
  <c r="I92" i="2"/>
  <c r="H92" i="2"/>
  <c r="G92" i="2"/>
  <c r="M91" i="2"/>
  <c r="L91" i="2"/>
  <c r="K91" i="2"/>
  <c r="J91" i="2"/>
  <c r="I91" i="2"/>
  <c r="H91" i="2"/>
  <c r="G91" i="2"/>
  <c r="F91" i="2"/>
  <c r="N21" i="2"/>
  <c r="N20" i="2"/>
  <c r="N19" i="2"/>
  <c r="N18" i="2"/>
  <c r="N33" i="2" s="1"/>
  <c r="I33" i="2"/>
  <c r="J33" i="2"/>
  <c r="J32" i="2"/>
  <c r="K33" i="2"/>
  <c r="I86" i="2"/>
  <c r="F85" i="2"/>
  <c r="F83" i="2"/>
  <c r="F81" i="2"/>
  <c r="F74" i="2"/>
  <c r="F72" i="2"/>
  <c r="F69" i="2"/>
  <c r="F57" i="2"/>
  <c r="F55" i="2"/>
  <c r="F54" i="2"/>
  <c r="F53" i="2"/>
  <c r="F58" i="2"/>
  <c r="F60" i="2" s="1"/>
  <c r="F46" i="2"/>
  <c r="F41" i="2"/>
  <c r="F49" i="2"/>
  <c r="F40" i="2"/>
  <c r="L32" i="2"/>
  <c r="K32" i="2"/>
  <c r="J86" i="2"/>
  <c r="L86" i="2"/>
  <c r="K86" i="2"/>
  <c r="G85" i="2"/>
  <c r="G83" i="2"/>
  <c r="G78" i="2"/>
  <c r="G81" i="2"/>
  <c r="G72" i="2"/>
  <c r="G74" i="2"/>
  <c r="G69" i="2"/>
  <c r="G58" i="2"/>
  <c r="G60" i="2" s="1"/>
  <c r="G57" i="2"/>
  <c r="G55" i="2"/>
  <c r="G54" i="2"/>
  <c r="G53" i="2"/>
  <c r="G49" i="2"/>
  <c r="G46" i="2"/>
  <c r="G41" i="2"/>
  <c r="L33" i="2"/>
  <c r="I85" i="2"/>
  <c r="I72" i="2"/>
  <c r="H81" i="2"/>
  <c r="H72" i="2"/>
  <c r="H74" i="2" s="1"/>
  <c r="H69" i="2"/>
  <c r="H85" i="2" s="1"/>
  <c r="I57" i="2"/>
  <c r="I54" i="2"/>
  <c r="I53" i="2"/>
  <c r="I46" i="2"/>
  <c r="I41" i="2"/>
  <c r="I40" i="2" s="1"/>
  <c r="H57" i="2"/>
  <c r="H54" i="2"/>
  <c r="H53" i="2"/>
  <c r="H58" i="2" s="1"/>
  <c r="H60" i="2" s="1"/>
  <c r="H41" i="2"/>
  <c r="H46" i="2"/>
  <c r="H49" i="2"/>
  <c r="H40" i="2"/>
  <c r="O28" i="2"/>
  <c r="N28" i="2"/>
  <c r="O23" i="2"/>
  <c r="O20" i="2"/>
  <c r="O19" i="2"/>
  <c r="O18" i="2"/>
  <c r="O33" i="2" s="1"/>
  <c r="M33" i="2"/>
  <c r="O14" i="2"/>
  <c r="N14" i="2"/>
  <c r="AD14" i="2" s="1"/>
  <c r="AD13" i="2"/>
  <c r="AD12" i="2"/>
  <c r="I81" i="2"/>
  <c r="I74" i="2"/>
  <c r="I69" i="2"/>
  <c r="J85" i="2"/>
  <c r="J83" i="2"/>
  <c r="J81" i="2"/>
  <c r="J74" i="2"/>
  <c r="J72" i="2"/>
  <c r="J66" i="2"/>
  <c r="J69" i="2"/>
  <c r="J57" i="2"/>
  <c r="J53" i="2"/>
  <c r="J54" i="2"/>
  <c r="J49" i="2"/>
  <c r="J46" i="2"/>
  <c r="J41" i="2"/>
  <c r="J40" i="2" s="1"/>
  <c r="M85" i="2"/>
  <c r="M83" i="2"/>
  <c r="M81" i="2"/>
  <c r="M74" i="2"/>
  <c r="M72" i="2"/>
  <c r="M69" i="2"/>
  <c r="M53" i="2"/>
  <c r="M58" i="2" s="1"/>
  <c r="M60" i="2" s="1"/>
  <c r="M49" i="2"/>
  <c r="M46" i="2"/>
  <c r="M41" i="2"/>
  <c r="M40" i="2" s="1"/>
  <c r="M21" i="2"/>
  <c r="T15" i="2"/>
  <c r="AI16" i="2" l="1"/>
  <c r="AJ31" i="2"/>
  <c r="AJ17" i="2"/>
  <c r="AJ35" i="2" s="1"/>
  <c r="AG23" i="2"/>
  <c r="AG24" i="2" s="1"/>
  <c r="AG25" i="2" s="1"/>
  <c r="AG26" i="2" s="1"/>
  <c r="AJ21" i="2"/>
  <c r="AJ22" i="2" s="1"/>
  <c r="AK15" i="2"/>
  <c r="AL13" i="2"/>
  <c r="O21" i="2"/>
  <c r="G40" i="2"/>
  <c r="I83" i="2"/>
  <c r="H83" i="2"/>
  <c r="I58" i="2"/>
  <c r="I60" i="2" s="1"/>
  <c r="I49" i="2"/>
  <c r="O15" i="2"/>
  <c r="N15" i="2"/>
  <c r="J58" i="2"/>
  <c r="J60" i="2" s="1"/>
  <c r="AD15" i="2"/>
  <c r="M17" i="2"/>
  <c r="M35" i="2" s="1"/>
  <c r="K81" i="2"/>
  <c r="K72" i="2"/>
  <c r="K74" i="2"/>
  <c r="K69" i="2"/>
  <c r="K85" i="2" s="1"/>
  <c r="K54" i="2"/>
  <c r="K53" i="2"/>
  <c r="K58" i="2"/>
  <c r="K60" i="2" s="1"/>
  <c r="K46" i="2"/>
  <c r="K41" i="2"/>
  <c r="K49" i="2" s="1"/>
  <c r="L81" i="2"/>
  <c r="L72" i="2"/>
  <c r="L74" i="2" s="1"/>
  <c r="L69" i="2"/>
  <c r="L85" i="2" s="1"/>
  <c r="L53" i="2"/>
  <c r="L54" i="2"/>
  <c r="L46" i="2"/>
  <c r="L41" i="2"/>
  <c r="AK31" i="2" l="1"/>
  <c r="AK17" i="2"/>
  <c r="AK35" i="2" s="1"/>
  <c r="AJ16" i="2"/>
  <c r="AG27" i="2"/>
  <c r="AG40" i="2"/>
  <c r="AK21" i="2"/>
  <c r="AK22" i="2" s="1"/>
  <c r="AL15" i="2"/>
  <c r="AM13" i="2"/>
  <c r="AM15" i="2" s="1"/>
  <c r="N31" i="2"/>
  <c r="N17" i="2"/>
  <c r="N22" i="2" s="1"/>
  <c r="N24" i="2" s="1"/>
  <c r="N25" i="2" s="1"/>
  <c r="N26" i="2" s="1"/>
  <c r="N27" i="2" s="1"/>
  <c r="O17" i="2"/>
  <c r="O31" i="2"/>
  <c r="O22" i="2"/>
  <c r="N35" i="2"/>
  <c r="K83" i="2"/>
  <c r="L49" i="2"/>
  <c r="L58" i="2"/>
  <c r="L60" i="2" s="1"/>
  <c r="M22" i="2"/>
  <c r="K40" i="2"/>
  <c r="L83" i="2"/>
  <c r="L40" i="2"/>
  <c r="T17" i="2"/>
  <c r="AM17" i="2" l="1"/>
  <c r="AM35" i="2" s="1"/>
  <c r="AL31" i="2"/>
  <c r="AL17" i="2"/>
  <c r="AL35" i="2" s="1"/>
  <c r="AK16" i="2"/>
  <c r="AH23" i="2"/>
  <c r="AH24" i="2" s="1"/>
  <c r="AH25" i="2" s="1"/>
  <c r="AH26" i="2" s="1"/>
  <c r="AL21" i="2"/>
  <c r="AL22" i="2" s="1"/>
  <c r="AM21" i="2"/>
  <c r="AM22" i="2" s="1"/>
  <c r="AM31" i="2"/>
  <c r="N16" i="2"/>
  <c r="O24" i="2"/>
  <c r="O36" i="2"/>
  <c r="O16" i="2"/>
  <c r="O35" i="2"/>
  <c r="M36" i="2"/>
  <c r="M24" i="2"/>
  <c r="U21" i="2"/>
  <c r="U15" i="2"/>
  <c r="U17" i="2" s="1"/>
  <c r="V21" i="2"/>
  <c r="V15" i="2"/>
  <c r="V17" i="2" s="1"/>
  <c r="W21" i="2"/>
  <c r="W15" i="2"/>
  <c r="W17" i="2" s="1"/>
  <c r="W2" i="2"/>
  <c r="V2" i="2" s="1"/>
  <c r="U2" i="2" s="1"/>
  <c r="X21" i="2"/>
  <c r="X15" i="2"/>
  <c r="X17" i="2" s="1"/>
  <c r="Y21" i="2"/>
  <c r="Y15" i="2"/>
  <c r="Y17" i="2" s="1"/>
  <c r="Z21" i="2"/>
  <c r="Z15" i="2"/>
  <c r="Z17" i="2" s="1"/>
  <c r="AA21" i="2"/>
  <c r="AA15" i="2"/>
  <c r="AA17" i="2" s="1"/>
  <c r="AB28" i="2"/>
  <c r="AB25" i="2"/>
  <c r="AB23" i="2"/>
  <c r="AB20" i="2"/>
  <c r="AB19" i="2"/>
  <c r="AB18" i="2"/>
  <c r="AB16" i="2"/>
  <c r="AB14" i="2"/>
  <c r="AB13" i="2"/>
  <c r="AB12" i="2"/>
  <c r="AC28" i="2"/>
  <c r="AC25" i="2"/>
  <c r="AC23" i="2"/>
  <c r="AC20" i="2"/>
  <c r="AC19" i="2"/>
  <c r="AC18" i="2"/>
  <c r="AC16" i="2"/>
  <c r="AC14" i="2"/>
  <c r="AC13" i="2"/>
  <c r="AC12" i="2"/>
  <c r="N1" i="2"/>
  <c r="K1" i="2"/>
  <c r="AC1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C21" i="2"/>
  <c r="C15" i="2"/>
  <c r="C17" i="2" s="1"/>
  <c r="C35" i="2" s="1"/>
  <c r="D21" i="2"/>
  <c r="D15" i="2"/>
  <c r="D17" i="2" s="1"/>
  <c r="D35" i="2" s="1"/>
  <c r="E21" i="2"/>
  <c r="E15" i="2"/>
  <c r="E17" i="2" s="1"/>
  <c r="E35" i="2" s="1"/>
  <c r="I21" i="2"/>
  <c r="I15" i="2"/>
  <c r="F21" i="2"/>
  <c r="F15" i="2"/>
  <c r="F17" i="2" s="1"/>
  <c r="F35" i="2" s="1"/>
  <c r="J21" i="2"/>
  <c r="J15" i="2"/>
  <c r="J17" i="2" s="1"/>
  <c r="J35" i="2" s="1"/>
  <c r="G21" i="2"/>
  <c r="G15" i="2"/>
  <c r="G17" i="2" s="1"/>
  <c r="G35" i="2" s="1"/>
  <c r="K15" i="2"/>
  <c r="K17" i="2" s="1"/>
  <c r="K35" i="2" s="1"/>
  <c r="L15" i="2"/>
  <c r="K21" i="2"/>
  <c r="AL16" i="2" l="1"/>
  <c r="AM16" i="2"/>
  <c r="AH27" i="2"/>
  <c r="AH40" i="2"/>
  <c r="M26" i="2"/>
  <c r="M37" i="2"/>
  <c r="N36" i="2"/>
  <c r="O25" i="2"/>
  <c r="O37" i="2" s="1"/>
  <c r="M27" i="2"/>
  <c r="M62" i="2"/>
  <c r="AB1" i="2"/>
  <c r="AA1" i="2" s="1"/>
  <c r="Z1" i="2" s="1"/>
  <c r="Y1" i="2" s="1"/>
  <c r="X1" i="2" s="1"/>
  <c r="AD1" i="2"/>
  <c r="AE1" i="2" s="1"/>
  <c r="AF1" i="2" s="1"/>
  <c r="AG1" i="2" s="1"/>
  <c r="AH1" i="2" s="1"/>
  <c r="AI1" i="2" s="1"/>
  <c r="AJ1" i="2" s="1"/>
  <c r="AK1" i="2" s="1"/>
  <c r="AL1" i="2" s="1"/>
  <c r="AM1" i="2" s="1"/>
  <c r="I17" i="2"/>
  <c r="I35" i="2" s="1"/>
  <c r="AB21" i="2"/>
  <c r="Z31" i="2"/>
  <c r="X31" i="2"/>
  <c r="W31" i="2"/>
  <c r="AA31" i="2"/>
  <c r="V31" i="2"/>
  <c r="U22" i="2"/>
  <c r="U24" i="2" s="1"/>
  <c r="U26" i="2" s="1"/>
  <c r="U27" i="2" s="1"/>
  <c r="V22" i="2"/>
  <c r="V24" i="2" s="1"/>
  <c r="V26" i="2" s="1"/>
  <c r="V27" i="2" s="1"/>
  <c r="W22" i="2"/>
  <c r="W24" i="2" s="1"/>
  <c r="W26" i="2" s="1"/>
  <c r="W27" i="2" s="1"/>
  <c r="Y31" i="2"/>
  <c r="AC21" i="2"/>
  <c r="X22" i="2"/>
  <c r="X24" i="2" s="1"/>
  <c r="X26" i="2" s="1"/>
  <c r="X27" i="2" s="1"/>
  <c r="Y22" i="2"/>
  <c r="Y24" i="2" s="1"/>
  <c r="Y26" i="2" s="1"/>
  <c r="Y27" i="2" s="1"/>
  <c r="Z22" i="2"/>
  <c r="Z24" i="2" s="1"/>
  <c r="Z26" i="2" s="1"/>
  <c r="Z27" i="2" s="1"/>
  <c r="G31" i="2"/>
  <c r="AA22" i="2"/>
  <c r="AA24" i="2" s="1"/>
  <c r="AA26" i="2" s="1"/>
  <c r="AA27" i="2" s="1"/>
  <c r="AB15" i="2"/>
  <c r="AC15" i="2"/>
  <c r="C22" i="2"/>
  <c r="D22" i="2"/>
  <c r="E22" i="2"/>
  <c r="I31" i="2"/>
  <c r="I22" i="2"/>
  <c r="F22" i="2"/>
  <c r="J31" i="2"/>
  <c r="J22" i="2"/>
  <c r="G22" i="2"/>
  <c r="K31" i="2"/>
  <c r="K22" i="2"/>
  <c r="AI23" i="2" l="1"/>
  <c r="AI24" i="2" s="1"/>
  <c r="AI25" i="2" s="1"/>
  <c r="AI26" i="2" s="1"/>
  <c r="O26" i="2"/>
  <c r="O27" i="2" s="1"/>
  <c r="N37" i="2"/>
  <c r="AB17" i="2"/>
  <c r="AB22" i="2" s="1"/>
  <c r="AB24" i="2" s="1"/>
  <c r="AB26" i="2" s="1"/>
  <c r="AB27" i="2" s="1"/>
  <c r="AB31" i="2"/>
  <c r="AC17" i="2"/>
  <c r="AC22" i="2" s="1"/>
  <c r="AC24" i="2" s="1"/>
  <c r="AC26" i="2" s="1"/>
  <c r="AC27" i="2" s="1"/>
  <c r="AC31" i="2"/>
  <c r="J24" i="2"/>
  <c r="J36" i="2"/>
  <c r="D24" i="2"/>
  <c r="D36" i="2"/>
  <c r="K24" i="2"/>
  <c r="K36" i="2"/>
  <c r="G24" i="2"/>
  <c r="G36" i="2"/>
  <c r="F24" i="2"/>
  <c r="F36" i="2"/>
  <c r="C24" i="2"/>
  <c r="C36" i="2"/>
  <c r="I24" i="2"/>
  <c r="I36" i="2"/>
  <c r="E24" i="2"/>
  <c r="E36" i="2"/>
  <c r="H21" i="2"/>
  <c r="L21" i="2"/>
  <c r="H15" i="2"/>
  <c r="L17" i="2"/>
  <c r="M5" i="1"/>
  <c r="M4" i="1"/>
  <c r="M7" i="1" s="1"/>
  <c r="AI27" i="2" l="1"/>
  <c r="AI40" i="2"/>
  <c r="D26" i="2"/>
  <c r="D27" i="2" s="1"/>
  <c r="D37" i="2"/>
  <c r="K26" i="2"/>
  <c r="K27" i="2" s="1"/>
  <c r="K37" i="2"/>
  <c r="G26" i="2"/>
  <c r="G37" i="2"/>
  <c r="F26" i="2"/>
  <c r="F37" i="2"/>
  <c r="J26" i="2"/>
  <c r="J37" i="2"/>
  <c r="E26" i="2"/>
  <c r="E27" i="2" s="1"/>
  <c r="E37" i="2"/>
  <c r="I26" i="2"/>
  <c r="I37" i="2"/>
  <c r="C26" i="2"/>
  <c r="C27" i="2" s="1"/>
  <c r="C37" i="2"/>
  <c r="H17" i="2"/>
  <c r="H35" i="2" s="1"/>
  <c r="H31" i="2"/>
  <c r="L35" i="2"/>
  <c r="L22" i="2"/>
  <c r="L31" i="2"/>
  <c r="AJ23" i="2" l="1"/>
  <c r="AJ24" i="2" s="1"/>
  <c r="AJ25" i="2" s="1"/>
  <c r="AJ26" i="2" s="1"/>
  <c r="AJ27" i="2" s="1"/>
  <c r="I27" i="2"/>
  <c r="I62" i="2"/>
  <c r="J27" i="2"/>
  <c r="J62" i="2"/>
  <c r="F27" i="2"/>
  <c r="F62" i="2"/>
  <c r="G27" i="2"/>
  <c r="G62" i="2"/>
  <c r="K62" i="2"/>
  <c r="N40" i="2"/>
  <c r="O40" i="2" s="1"/>
  <c r="H22" i="2"/>
  <c r="H24" i="2" s="1"/>
  <c r="L36" i="2"/>
  <c r="L24" i="2"/>
  <c r="AJ40" i="2" l="1"/>
  <c r="L26" i="2"/>
  <c r="L37" i="2"/>
  <c r="H26" i="2"/>
  <c r="H37" i="2"/>
  <c r="L27" i="2"/>
  <c r="L62" i="2"/>
  <c r="H36" i="2"/>
  <c r="AK23" i="2" l="1"/>
  <c r="AK24" i="2" s="1"/>
  <c r="AK25" i="2" s="1"/>
  <c r="AK26" i="2" s="1"/>
  <c r="AK27" i="2" s="1"/>
  <c r="H27" i="2"/>
  <c r="H62" i="2"/>
  <c r="AK40" i="2" l="1"/>
  <c r="AL23" i="2" l="1"/>
  <c r="AL24" i="2" s="1"/>
  <c r="AL25" i="2" s="1"/>
  <c r="AL26" i="2" s="1"/>
  <c r="AL27" i="2" s="1"/>
  <c r="AL40" i="2" l="1"/>
  <c r="AM23" i="2" l="1"/>
  <c r="AM24" i="2" s="1"/>
  <c r="AM25" i="2" s="1"/>
  <c r="AM26" i="2" s="1"/>
  <c r="AM40" i="2" s="1"/>
  <c r="AM27" i="2" l="1"/>
  <c r="AN26" i="2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AP39" i="2" s="1"/>
  <c r="AP40" i="2" s="1"/>
</calcChain>
</file>

<file path=xl/comments1.xml><?xml version="1.0" encoding="utf-8"?>
<comments xmlns="http://schemas.openxmlformats.org/spreadsheetml/2006/main">
  <authors>
    <author>Martin Shkreli</author>
  </authors>
  <commentList>
    <comment ref="N1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1.55-1.60bn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0.83-0.89 non-gaap</t>
        </r>
      </text>
    </comment>
  </commentList>
</comments>
</file>

<file path=xl/sharedStrings.xml><?xml version="1.0" encoding="utf-8"?>
<sst xmlns="http://schemas.openxmlformats.org/spreadsheetml/2006/main" count="150" uniqueCount="135">
  <si>
    <t>Price</t>
  </si>
  <si>
    <t>Shares</t>
  </si>
  <si>
    <t>MC</t>
  </si>
  <si>
    <t>Cash</t>
  </si>
  <si>
    <t>Debt</t>
  </si>
  <si>
    <t>EV</t>
  </si>
  <si>
    <t>Q216</t>
  </si>
  <si>
    <t>Main</t>
  </si>
  <si>
    <t>Subscription</t>
  </si>
  <si>
    <t>Product</t>
  </si>
  <si>
    <t>Services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</si>
  <si>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</si>
  <si>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</si>
  <si>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</si>
  <si>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</si>
  <si>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</si>
  <si>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</si>
  <si>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</si>
  <si>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</si>
  <si>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</si>
  <si>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</si>
  <si>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</si>
  <si>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</si>
  <si>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Revenue Growth</t>
  </si>
  <si>
    <t>Gross Margin</t>
  </si>
  <si>
    <t>COGS</t>
  </si>
  <si>
    <t>S&amp;M</t>
  </si>
  <si>
    <t>R&amp;D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</si>
  <si>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</si>
  <si>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</si>
  <si>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</si>
  <si>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</si>
  <si>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</si>
  <si>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</si>
  <si>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</si>
  <si>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</si>
  <si>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Operating Margin</t>
  </si>
  <si>
    <t>Photoshop</t>
  </si>
  <si>
    <t>Dreamweaver</t>
  </si>
  <si>
    <t>Fireworks?</t>
  </si>
  <si>
    <t>Stock Price</t>
  </si>
  <si>
    <t>Creative Cloud</t>
  </si>
  <si>
    <t>Illustrator</t>
  </si>
  <si>
    <t>Premiere Pro</t>
  </si>
  <si>
    <t>Lightroom</t>
  </si>
  <si>
    <t>InDesign</t>
  </si>
  <si>
    <t>Adobe Stock</t>
  </si>
  <si>
    <t>Behance</t>
  </si>
  <si>
    <t>5,000,000 creative pros</t>
  </si>
  <si>
    <t>Digital Media</t>
  </si>
  <si>
    <t>Photoshop Elements</t>
  </si>
  <si>
    <t>Premiere Elements</t>
  </si>
  <si>
    <t>Digital Publishing Solution</t>
  </si>
  <si>
    <t>Typekit</t>
  </si>
  <si>
    <t>Document Cloud</t>
  </si>
  <si>
    <t>PDF</t>
  </si>
  <si>
    <t>Acrobat</t>
  </si>
  <si>
    <t>Video</t>
  </si>
  <si>
    <t>Illustrations</t>
  </si>
  <si>
    <t>General</t>
  </si>
  <si>
    <t>Page Layout</t>
  </si>
  <si>
    <t>Web Design</t>
  </si>
  <si>
    <t>Fonts</t>
  </si>
  <si>
    <t>Avid</t>
  </si>
  <si>
    <t>Autodesk</t>
  </si>
  <si>
    <t>Apple</t>
  </si>
  <si>
    <t>Corel</t>
  </si>
  <si>
    <t>Microsoft</t>
  </si>
  <si>
    <t>Quark</t>
  </si>
  <si>
    <t>Getty</t>
  </si>
  <si>
    <t>Shutterstock</t>
  </si>
  <si>
    <t>Digital Marketing</t>
  </si>
  <si>
    <t>Paid Subs</t>
  </si>
  <si>
    <t>Print &amp; Publishing</t>
  </si>
  <si>
    <t>Adobe Campaign</t>
  </si>
  <si>
    <t>Adobe Analytics</t>
  </si>
  <si>
    <t>Adobe Target</t>
  </si>
  <si>
    <t>Creative (Photoshop)</t>
  </si>
  <si>
    <t>Net Cash</t>
  </si>
  <si>
    <t>AR</t>
  </si>
  <si>
    <t>Prepaids</t>
  </si>
  <si>
    <t>PP&amp;E</t>
  </si>
  <si>
    <t>Goodwill</t>
  </si>
  <si>
    <t>Lease</t>
  </si>
  <si>
    <t>Other</t>
  </si>
  <si>
    <t>Assets</t>
  </si>
  <si>
    <t>A/P</t>
  </si>
  <si>
    <t>A/E</t>
  </si>
  <si>
    <t>D/R</t>
  </si>
  <si>
    <t>D/T</t>
  </si>
  <si>
    <t>OL</t>
  </si>
  <si>
    <t>Liabilities</t>
  </si>
  <si>
    <t>S/E</t>
  </si>
  <si>
    <t>L+S/E</t>
  </si>
  <si>
    <t>Model NI</t>
  </si>
  <si>
    <t>Reported NI</t>
  </si>
  <si>
    <t>CFFO</t>
  </si>
  <si>
    <t>Working Capital</t>
  </si>
  <si>
    <t>Investment</t>
  </si>
  <si>
    <t>SBC</t>
  </si>
  <si>
    <t>D&amp;A</t>
  </si>
  <si>
    <t>Acquisitions</t>
  </si>
  <si>
    <t>CapEx</t>
  </si>
  <si>
    <t>Investments</t>
  </si>
  <si>
    <t>CFFI</t>
  </si>
  <si>
    <t>CFFO-SBC+CapEx</t>
  </si>
  <si>
    <t>SBC Tax Benefit</t>
  </si>
  <si>
    <t>Buybacks</t>
  </si>
  <si>
    <t>Cost of Treasury Stock</t>
  </si>
  <si>
    <t>Capital Lease</t>
  </si>
  <si>
    <t>CFFF</t>
  </si>
  <si>
    <t>FX</t>
  </si>
  <si>
    <t>CIC</t>
  </si>
  <si>
    <t>Q117</t>
  </si>
  <si>
    <t>Q217</t>
  </si>
  <si>
    <t>Q317</t>
  </si>
  <si>
    <t>Q417</t>
  </si>
  <si>
    <t>DR Y/Y</t>
  </si>
  <si>
    <t>S&amp;M Y/Y</t>
  </si>
  <si>
    <t>Tax Rate</t>
  </si>
  <si>
    <t>TTM</t>
  </si>
  <si>
    <t>DMARR</t>
  </si>
  <si>
    <t>XD</t>
  </si>
  <si>
    <t>Wireframing?</t>
  </si>
  <si>
    <t>Adobe Max - 11/2/2016</t>
  </si>
  <si>
    <t>Creative ARR</t>
  </si>
  <si>
    <t>Added to DR</t>
  </si>
  <si>
    <t>DR remaining after RevRec</t>
  </si>
  <si>
    <t>Maturity</t>
  </si>
  <si>
    <t>Discount</t>
  </si>
  <si>
    <t>ROIC</t>
  </si>
  <si>
    <t>NPV</t>
  </si>
  <si>
    <t>Share</t>
  </si>
  <si>
    <t>Canva</t>
  </si>
  <si>
    <t>Pixl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</si>
</sst>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2" fillId="0" borderId="0" xfId="1"/>
    <xf numFmtId="9" fontId="1" fillId="0" borderId="0" xfId="0" applyNumberFormat="1" applyFont="1"/>
    <xf numFmtId="0" fontId="3" fillId="0" borderId="0" xfId="0" applyFont="1"/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0</xdr:rowOff>
    </xdr:from>
    <xdr:to>
      <xdr:col>13</xdr:col>
      <xdr:colOff>38100</xdr:colOff>
      <xdr:row>101</xdr:row>
      <xdr:rowOff>104775</xdr:rowOff>
    </xdr:to>
    <xdr:cxnSp macro="">
      <xdr:nvCxnSpPr>
        <xdr:cNvPr id="3" name="Straight Connector 2"/>
        <xdr:cNvCxnSpPr/>
      </xdr:nvCxnSpPr>
      <xdr:spPr>
        <a:xfrm>
          <a:off x="8486775" y="0"/>
          <a:ext cx="0" cy="15163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0</xdr:row>
      <xdr:rowOff>0</xdr:rowOff>
    </xdr:from>
    <xdr:to>
      <xdr:col>29</xdr:col>
      <xdr:colOff>47625</xdr:colOff>
      <xdr:row>60</xdr:row>
      <xdr:rowOff>0</xdr:rowOff>
    </xdr:to>
    <xdr:cxnSp macro="">
      <xdr:nvCxnSpPr>
        <xdr:cNvPr id="4" name="Straight Connector 3"/>
        <xdr:cNvCxnSpPr/>
      </xdr:nvCxnSpPr>
      <xdr:spPr>
        <a:xfrm>
          <a:off x="13163550" y="0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G5" sqref="G5"/>
    </sheetView>
  </sheetViews>
  <sheetFormatPr defaultRowHeight="12.75" x14ac:dyDescent="0.2"/>
  <cols>
    <col min="1" max="1" width="3.140625" customWidth="1"/>
    <col min="2" max="2" width="23.7109375" customWidth="1"/>
  </cols>
  <sheetData>
    <row r="2" spans="2:14" x14ac:dyDescent="0.2">
      <c r="B2" s="18" t="s">
        <v>41</v>
      </c>
      <c r="L2" t="s">
        <v>0</v>
      </c>
      <c r="M2" s="1">
        <v>107.47</v>
      </c>
    </row>
    <row r="3" spans="2:14" x14ac:dyDescent="0.2">
      <c r="B3" t="s">
        <v>37</v>
      </c>
      <c r="C3" t="s">
        <v>59</v>
      </c>
      <c r="D3" t="s">
        <v>39</v>
      </c>
      <c r="F3" t="s">
        <v>63</v>
      </c>
      <c r="G3" t="s">
        <v>133</v>
      </c>
      <c r="L3" t="s">
        <v>1</v>
      </c>
      <c r="M3" s="2">
        <v>498.29</v>
      </c>
      <c r="N3" s="3" t="s">
        <v>6</v>
      </c>
    </row>
    <row r="4" spans="2:14" x14ac:dyDescent="0.2">
      <c r="B4" t="s">
        <v>42</v>
      </c>
      <c r="C4" t="s">
        <v>58</v>
      </c>
      <c r="F4" t="s">
        <v>64</v>
      </c>
      <c r="G4" t="s">
        <v>134</v>
      </c>
      <c r="L4" t="s">
        <v>2</v>
      </c>
      <c r="M4" s="2">
        <f>+M2*M3</f>
        <v>53551.226300000002</v>
      </c>
    </row>
    <row r="5" spans="2:14" x14ac:dyDescent="0.2">
      <c r="B5" t="s">
        <v>43</v>
      </c>
      <c r="C5" t="s">
        <v>57</v>
      </c>
      <c r="F5" t="s">
        <v>65</v>
      </c>
      <c r="L5" t="s">
        <v>3</v>
      </c>
      <c r="M5" s="2">
        <f>886.379+3432.029</f>
        <v>4318.4080000000004</v>
      </c>
      <c r="N5" s="3" t="s">
        <v>6</v>
      </c>
    </row>
    <row r="6" spans="2:14" x14ac:dyDescent="0.2">
      <c r="B6" t="s">
        <v>44</v>
      </c>
      <c r="F6" t="s">
        <v>66</v>
      </c>
      <c r="L6" t="s">
        <v>4</v>
      </c>
      <c r="M6" s="2">
        <v>1918.3889999999999</v>
      </c>
      <c r="N6" s="3" t="s">
        <v>6</v>
      </c>
    </row>
    <row r="7" spans="2:14" x14ac:dyDescent="0.2">
      <c r="B7" t="s">
        <v>45</v>
      </c>
      <c r="C7" t="s">
        <v>60</v>
      </c>
      <c r="F7" t="s">
        <v>67</v>
      </c>
      <c r="L7" t="s">
        <v>5</v>
      </c>
      <c r="M7" s="2">
        <f>+M4-M5+M6</f>
        <v>51151.207300000002</v>
      </c>
    </row>
    <row r="8" spans="2:14" x14ac:dyDescent="0.2">
      <c r="B8" t="s">
        <v>46</v>
      </c>
      <c r="F8" t="s">
        <v>68</v>
      </c>
    </row>
    <row r="9" spans="2:14" x14ac:dyDescent="0.2">
      <c r="B9" t="s">
        <v>47</v>
      </c>
      <c r="C9" t="s">
        <v>48</v>
      </c>
      <c r="F9" t="s">
        <v>69</v>
      </c>
    </row>
    <row r="10" spans="2:14" x14ac:dyDescent="0.2">
      <c r="B10" t="s">
        <v>38</v>
      </c>
      <c r="C10" t="s">
        <v>61</v>
      </c>
      <c r="F10" t="s">
        <v>70</v>
      </c>
    </row>
    <row r="12" spans="2:14" x14ac:dyDescent="0.2">
      <c r="B12" s="18" t="s">
        <v>49</v>
      </c>
    </row>
    <row r="13" spans="2:14" x14ac:dyDescent="0.2">
      <c r="B13" t="s">
        <v>50</v>
      </c>
    </row>
    <row r="14" spans="2:14" x14ac:dyDescent="0.2">
      <c r="B14" t="s">
        <v>51</v>
      </c>
    </row>
    <row r="15" spans="2:14" x14ac:dyDescent="0.2">
      <c r="B15" t="s">
        <v>52</v>
      </c>
    </row>
    <row r="16" spans="2:14" x14ac:dyDescent="0.2">
      <c r="B16" t="s">
        <v>53</v>
      </c>
      <c r="C16" t="s">
        <v>62</v>
      </c>
    </row>
    <row r="18" spans="2:3" x14ac:dyDescent="0.2">
      <c r="B18" s="18" t="s">
        <v>54</v>
      </c>
    </row>
    <row r="19" spans="2:3" x14ac:dyDescent="0.2">
      <c r="B19" t="s">
        <v>55</v>
      </c>
    </row>
    <row r="20" spans="2:3" x14ac:dyDescent="0.2">
      <c r="B20" t="s">
        <v>56</v>
      </c>
    </row>
    <row r="22" spans="2:3" x14ac:dyDescent="0.2">
      <c r="B22" s="18" t="s">
        <v>71</v>
      </c>
    </row>
    <row r="23" spans="2:3" x14ac:dyDescent="0.2">
      <c r="B23" t="s">
        <v>74</v>
      </c>
    </row>
    <row r="24" spans="2:3" x14ac:dyDescent="0.2">
      <c r="B24" t="s">
        <v>75</v>
      </c>
    </row>
    <row r="25" spans="2:3" x14ac:dyDescent="0.2">
      <c r="B25" t="s">
        <v>76</v>
      </c>
    </row>
    <row r="28" spans="2:3" x14ac:dyDescent="0.2">
      <c r="B28" t="s">
        <v>122</v>
      </c>
      <c r="C28" t="s">
        <v>123</v>
      </c>
    </row>
    <row r="33" spans="2:2" x14ac:dyDescent="0.2">
      <c r="B33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96"/>
  <sheetViews>
    <sheetView tabSelected="1" zoomScaleNormal="100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P38" sqref="AP38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.140625" style="3"/>
    <col min="6" max="6" width="10.140625" style="3" bestFit="1" customWidth="1"/>
    <col min="7" max="9" width="9.140625" style="3"/>
    <col min="10" max="10" width="10.140625" style="3" bestFit="1" customWidth="1"/>
    <col min="11" max="12" width="9.140625" style="3"/>
    <col min="13" max="13" width="9.5703125" style="3" customWidth="1"/>
    <col min="14" max="18" width="10.140625" style="3" customWidth="1"/>
    <col min="19" max="20" width="9.140625" style="3"/>
    <col min="21" max="23" width="10.140625" style="3" bestFit="1" customWidth="1"/>
    <col min="24" max="30" width="10.140625" bestFit="1" customWidth="1"/>
    <col min="31" max="39" width="11.140625" customWidth="1"/>
    <col min="42" max="42" width="11.140625" customWidth="1"/>
  </cols>
  <sheetData>
    <row r="1" spans="1:39" x14ac:dyDescent="0.2">
      <c r="A1" s="16" t="s">
        <v>7</v>
      </c>
      <c r="C1" s="13">
        <v>41698</v>
      </c>
      <c r="D1" s="13">
        <v>41789</v>
      </c>
      <c r="E1" s="13">
        <v>41880</v>
      </c>
      <c r="F1" s="13">
        <v>41971</v>
      </c>
      <c r="G1" s="13">
        <v>42062</v>
      </c>
      <c r="H1" s="13">
        <v>42153</v>
      </c>
      <c r="I1" s="13">
        <v>42244</v>
      </c>
      <c r="J1" s="13">
        <v>42335</v>
      </c>
      <c r="K1" s="13">
        <f>+G1+365</f>
        <v>42427</v>
      </c>
      <c r="L1" s="13">
        <v>42524</v>
      </c>
      <c r="M1" s="13">
        <v>42615</v>
      </c>
      <c r="N1" s="13">
        <f t="shared" ref="N1" si="0">+J1+365</f>
        <v>42700</v>
      </c>
      <c r="O1" s="13"/>
      <c r="P1" s="13"/>
      <c r="Q1" s="13"/>
      <c r="R1" s="13"/>
      <c r="S1" s="13"/>
      <c r="T1" s="13"/>
      <c r="U1" s="13">
        <v>39416</v>
      </c>
      <c r="V1" s="13">
        <v>39780</v>
      </c>
      <c r="W1" s="13">
        <v>40144</v>
      </c>
      <c r="X1" s="15">
        <f t="shared" ref="X1:AA1" si="1">+Y1-365</f>
        <v>40510</v>
      </c>
      <c r="Y1" s="15">
        <f t="shared" si="1"/>
        <v>40875</v>
      </c>
      <c r="Z1" s="15">
        <f t="shared" si="1"/>
        <v>41240</v>
      </c>
      <c r="AA1" s="15">
        <f t="shared" si="1"/>
        <v>41605</v>
      </c>
      <c r="AB1" s="15">
        <f>+AC1-365</f>
        <v>41970</v>
      </c>
      <c r="AC1" s="15">
        <f>+J1</f>
        <v>42335</v>
      </c>
      <c r="AD1" s="15">
        <f>+AC1+365</f>
        <v>42700</v>
      </c>
      <c r="AE1" s="15">
        <f t="shared" ref="AE1:AM1" si="2">+AD1+365</f>
        <v>43065</v>
      </c>
      <c r="AF1" s="15">
        <f t="shared" si="2"/>
        <v>43430</v>
      </c>
      <c r="AG1" s="15">
        <f t="shared" si="2"/>
        <v>43795</v>
      </c>
      <c r="AH1" s="15">
        <f t="shared" si="2"/>
        <v>44160</v>
      </c>
      <c r="AI1" s="15">
        <f t="shared" si="2"/>
        <v>44525</v>
      </c>
      <c r="AJ1" s="15">
        <f t="shared" si="2"/>
        <v>44890</v>
      </c>
      <c r="AK1" s="15">
        <f t="shared" si="2"/>
        <v>45255</v>
      </c>
      <c r="AL1" s="15">
        <f t="shared" si="2"/>
        <v>45620</v>
      </c>
      <c r="AM1" s="15">
        <f t="shared" si="2"/>
        <v>45985</v>
      </c>
    </row>
    <row r="2" spans="1:39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6</v>
      </c>
      <c r="M2" s="3" t="s">
        <v>21</v>
      </c>
      <c r="N2" s="3" t="s">
        <v>22</v>
      </c>
      <c r="O2" s="3" t="s">
        <v>113</v>
      </c>
      <c r="P2" s="3" t="s">
        <v>114</v>
      </c>
      <c r="Q2" s="3" t="s">
        <v>115</v>
      </c>
      <c r="R2" s="3" t="s">
        <v>116</v>
      </c>
      <c r="T2" s="3">
        <v>2006</v>
      </c>
      <c r="U2" s="3">
        <f t="shared" ref="U2:V2" si="3">+V2-1</f>
        <v>2007</v>
      </c>
      <c r="V2" s="3">
        <f t="shared" si="3"/>
        <v>2008</v>
      </c>
      <c r="W2" s="3">
        <f>+X2-1</f>
        <v>2009</v>
      </c>
      <c r="X2">
        <v>2010</v>
      </c>
      <c r="Y2">
        <v>2011</v>
      </c>
      <c r="Z2">
        <f>+Y2+1</f>
        <v>2012</v>
      </c>
      <c r="AA2">
        <f t="shared" ref="AA2:AK2" si="4">+Z2+1</f>
        <v>2013</v>
      </c>
      <c r="AB2">
        <f t="shared" si="4"/>
        <v>2014</v>
      </c>
      <c r="AC2">
        <f t="shared" si="4"/>
        <v>2015</v>
      </c>
      <c r="AD2">
        <f t="shared" si="4"/>
        <v>2016</v>
      </c>
      <c r="AE2">
        <f t="shared" si="4"/>
        <v>2017</v>
      </c>
      <c r="AF2">
        <f t="shared" si="4"/>
        <v>2018</v>
      </c>
      <c r="AG2">
        <f t="shared" si="4"/>
        <v>2019</v>
      </c>
      <c r="AH2">
        <f t="shared" si="4"/>
        <v>2020</v>
      </c>
      <c r="AI2">
        <f t="shared" si="4"/>
        <v>2021</v>
      </c>
      <c r="AJ2">
        <f t="shared" si="4"/>
        <v>2022</v>
      </c>
      <c r="AK2">
        <f t="shared" si="4"/>
        <v>2023</v>
      </c>
      <c r="AL2">
        <f t="shared" ref="AL2" si="5">+AK2+1</f>
        <v>2024</v>
      </c>
      <c r="AM2">
        <f t="shared" ref="AM2" si="6">+AL2+1</f>
        <v>2025</v>
      </c>
    </row>
    <row r="3" spans="1:39" s="2" customFormat="1" x14ac:dyDescent="0.2">
      <c r="B3" s="2" t="s">
        <v>77</v>
      </c>
      <c r="C3" s="11"/>
      <c r="D3" s="11"/>
      <c r="E3" s="11"/>
      <c r="F3" s="11"/>
      <c r="G3" s="11"/>
      <c r="H3" s="11"/>
      <c r="I3" s="11"/>
      <c r="J3" s="11"/>
      <c r="K3" s="11">
        <v>733</v>
      </c>
      <c r="L3" s="11">
        <v>755</v>
      </c>
      <c r="M3" s="11">
        <v>803</v>
      </c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9" s="2" customFormat="1" x14ac:dyDescent="0.2">
      <c r="B4" s="2" t="s">
        <v>49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990</v>
      </c>
      <c r="N4" s="11"/>
      <c r="O4" s="11"/>
      <c r="P4" s="11"/>
      <c r="Q4" s="11"/>
      <c r="R4" s="11"/>
      <c r="S4" s="11"/>
      <c r="T4" s="11"/>
      <c r="U4" s="11"/>
      <c r="V4" s="11"/>
      <c r="W4" s="11"/>
      <c r="AC4" s="2">
        <v>3095.2</v>
      </c>
    </row>
    <row r="5" spans="1:39" s="2" customFormat="1" x14ac:dyDescent="0.2">
      <c r="B5" s="2" t="s">
        <v>71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v>404</v>
      </c>
      <c r="N5" s="11"/>
      <c r="O5" s="11"/>
      <c r="P5" s="11"/>
      <c r="Q5" s="11"/>
      <c r="R5" s="11"/>
      <c r="S5" s="11"/>
      <c r="T5" s="11"/>
      <c r="U5" s="11"/>
      <c r="V5" s="11"/>
      <c r="W5" s="11"/>
      <c r="AC5" s="2">
        <v>1508.9</v>
      </c>
    </row>
    <row r="6" spans="1:39" s="2" customFormat="1" x14ac:dyDescent="0.2">
      <c r="B6" s="2" t="s">
        <v>73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AC6" s="2">
        <v>191.4</v>
      </c>
    </row>
    <row r="7" spans="1:39" s="2" customFormat="1" x14ac:dyDescent="0.2">
      <c r="B7" s="2" t="s">
        <v>121</v>
      </c>
      <c r="C7" s="11"/>
      <c r="D7" s="11"/>
      <c r="E7" s="11"/>
      <c r="F7" s="11"/>
      <c r="G7" s="11"/>
      <c r="H7" s="11"/>
      <c r="I7" s="11"/>
      <c r="J7" s="11">
        <v>2880</v>
      </c>
      <c r="K7" s="11"/>
      <c r="L7" s="11">
        <v>3410</v>
      </c>
      <c r="M7" s="11">
        <v>3700</v>
      </c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9" s="2" customFormat="1" x14ac:dyDescent="0.2">
      <c r="B8" s="2" t="s">
        <v>125</v>
      </c>
      <c r="C8" s="11"/>
      <c r="D8" s="11"/>
      <c r="E8" s="11"/>
      <c r="F8" s="11"/>
      <c r="G8" s="11"/>
      <c r="H8" s="11"/>
      <c r="I8" s="11"/>
      <c r="J8" s="11">
        <v>2500</v>
      </c>
      <c r="K8" s="11"/>
      <c r="L8" s="11">
        <v>3000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9" x14ac:dyDescent="0.2">
      <c r="B9" t="s">
        <v>72</v>
      </c>
      <c r="J9" s="11">
        <v>6167</v>
      </c>
    </row>
    <row r="10" spans="1:39" x14ac:dyDescent="0.2">
      <c r="AC10" s="19"/>
    </row>
    <row r="12" spans="1:39" s="5" customFormat="1" x14ac:dyDescent="0.2">
      <c r="B12" s="5" t="s">
        <v>8</v>
      </c>
      <c r="C12" s="6">
        <v>423.56299999999999</v>
      </c>
      <c r="D12" s="6">
        <v>476.69400000000002</v>
      </c>
      <c r="E12" s="6">
        <v>547.37300000000005</v>
      </c>
      <c r="F12" s="6">
        <v>628.95399999999995</v>
      </c>
      <c r="G12" s="6">
        <v>713.44200000000001</v>
      </c>
      <c r="H12" s="6">
        <v>773.96299999999997</v>
      </c>
      <c r="I12" s="6">
        <v>829.06500000000005</v>
      </c>
      <c r="J12" s="6">
        <v>907.43399999999997</v>
      </c>
      <c r="K12" s="6">
        <v>1070.25</v>
      </c>
      <c r="L12" s="6">
        <v>1083.7080000000001</v>
      </c>
      <c r="M12" s="6">
        <v>1168.6020000000001</v>
      </c>
      <c r="N12" s="6">
        <f>+J12*1.25</f>
        <v>1134.2925</v>
      </c>
      <c r="O12" s="6">
        <f>+K12*1.3</f>
        <v>1391.325</v>
      </c>
      <c r="P12" s="6"/>
      <c r="Q12" s="6"/>
      <c r="R12" s="6"/>
      <c r="S12" s="6"/>
      <c r="T12" s="6">
        <v>0</v>
      </c>
      <c r="U12" s="6">
        <v>0</v>
      </c>
      <c r="V12" s="6">
        <v>41.988</v>
      </c>
      <c r="W12" s="5">
        <v>74.602000000000004</v>
      </c>
      <c r="X12" s="5">
        <v>386.80500000000001</v>
      </c>
      <c r="Y12" s="5">
        <v>458.63400000000001</v>
      </c>
      <c r="Z12" s="5">
        <v>673.20600000000002</v>
      </c>
      <c r="AA12" s="5">
        <v>1137.856</v>
      </c>
      <c r="AB12" s="5">
        <f>SUM(C12:F12)</f>
        <v>2076.5839999999998</v>
      </c>
      <c r="AC12" s="5">
        <f>SUM(G12:J12)</f>
        <v>3223.9040000000005</v>
      </c>
      <c r="AD12" s="5">
        <f>SUM(K12:N12)</f>
        <v>4456.8525000000009</v>
      </c>
      <c r="AE12" s="5">
        <f>+AD12*1.3</f>
        <v>5793.9082500000013</v>
      </c>
      <c r="AF12" s="5">
        <f>+AE12*1.2</f>
        <v>6952.6899000000012</v>
      </c>
      <c r="AG12" s="5">
        <f>+AF12*1.15</f>
        <v>7995.593385000001</v>
      </c>
      <c r="AH12" s="5">
        <f>+AG12*1.15</f>
        <v>9194.9323927500009</v>
      </c>
      <c r="AI12" s="5">
        <f>+AH12*1.1</f>
        <v>10114.425632025002</v>
      </c>
      <c r="AJ12" s="5">
        <f t="shared" ref="AJ12:AM12" si="7">+AI12*1.01</f>
        <v>10215.569888345253</v>
      </c>
      <c r="AK12" s="5">
        <f t="shared" si="7"/>
        <v>10317.725587228706</v>
      </c>
      <c r="AL12" s="5">
        <f t="shared" si="7"/>
        <v>10420.902843100994</v>
      </c>
      <c r="AM12" s="5">
        <f t="shared" si="7"/>
        <v>10525.111871532004</v>
      </c>
    </row>
    <row r="13" spans="1:39" s="5" customFormat="1" x14ac:dyDescent="0.2">
      <c r="B13" s="5" t="s">
        <v>9</v>
      </c>
      <c r="C13" s="6">
        <v>471.45400000000001</v>
      </c>
      <c r="D13" s="6">
        <v>479.24700000000001</v>
      </c>
      <c r="E13" s="6">
        <v>349.15100000000001</v>
      </c>
      <c r="F13" s="6">
        <v>327.95100000000002</v>
      </c>
      <c r="G13" s="6">
        <v>290.774</v>
      </c>
      <c r="H13" s="6">
        <v>274.53800000000001</v>
      </c>
      <c r="I13" s="6">
        <v>275.33800000000002</v>
      </c>
      <c r="J13" s="6">
        <v>284.49599999999998</v>
      </c>
      <c r="K13" s="6">
        <v>201.11199999999999</v>
      </c>
      <c r="L13" s="6">
        <v>196.5</v>
      </c>
      <c r="M13" s="6">
        <v>180.96</v>
      </c>
      <c r="N13" s="6">
        <f>+J13*1.25</f>
        <v>355.62</v>
      </c>
      <c r="O13" s="6">
        <f>+K13*1.3</f>
        <v>261.44560000000001</v>
      </c>
      <c r="P13" s="6"/>
      <c r="Q13" s="6"/>
      <c r="R13" s="6"/>
      <c r="S13" s="6"/>
      <c r="T13" s="6">
        <v>2484.71</v>
      </c>
      <c r="U13" s="6">
        <v>3019.5239999999999</v>
      </c>
      <c r="V13" s="6">
        <v>3354.5540000000001</v>
      </c>
      <c r="W13" s="5">
        <v>2684.7890000000002</v>
      </c>
      <c r="X13" s="5">
        <v>3159.1610000000001</v>
      </c>
      <c r="Y13" s="5">
        <v>3416.4830000000002</v>
      </c>
      <c r="Z13" s="5">
        <v>3342.8429999999998</v>
      </c>
      <c r="AA13" s="5">
        <v>2470.098</v>
      </c>
      <c r="AB13" s="5">
        <f>SUM(C13:F13)</f>
        <v>1627.8030000000001</v>
      </c>
      <c r="AC13" s="5">
        <f>SUM(G13:J13)</f>
        <v>1125.1460000000002</v>
      </c>
      <c r="AD13" s="5">
        <f t="shared" ref="AD13:AD20" si="8">SUM(K13:N13)</f>
        <v>934.19200000000001</v>
      </c>
      <c r="AE13" s="5">
        <f>+AD13*0.9</f>
        <v>840.77280000000007</v>
      </c>
      <c r="AF13" s="5">
        <f t="shared" ref="AF13:AM13" si="9">+AE13*0.9</f>
        <v>756.6955200000001</v>
      </c>
      <c r="AG13" s="5">
        <f t="shared" si="9"/>
        <v>681.02596800000015</v>
      </c>
      <c r="AH13" s="5">
        <f t="shared" si="9"/>
        <v>612.92337120000013</v>
      </c>
      <c r="AI13" s="5">
        <f t="shared" si="9"/>
        <v>551.63103408000018</v>
      </c>
      <c r="AJ13" s="5">
        <f t="shared" si="9"/>
        <v>496.46793067200019</v>
      </c>
      <c r="AK13" s="5">
        <f t="shared" si="9"/>
        <v>446.82113760480019</v>
      </c>
      <c r="AL13" s="5">
        <f t="shared" si="9"/>
        <v>402.13902384432015</v>
      </c>
      <c r="AM13" s="5">
        <f t="shared" si="9"/>
        <v>361.92512145988815</v>
      </c>
    </row>
    <row r="14" spans="1:39" s="5" customFormat="1" x14ac:dyDescent="0.2">
      <c r="B14" s="5" t="s">
        <v>10</v>
      </c>
      <c r="C14" s="6">
        <v>105.10299999999999</v>
      </c>
      <c r="D14" s="6">
        <v>112.267</v>
      </c>
      <c r="E14" s="6">
        <v>108.88500000000001</v>
      </c>
      <c r="F14" s="6">
        <v>116.423</v>
      </c>
      <c r="G14" s="6">
        <v>104.965</v>
      </c>
      <c r="H14" s="6">
        <v>113.657</v>
      </c>
      <c r="I14" s="6">
        <v>113.36499999999999</v>
      </c>
      <c r="J14" s="6">
        <v>114.474</v>
      </c>
      <c r="K14" s="6">
        <v>111.973</v>
      </c>
      <c r="L14" s="6">
        <v>118.501</v>
      </c>
      <c r="M14" s="6">
        <v>114.405</v>
      </c>
      <c r="N14" s="6">
        <f t="shared" ref="N14" si="10">+J14*1.25</f>
        <v>143.0925</v>
      </c>
      <c r="O14" s="6">
        <f t="shared" ref="O14" si="11">+K14*1.3</f>
        <v>145.56489999999999</v>
      </c>
      <c r="P14" s="6"/>
      <c r="Q14" s="6"/>
      <c r="R14" s="6"/>
      <c r="S14" s="6"/>
      <c r="T14" s="6">
        <v>90.59</v>
      </c>
      <c r="U14" s="6">
        <v>138.357</v>
      </c>
      <c r="V14" s="6">
        <v>183.34700000000001</v>
      </c>
      <c r="W14" s="5">
        <v>186.46199999999999</v>
      </c>
      <c r="X14" s="5">
        <v>254.03399999999999</v>
      </c>
      <c r="Y14" s="5">
        <v>341.14100000000002</v>
      </c>
      <c r="Z14" s="5">
        <v>387.62799999999999</v>
      </c>
      <c r="AA14" s="5">
        <v>447.286</v>
      </c>
      <c r="AB14" s="5">
        <f>SUM(C14:F14)</f>
        <v>442.678</v>
      </c>
      <c r="AC14" s="5">
        <f>SUM(G14:J14)</f>
        <v>446.46100000000001</v>
      </c>
      <c r="AD14" s="5">
        <f t="shared" si="8"/>
        <v>487.97149999999999</v>
      </c>
      <c r="AE14" s="5">
        <f>+AD14*1.3</f>
        <v>634.36294999999996</v>
      </c>
      <c r="AF14" s="5">
        <f>+AE14*1.1</f>
        <v>697.79924500000004</v>
      </c>
      <c r="AG14" s="5">
        <f>+AF14*1.05</f>
        <v>732.68920725000009</v>
      </c>
      <c r="AH14" s="5">
        <f t="shared" ref="AH14:AM14" si="12">+AG14*1.05</f>
        <v>769.32366761250012</v>
      </c>
      <c r="AI14" s="5">
        <f t="shared" si="12"/>
        <v>807.78985099312513</v>
      </c>
      <c r="AJ14" s="5">
        <f t="shared" si="12"/>
        <v>848.17934354278145</v>
      </c>
      <c r="AK14" s="5">
        <f t="shared" si="12"/>
        <v>890.58831071992051</v>
      </c>
      <c r="AL14" s="5">
        <f t="shared" si="12"/>
        <v>935.11772625591652</v>
      </c>
      <c r="AM14" s="5">
        <f t="shared" si="12"/>
        <v>981.87361256871236</v>
      </c>
    </row>
    <row r="15" spans="1:39" s="7" customFormat="1" x14ac:dyDescent="0.2">
      <c r="B15" s="7" t="s">
        <v>11</v>
      </c>
      <c r="C15" s="8">
        <f t="shared" ref="C15:N15" si="13">SUM(C12:C14)</f>
        <v>1000.12</v>
      </c>
      <c r="D15" s="8">
        <f t="shared" si="13"/>
        <v>1068.2080000000001</v>
      </c>
      <c r="E15" s="8">
        <f t="shared" si="13"/>
        <v>1005.4090000000001</v>
      </c>
      <c r="F15" s="8">
        <f t="shared" si="13"/>
        <v>1073.328</v>
      </c>
      <c r="G15" s="8">
        <f t="shared" si="13"/>
        <v>1109.181</v>
      </c>
      <c r="H15" s="8">
        <f t="shared" si="13"/>
        <v>1162.1579999999999</v>
      </c>
      <c r="I15" s="8">
        <f t="shared" si="13"/>
        <v>1217.768</v>
      </c>
      <c r="J15" s="8">
        <f t="shared" si="13"/>
        <v>1306.4039999999998</v>
      </c>
      <c r="K15" s="8">
        <f t="shared" si="13"/>
        <v>1383.335</v>
      </c>
      <c r="L15" s="8">
        <f t="shared" si="13"/>
        <v>1398.7090000000001</v>
      </c>
      <c r="M15" s="8">
        <f>SUM(M12:M14)</f>
        <v>1463.9670000000001</v>
      </c>
      <c r="N15" s="8">
        <f t="shared" si="13"/>
        <v>1633.0049999999999</v>
      </c>
      <c r="O15" s="8">
        <f t="shared" ref="O15" si="14">SUM(O12:O14)</f>
        <v>1798.3355000000001</v>
      </c>
      <c r="P15" s="8"/>
      <c r="Q15" s="8"/>
      <c r="R15" s="8"/>
      <c r="S15" s="8"/>
      <c r="T15" s="7">
        <f t="shared" ref="T15:W15" si="15">SUM(T12:T14)</f>
        <v>2575.3000000000002</v>
      </c>
      <c r="U15" s="7">
        <f t="shared" si="15"/>
        <v>3157.8809999999999</v>
      </c>
      <c r="V15" s="7">
        <f t="shared" si="15"/>
        <v>3579.8890000000001</v>
      </c>
      <c r="W15" s="7">
        <f t="shared" si="15"/>
        <v>2945.8530000000001</v>
      </c>
      <c r="X15" s="7">
        <f t="shared" ref="X15:AE15" si="16">SUM(X12:X14)</f>
        <v>3800</v>
      </c>
      <c r="Y15" s="7">
        <f t="shared" si="16"/>
        <v>4216.2579999999998</v>
      </c>
      <c r="Z15" s="7">
        <f t="shared" si="16"/>
        <v>4403.6769999999997</v>
      </c>
      <c r="AA15" s="7">
        <f t="shared" si="16"/>
        <v>4055.24</v>
      </c>
      <c r="AB15" s="7">
        <f t="shared" si="16"/>
        <v>4147.0649999999996</v>
      </c>
      <c r="AC15" s="7">
        <f t="shared" si="16"/>
        <v>4795.5110000000013</v>
      </c>
      <c r="AD15" s="7">
        <f t="shared" si="16"/>
        <v>5879.0160000000005</v>
      </c>
      <c r="AE15" s="7">
        <f t="shared" si="16"/>
        <v>7269.0440000000008</v>
      </c>
      <c r="AF15" s="7">
        <f t="shared" ref="AF15:AM15" si="17">SUM(AF12:AF14)</f>
        <v>8407.1846650000007</v>
      </c>
      <c r="AG15" s="7">
        <f t="shared" si="17"/>
        <v>9409.3085602500014</v>
      </c>
      <c r="AH15" s="7">
        <f t="shared" si="17"/>
        <v>10577.179431562501</v>
      </c>
      <c r="AI15" s="7">
        <f t="shared" si="17"/>
        <v>11473.846517098129</v>
      </c>
      <c r="AJ15" s="7">
        <f t="shared" si="17"/>
        <v>11560.217162560035</v>
      </c>
      <c r="AK15" s="7">
        <f t="shared" si="17"/>
        <v>11655.135035553427</v>
      </c>
      <c r="AL15" s="7">
        <f t="shared" si="17"/>
        <v>11758.15959320123</v>
      </c>
      <c r="AM15" s="7">
        <f t="shared" si="17"/>
        <v>11868.910605560604</v>
      </c>
    </row>
    <row r="16" spans="1:39" s="2" customFormat="1" x14ac:dyDescent="0.2">
      <c r="B16" s="5" t="s">
        <v>25</v>
      </c>
      <c r="C16" s="11">
        <v>148.50899999999999</v>
      </c>
      <c r="D16" s="11">
        <v>154.904</v>
      </c>
      <c r="E16" s="11">
        <v>157.72399999999999</v>
      </c>
      <c r="F16" s="11">
        <v>160.94300000000001</v>
      </c>
      <c r="G16" s="11">
        <v>166.798</v>
      </c>
      <c r="H16" s="11">
        <v>185.173</v>
      </c>
      <c r="I16" s="11">
        <v>190.98500000000001</v>
      </c>
      <c r="J16" s="11">
        <v>201.36099999999999</v>
      </c>
      <c r="K16" s="11">
        <v>198.572</v>
      </c>
      <c r="L16" s="11">
        <v>202.07900000000001</v>
      </c>
      <c r="M16" s="11">
        <v>202.70099999999999</v>
      </c>
      <c r="N16" s="11">
        <f>+N15-N17</f>
        <v>212.29064999999991</v>
      </c>
      <c r="O16" s="11">
        <f>+O15-O17</f>
        <v>233.78361500000005</v>
      </c>
      <c r="P16" s="11"/>
      <c r="Q16" s="11"/>
      <c r="R16" s="11"/>
      <c r="S16" s="11"/>
      <c r="T16" s="11">
        <v>292.45699999999999</v>
      </c>
      <c r="U16" s="5">
        <v>354.69400000000002</v>
      </c>
      <c r="V16" s="5">
        <v>362.63</v>
      </c>
      <c r="W16" s="5">
        <v>296.73200000000003</v>
      </c>
      <c r="X16" s="5">
        <v>403.50200000000001</v>
      </c>
      <c r="Y16" s="5">
        <v>437.87299999999999</v>
      </c>
      <c r="Z16" s="5">
        <v>483.78199999999998</v>
      </c>
      <c r="AA16" s="5">
        <v>586.55700000000002</v>
      </c>
      <c r="AB16" s="5">
        <f>SUM(C16:F16)</f>
        <v>622.08000000000004</v>
      </c>
      <c r="AC16" s="5">
        <f>SUM(G16:J16)</f>
        <v>744.31700000000001</v>
      </c>
      <c r="AD16" s="5">
        <f t="shared" si="8"/>
        <v>815.64264999999989</v>
      </c>
      <c r="AE16" s="2">
        <f>+AE15-AE17</f>
        <v>872.28528000000006</v>
      </c>
      <c r="AF16" s="2">
        <f t="shared" ref="AF16" si="18">+AF15-AF17</f>
        <v>924.79031314999975</v>
      </c>
      <c r="AG16" s="2">
        <f t="shared" ref="AG16" si="19">+AG15-AG17</f>
        <v>940.93085602499923</v>
      </c>
      <c r="AH16" s="2">
        <f t="shared" ref="AH16" si="20">+AH15-AH17</f>
        <v>1057.717943156249</v>
      </c>
      <c r="AI16" s="2">
        <f t="shared" ref="AI16" si="21">+AI15-AI17</f>
        <v>1147.3846517098118</v>
      </c>
      <c r="AJ16" s="2">
        <f t="shared" ref="AJ16" si="22">+AJ15-AJ17</f>
        <v>1156.0217162560039</v>
      </c>
      <c r="AK16" s="2">
        <f t="shared" ref="AK16" si="23">+AK15-AK17</f>
        <v>1165.513503555343</v>
      </c>
      <c r="AL16" s="2">
        <f t="shared" ref="AL16" si="24">+AL15-AL17</f>
        <v>1175.8159593201235</v>
      </c>
      <c r="AM16" s="2">
        <f t="shared" ref="AM16" si="25">+AM15-AM17</f>
        <v>1186.8910605560595</v>
      </c>
    </row>
    <row r="17" spans="2:103" s="2" customFormat="1" x14ac:dyDescent="0.2">
      <c r="B17" s="5" t="s">
        <v>24</v>
      </c>
      <c r="C17" s="11">
        <f t="shared" ref="C17:M17" si="26">+C15-C16</f>
        <v>851.61099999999999</v>
      </c>
      <c r="D17" s="11">
        <f t="shared" si="26"/>
        <v>913.30400000000009</v>
      </c>
      <c r="E17" s="11">
        <f t="shared" si="26"/>
        <v>847.68500000000017</v>
      </c>
      <c r="F17" s="11">
        <f t="shared" si="26"/>
        <v>912.38499999999999</v>
      </c>
      <c r="G17" s="11">
        <f t="shared" si="26"/>
        <v>942.38300000000004</v>
      </c>
      <c r="H17" s="11">
        <f t="shared" si="26"/>
        <v>976.9849999999999</v>
      </c>
      <c r="I17" s="11">
        <f t="shared" si="26"/>
        <v>1026.7829999999999</v>
      </c>
      <c r="J17" s="11">
        <f t="shared" si="26"/>
        <v>1105.0429999999997</v>
      </c>
      <c r="K17" s="11">
        <f t="shared" si="26"/>
        <v>1184.7629999999999</v>
      </c>
      <c r="L17" s="11">
        <f t="shared" si="26"/>
        <v>1196.6300000000001</v>
      </c>
      <c r="M17" s="11">
        <f t="shared" si="26"/>
        <v>1261.2660000000001</v>
      </c>
      <c r="N17" s="11">
        <f>+N15*0.87</f>
        <v>1420.71435</v>
      </c>
      <c r="O17" s="11">
        <f>+O15*0.87</f>
        <v>1564.5518850000001</v>
      </c>
      <c r="P17" s="11"/>
      <c r="Q17" s="11"/>
      <c r="R17" s="11"/>
      <c r="S17" s="11"/>
      <c r="T17" s="2">
        <f t="shared" ref="T17:W17" si="27">T15-T16</f>
        <v>2282.8430000000003</v>
      </c>
      <c r="U17" s="2">
        <f t="shared" si="27"/>
        <v>2803.1869999999999</v>
      </c>
      <c r="V17" s="2">
        <f t="shared" si="27"/>
        <v>3217.259</v>
      </c>
      <c r="W17" s="2">
        <f t="shared" si="27"/>
        <v>2649.1210000000001</v>
      </c>
      <c r="X17" s="2">
        <f t="shared" ref="X17:AC17" si="28">X15-X16</f>
        <v>3396.498</v>
      </c>
      <c r="Y17" s="2">
        <f t="shared" si="28"/>
        <v>3778.3849999999998</v>
      </c>
      <c r="Z17" s="2">
        <f t="shared" si="28"/>
        <v>3919.8949999999995</v>
      </c>
      <c r="AA17" s="2">
        <f t="shared" si="28"/>
        <v>3468.683</v>
      </c>
      <c r="AB17" s="2">
        <f t="shared" si="28"/>
        <v>3524.9849999999997</v>
      </c>
      <c r="AC17" s="2">
        <f t="shared" si="28"/>
        <v>4051.1940000000013</v>
      </c>
      <c r="AD17" s="2">
        <f>+AD15-AD16</f>
        <v>5063.3733500000008</v>
      </c>
      <c r="AE17" s="2">
        <f>+AE15*0.88</f>
        <v>6396.7587200000007</v>
      </c>
      <c r="AF17" s="2">
        <f>+AF15*0.89</f>
        <v>7482.3943518500009</v>
      </c>
      <c r="AG17" s="2">
        <f>+AG15*0.9</f>
        <v>8468.3777042250022</v>
      </c>
      <c r="AH17" s="2">
        <f t="shared" ref="AH17:AM17" si="29">+AH15*0.9</f>
        <v>9519.4614884062521</v>
      </c>
      <c r="AI17" s="2">
        <f t="shared" si="29"/>
        <v>10326.461865388317</v>
      </c>
      <c r="AJ17" s="2">
        <f t="shared" si="29"/>
        <v>10404.195446304031</v>
      </c>
      <c r="AK17" s="2">
        <f t="shared" si="29"/>
        <v>10489.621531998084</v>
      </c>
      <c r="AL17" s="2">
        <f t="shared" si="29"/>
        <v>10582.343633881106</v>
      </c>
      <c r="AM17" s="2">
        <f t="shared" si="29"/>
        <v>10682.019545004545</v>
      </c>
    </row>
    <row r="18" spans="2:103" s="2" customFormat="1" x14ac:dyDescent="0.2">
      <c r="B18" s="5" t="s">
        <v>26</v>
      </c>
      <c r="C18" s="11">
        <v>410.14100000000002</v>
      </c>
      <c r="D18" s="11">
        <v>426.83</v>
      </c>
      <c r="E18" s="11">
        <v>406.47500000000002</v>
      </c>
      <c r="F18" s="11">
        <v>408.86200000000002</v>
      </c>
      <c r="G18" s="11">
        <v>392.74099999999999</v>
      </c>
      <c r="H18" s="11">
        <v>426.99799999999999</v>
      </c>
      <c r="I18" s="11">
        <v>422.03100000000001</v>
      </c>
      <c r="J18" s="11">
        <v>441.47199999999998</v>
      </c>
      <c r="K18" s="11">
        <v>474.89100000000002</v>
      </c>
      <c r="L18" s="11">
        <v>462.78899999999999</v>
      </c>
      <c r="M18" s="11">
        <v>477.47500000000002</v>
      </c>
      <c r="N18" s="11">
        <f>+J18*1.1</f>
        <v>485.61920000000003</v>
      </c>
      <c r="O18" s="11">
        <f t="shared" ref="O18:O20" si="30">+K18*1.15</f>
        <v>546.12464999999997</v>
      </c>
      <c r="P18" s="11"/>
      <c r="Q18" s="11"/>
      <c r="R18" s="11"/>
      <c r="S18" s="11"/>
      <c r="T18" s="11"/>
      <c r="U18" s="5">
        <v>984.38800000000003</v>
      </c>
      <c r="V18" s="5">
        <v>1089.3409999999999</v>
      </c>
      <c r="W18" s="5">
        <v>981.90300000000002</v>
      </c>
      <c r="X18" s="5">
        <v>1244.1969999999999</v>
      </c>
      <c r="Y18" s="5">
        <v>1385.8219999999999</v>
      </c>
      <c r="Z18" s="5">
        <v>1516.1590000000001</v>
      </c>
      <c r="AA18" s="5">
        <v>1620.454</v>
      </c>
      <c r="AB18" s="5">
        <f>SUM(C18:F18)</f>
        <v>1652.308</v>
      </c>
      <c r="AC18" s="5">
        <f>SUM(G18:J18)</f>
        <v>1683.242</v>
      </c>
      <c r="AD18" s="5">
        <f t="shared" si="8"/>
        <v>1900.7742000000003</v>
      </c>
      <c r="AE18" s="2">
        <f>+AD18*1.1</f>
        <v>2090.8516200000004</v>
      </c>
      <c r="AF18" s="2">
        <f t="shared" ref="AF18:AF20" si="31">+AE18*1.1</f>
        <v>2299.9367820000007</v>
      </c>
      <c r="AG18" s="2">
        <f>+AF18*1.01</f>
        <v>2322.9361498200005</v>
      </c>
      <c r="AH18" s="2">
        <f t="shared" ref="AH18:AM18" si="32">+AG18*1.01</f>
        <v>2346.1655113182005</v>
      </c>
      <c r="AI18" s="2">
        <f t="shared" si="32"/>
        <v>2369.6271664313826</v>
      </c>
      <c r="AJ18" s="2">
        <f t="shared" si="32"/>
        <v>2393.3234380956965</v>
      </c>
      <c r="AK18" s="2">
        <f t="shared" si="32"/>
        <v>2417.2566724766534</v>
      </c>
      <c r="AL18" s="2">
        <f t="shared" si="32"/>
        <v>2441.4292392014199</v>
      </c>
      <c r="AM18" s="2">
        <f t="shared" si="32"/>
        <v>2465.8435315934344</v>
      </c>
    </row>
    <row r="19" spans="2:103" s="2" customFormat="1" x14ac:dyDescent="0.2">
      <c r="B19" s="5" t="s">
        <v>27</v>
      </c>
      <c r="C19" s="11">
        <v>209.52500000000001</v>
      </c>
      <c r="D19" s="11">
        <v>209.09200000000001</v>
      </c>
      <c r="E19" s="11">
        <v>212.04900000000001</v>
      </c>
      <c r="F19" s="11">
        <v>213.68700000000001</v>
      </c>
      <c r="G19" s="11">
        <v>215.50899999999999</v>
      </c>
      <c r="H19" s="11">
        <v>208.047</v>
      </c>
      <c r="I19" s="11">
        <v>218.66</v>
      </c>
      <c r="J19" s="11">
        <v>220.51400000000001</v>
      </c>
      <c r="K19" s="11">
        <v>237.20400000000001</v>
      </c>
      <c r="L19" s="11">
        <v>232.48400000000001</v>
      </c>
      <c r="M19" s="11">
        <v>248.45</v>
      </c>
      <c r="N19" s="11">
        <f>+J19*1.1</f>
        <v>242.56540000000004</v>
      </c>
      <c r="O19" s="11">
        <f t="shared" si="30"/>
        <v>272.78460000000001</v>
      </c>
      <c r="P19" s="11"/>
      <c r="Q19" s="11"/>
      <c r="R19" s="11"/>
      <c r="S19" s="11"/>
      <c r="T19" s="11"/>
      <c r="U19" s="5">
        <v>613.24199999999996</v>
      </c>
      <c r="V19" s="5">
        <v>662.05700000000002</v>
      </c>
      <c r="W19" s="5">
        <v>565.14099999999996</v>
      </c>
      <c r="X19" s="5">
        <v>680.33199999999999</v>
      </c>
      <c r="Y19" s="5">
        <v>738.053</v>
      </c>
      <c r="Z19" s="5">
        <v>742.82299999999998</v>
      </c>
      <c r="AA19" s="5">
        <v>826.63099999999997</v>
      </c>
      <c r="AB19" s="5">
        <f>SUM(C19:F19)</f>
        <v>844.35300000000007</v>
      </c>
      <c r="AC19" s="5">
        <f>SUM(G19:J19)</f>
        <v>862.73</v>
      </c>
      <c r="AD19" s="5">
        <f t="shared" si="8"/>
        <v>960.70339999999999</v>
      </c>
      <c r="AE19" s="2">
        <f t="shared" ref="AE19" si="33">+AD19*1.1</f>
        <v>1056.7737400000001</v>
      </c>
      <c r="AF19" s="2">
        <f t="shared" si="31"/>
        <v>1162.4511140000002</v>
      </c>
      <c r="AG19" s="2">
        <f t="shared" ref="AG19:AM19" si="34">+AF19*1.01</f>
        <v>1174.0756251400003</v>
      </c>
      <c r="AH19" s="2">
        <f t="shared" si="34"/>
        <v>1185.8163813914002</v>
      </c>
      <c r="AI19" s="2">
        <f t="shared" si="34"/>
        <v>1197.6745452053142</v>
      </c>
      <c r="AJ19" s="2">
        <f t="shared" si="34"/>
        <v>1209.6512906573673</v>
      </c>
      <c r="AK19" s="2">
        <f t="shared" si="34"/>
        <v>1221.747803563941</v>
      </c>
      <c r="AL19" s="2">
        <f t="shared" si="34"/>
        <v>1233.9652815995805</v>
      </c>
      <c r="AM19" s="2">
        <f t="shared" si="34"/>
        <v>1246.3049344155763</v>
      </c>
    </row>
    <row r="20" spans="2:103" s="2" customFormat="1" x14ac:dyDescent="0.2">
      <c r="B20" s="5" t="s">
        <v>28</v>
      </c>
      <c r="C20" s="11">
        <v>138.98400000000001</v>
      </c>
      <c r="D20" s="11">
        <v>129.13800000000001</v>
      </c>
      <c r="E20" s="11">
        <v>141.67599999999999</v>
      </c>
      <c r="F20" s="11">
        <v>133.53399999999999</v>
      </c>
      <c r="G20" s="11">
        <v>145.08099999999999</v>
      </c>
      <c r="H20" s="11">
        <v>130.208</v>
      </c>
      <c r="I20" s="11">
        <v>122.578</v>
      </c>
      <c r="J20" s="11">
        <v>134.05199999999999</v>
      </c>
      <c r="K20" s="11">
        <v>146.935</v>
      </c>
      <c r="L20" s="11">
        <v>138.596</v>
      </c>
      <c r="M20" s="11">
        <v>143.702</v>
      </c>
      <c r="N20" s="11">
        <f>+J20*1.1</f>
        <v>147.4572</v>
      </c>
      <c r="O20" s="11">
        <f t="shared" si="30"/>
        <v>168.97524999999999</v>
      </c>
      <c r="P20" s="11"/>
      <c r="Q20" s="11"/>
      <c r="R20" s="11"/>
      <c r="S20" s="11"/>
      <c r="T20" s="11"/>
      <c r="U20" s="5">
        <v>274.98200000000003</v>
      </c>
      <c r="V20" s="5">
        <v>337.291</v>
      </c>
      <c r="W20" s="5">
        <v>298.74900000000002</v>
      </c>
      <c r="X20" s="5">
        <v>383.49900000000002</v>
      </c>
      <c r="Y20" s="5">
        <v>414.60500000000002</v>
      </c>
      <c r="Z20" s="5">
        <v>434.98200000000003</v>
      </c>
      <c r="AA20" s="5">
        <v>520.12400000000002</v>
      </c>
      <c r="AB20" s="5">
        <f>SUM(C20:F20)</f>
        <v>543.33199999999999</v>
      </c>
      <c r="AC20" s="5">
        <f>SUM(G20:J20)</f>
        <v>531.91899999999998</v>
      </c>
      <c r="AD20" s="5">
        <f t="shared" si="8"/>
        <v>576.6902</v>
      </c>
      <c r="AE20" s="2">
        <f t="shared" ref="AE20" si="35">+AD20*1.1</f>
        <v>634.35922000000005</v>
      </c>
      <c r="AF20" s="2">
        <f t="shared" si="31"/>
        <v>697.79514200000006</v>
      </c>
      <c r="AG20" s="2">
        <f t="shared" ref="AG20:AM20" si="36">+AF20*1.01</f>
        <v>704.77309342000001</v>
      </c>
      <c r="AH20" s="2">
        <f t="shared" si="36"/>
        <v>711.8208243542</v>
      </c>
      <c r="AI20" s="2">
        <f t="shared" si="36"/>
        <v>718.93903259774197</v>
      </c>
      <c r="AJ20" s="2">
        <f t="shared" si="36"/>
        <v>726.12842292371943</v>
      </c>
      <c r="AK20" s="2">
        <f t="shared" si="36"/>
        <v>733.38970715295659</v>
      </c>
      <c r="AL20" s="2">
        <f t="shared" si="36"/>
        <v>740.72360422448617</v>
      </c>
      <c r="AM20" s="2">
        <f t="shared" si="36"/>
        <v>748.13084026673107</v>
      </c>
    </row>
    <row r="21" spans="2:103" s="2" customFormat="1" x14ac:dyDescent="0.2">
      <c r="B21" s="5" t="s">
        <v>29</v>
      </c>
      <c r="C21" s="11">
        <f t="shared" ref="C21:L21" si="37">SUM(C18:C20)</f>
        <v>758.65000000000009</v>
      </c>
      <c r="D21" s="11">
        <f t="shared" si="37"/>
        <v>765.06000000000006</v>
      </c>
      <c r="E21" s="11">
        <f t="shared" si="37"/>
        <v>760.2</v>
      </c>
      <c r="F21" s="11">
        <f t="shared" si="37"/>
        <v>756.08299999999997</v>
      </c>
      <c r="G21" s="11">
        <f t="shared" si="37"/>
        <v>753.33100000000002</v>
      </c>
      <c r="H21" s="11">
        <f t="shared" si="37"/>
        <v>765.25299999999993</v>
      </c>
      <c r="I21" s="11">
        <f t="shared" si="37"/>
        <v>763.26900000000001</v>
      </c>
      <c r="J21" s="11">
        <f t="shared" si="37"/>
        <v>796.03800000000001</v>
      </c>
      <c r="K21" s="11">
        <f t="shared" si="37"/>
        <v>859.03</v>
      </c>
      <c r="L21" s="11">
        <f t="shared" si="37"/>
        <v>833.86900000000003</v>
      </c>
      <c r="M21" s="11">
        <f t="shared" ref="M21:O21" si="38">SUM(M18:M20)</f>
        <v>869.62699999999995</v>
      </c>
      <c r="N21" s="11">
        <f>SUM(N18:N20)</f>
        <v>875.6418000000001</v>
      </c>
      <c r="O21" s="11">
        <f t="shared" si="38"/>
        <v>987.88449999999989</v>
      </c>
      <c r="P21" s="11"/>
      <c r="Q21" s="11"/>
      <c r="R21" s="11"/>
      <c r="S21" s="11"/>
      <c r="T21" s="11"/>
      <c r="U21" s="2">
        <f t="shared" ref="U21:W21" si="39">SUM(U18:U20)</f>
        <v>1872.6120000000001</v>
      </c>
      <c r="V21" s="2">
        <f t="shared" si="39"/>
        <v>2088.6889999999999</v>
      </c>
      <c r="W21" s="2">
        <f t="shared" si="39"/>
        <v>1845.7929999999999</v>
      </c>
      <c r="X21" s="2">
        <f t="shared" ref="X21:AC21" si="40">SUM(X18:X20)</f>
        <v>2308.0280000000002</v>
      </c>
      <c r="Y21" s="2">
        <f t="shared" si="40"/>
        <v>2538.48</v>
      </c>
      <c r="Z21" s="2">
        <f t="shared" si="40"/>
        <v>2693.9639999999999</v>
      </c>
      <c r="AA21" s="2">
        <f t="shared" si="40"/>
        <v>2967.2089999999998</v>
      </c>
      <c r="AB21" s="2">
        <f t="shared" si="40"/>
        <v>3039.9929999999999</v>
      </c>
      <c r="AC21" s="2">
        <f t="shared" si="40"/>
        <v>3077.8909999999996</v>
      </c>
      <c r="AD21" s="2">
        <f t="shared" ref="AD21:AE21" si="41">SUM(AD18:AD20)</f>
        <v>3438.1678000000002</v>
      </c>
      <c r="AE21" s="2">
        <f t="shared" si="41"/>
        <v>3781.9845800000003</v>
      </c>
      <c r="AF21" s="2">
        <f t="shared" ref="AF21:AM21" si="42">SUM(AF18:AF20)</f>
        <v>4160.183038000001</v>
      </c>
      <c r="AG21" s="2">
        <f t="shared" si="42"/>
        <v>4201.7848683800012</v>
      </c>
      <c r="AH21" s="2">
        <f t="shared" si="42"/>
        <v>4243.8027170638006</v>
      </c>
      <c r="AI21" s="2">
        <f t="shared" si="42"/>
        <v>4286.2407442344393</v>
      </c>
      <c r="AJ21" s="2">
        <f t="shared" si="42"/>
        <v>4329.1031516767835</v>
      </c>
      <c r="AK21" s="2">
        <f t="shared" si="42"/>
        <v>4372.3941831935508</v>
      </c>
      <c r="AL21" s="2">
        <f t="shared" si="42"/>
        <v>4416.1181250254867</v>
      </c>
      <c r="AM21" s="2">
        <f t="shared" si="42"/>
        <v>4460.2793062757419</v>
      </c>
    </row>
    <row r="22" spans="2:103" s="2" customFormat="1" x14ac:dyDescent="0.2">
      <c r="B22" s="5" t="s">
        <v>30</v>
      </c>
      <c r="C22" s="11">
        <f t="shared" ref="C22:L22" si="43">C17-C21</f>
        <v>92.960999999999899</v>
      </c>
      <c r="D22" s="11">
        <f t="shared" si="43"/>
        <v>148.24400000000003</v>
      </c>
      <c r="E22" s="11">
        <f t="shared" si="43"/>
        <v>87.485000000000127</v>
      </c>
      <c r="F22" s="11">
        <f t="shared" si="43"/>
        <v>156.30200000000002</v>
      </c>
      <c r="G22" s="11">
        <f t="shared" si="43"/>
        <v>189.05200000000002</v>
      </c>
      <c r="H22" s="11">
        <f t="shared" si="43"/>
        <v>211.73199999999997</v>
      </c>
      <c r="I22" s="11">
        <f t="shared" si="43"/>
        <v>263.5139999999999</v>
      </c>
      <c r="J22" s="11">
        <f t="shared" si="43"/>
        <v>309.00499999999965</v>
      </c>
      <c r="K22" s="11">
        <f t="shared" si="43"/>
        <v>325.73299999999995</v>
      </c>
      <c r="L22" s="11">
        <f t="shared" si="43"/>
        <v>362.76100000000008</v>
      </c>
      <c r="M22" s="11">
        <f t="shared" ref="M22:O22" si="44">M17-M21</f>
        <v>391.63900000000012</v>
      </c>
      <c r="N22" s="11">
        <f>N17-N21</f>
        <v>545.07254999999986</v>
      </c>
      <c r="O22" s="11">
        <f t="shared" si="44"/>
        <v>576.66738500000019</v>
      </c>
      <c r="P22" s="11"/>
      <c r="Q22" s="11"/>
      <c r="R22" s="11"/>
      <c r="S22" s="11"/>
      <c r="T22" s="11"/>
      <c r="U22" s="7">
        <f t="shared" ref="U22:W22" si="45">U17-U21</f>
        <v>930.57499999999982</v>
      </c>
      <c r="V22" s="7">
        <f t="shared" si="45"/>
        <v>1128.5700000000002</v>
      </c>
      <c r="W22" s="7">
        <f t="shared" si="45"/>
        <v>803.3280000000002</v>
      </c>
      <c r="X22" s="7">
        <f t="shared" ref="X22:AC22" si="46">X17-X21</f>
        <v>1088.4699999999998</v>
      </c>
      <c r="Y22" s="7">
        <f t="shared" si="46"/>
        <v>1239.9049999999997</v>
      </c>
      <c r="Z22" s="7">
        <f t="shared" si="46"/>
        <v>1225.9309999999996</v>
      </c>
      <c r="AA22" s="7">
        <f t="shared" si="46"/>
        <v>501.47400000000016</v>
      </c>
      <c r="AB22" s="7">
        <f t="shared" si="46"/>
        <v>484.99199999999973</v>
      </c>
      <c r="AC22" s="7">
        <f t="shared" si="46"/>
        <v>973.3030000000017</v>
      </c>
      <c r="AD22" s="7">
        <f t="shared" ref="AD22:AE22" si="47">AD17-AD21</f>
        <v>1625.2055500000006</v>
      </c>
      <c r="AE22" s="7">
        <f t="shared" si="47"/>
        <v>2614.7741400000004</v>
      </c>
      <c r="AF22" s="7">
        <f t="shared" ref="AF22:AM22" si="48">AF17-AF21</f>
        <v>3322.2113138499999</v>
      </c>
      <c r="AG22" s="7">
        <f t="shared" si="48"/>
        <v>4266.592835845001</v>
      </c>
      <c r="AH22" s="7">
        <f t="shared" si="48"/>
        <v>5275.6587713424515</v>
      </c>
      <c r="AI22" s="7">
        <f t="shared" si="48"/>
        <v>6040.2211211538779</v>
      </c>
      <c r="AJ22" s="7">
        <f t="shared" si="48"/>
        <v>6075.0922946272476</v>
      </c>
      <c r="AK22" s="7">
        <f t="shared" si="48"/>
        <v>6117.227348804533</v>
      </c>
      <c r="AL22" s="7">
        <f t="shared" si="48"/>
        <v>6166.2255088556194</v>
      </c>
      <c r="AM22" s="7">
        <f t="shared" si="48"/>
        <v>6221.740238728803</v>
      </c>
    </row>
    <row r="23" spans="2:103" s="2" customFormat="1" x14ac:dyDescent="0.2">
      <c r="B23" s="2" t="s">
        <v>35</v>
      </c>
      <c r="C23" s="11">
        <v>-13.853999999999999</v>
      </c>
      <c r="D23" s="11">
        <v>-13.987</v>
      </c>
      <c r="E23" s="11">
        <v>-11.238</v>
      </c>
      <c r="F23" s="11">
        <v>-12.23</v>
      </c>
      <c r="G23" s="11">
        <v>-9.7769999999999992</v>
      </c>
      <c r="H23" s="11">
        <v>-12.643000000000001</v>
      </c>
      <c r="I23" s="11">
        <v>-13.4</v>
      </c>
      <c r="J23" s="11">
        <v>6.5060000000000002</v>
      </c>
      <c r="K23" s="11">
        <v>-15.451000000000001</v>
      </c>
      <c r="L23" s="11">
        <v>-14.409000000000001</v>
      </c>
      <c r="M23" s="11">
        <v>-13.023999999999999</v>
      </c>
      <c r="N23" s="11">
        <v>0</v>
      </c>
      <c r="O23" s="11">
        <f>+N23</f>
        <v>0</v>
      </c>
      <c r="P23" s="11"/>
      <c r="Q23" s="11"/>
      <c r="R23" s="11"/>
      <c r="S23" s="11"/>
      <c r="T23" s="11"/>
      <c r="U23" s="5">
        <v>89.605000000000004</v>
      </c>
      <c r="V23" s="5">
        <v>50.237000000000002</v>
      </c>
      <c r="W23" s="5">
        <v>11.007</v>
      </c>
      <c r="X23" s="5">
        <v>-49.923000000000002</v>
      </c>
      <c r="Y23" s="5">
        <v>-64.069000000000003</v>
      </c>
      <c r="Z23" s="5">
        <v>-61.396999999999998</v>
      </c>
      <c r="AA23" s="5">
        <v>-66.581999999999994</v>
      </c>
      <c r="AB23" s="5">
        <f>SUM(C23:F23)</f>
        <v>-51.308999999999997</v>
      </c>
      <c r="AC23" s="5">
        <f>SUM(G23:J23)</f>
        <v>-29.314</v>
      </c>
      <c r="AD23" s="5">
        <f t="shared" ref="AD23:AD25" si="49">SUM(K23:N23)</f>
        <v>-42.884</v>
      </c>
      <c r="AE23" s="2">
        <f>+AD23</f>
        <v>-42.884</v>
      </c>
      <c r="AF23" s="2">
        <f>+AE40*$AP$38</f>
        <v>102.13344602850002</v>
      </c>
      <c r="AG23" s="2">
        <f t="shared" ref="AG23:AM23" si="50">+AF40*$AP$38</f>
        <v>182.26311340965691</v>
      </c>
      <c r="AH23" s="2">
        <f t="shared" si="50"/>
        <v>286.36634262221594</v>
      </c>
      <c r="AI23" s="2">
        <f t="shared" si="50"/>
        <v>416.51773028898907</v>
      </c>
      <c r="AJ23" s="2">
        <f t="shared" si="50"/>
        <v>567.60541941275221</v>
      </c>
      <c r="AK23" s="2">
        <f t="shared" si="50"/>
        <v>723.0445459212882</v>
      </c>
      <c r="AL23" s="2">
        <f t="shared" si="50"/>
        <v>883.10690825787242</v>
      </c>
      <c r="AM23" s="2">
        <f t="shared" si="50"/>
        <v>1048.0612868183282</v>
      </c>
    </row>
    <row r="24" spans="2:103" s="2" customFormat="1" x14ac:dyDescent="0.2">
      <c r="B24" s="2" t="s">
        <v>34</v>
      </c>
      <c r="C24" s="11">
        <f t="shared" ref="C24:O24" si="51">+C22+C23</f>
        <v>79.1069999999999</v>
      </c>
      <c r="D24" s="11">
        <f t="shared" si="51"/>
        <v>134.25700000000003</v>
      </c>
      <c r="E24" s="11">
        <f t="shared" si="51"/>
        <v>76.247000000000128</v>
      </c>
      <c r="F24" s="11">
        <f t="shared" si="51"/>
        <v>144.07200000000003</v>
      </c>
      <c r="G24" s="11">
        <f t="shared" si="51"/>
        <v>179.27500000000003</v>
      </c>
      <c r="H24" s="11">
        <f t="shared" si="51"/>
        <v>199.08899999999997</v>
      </c>
      <c r="I24" s="11">
        <f t="shared" si="51"/>
        <v>250.11399999999989</v>
      </c>
      <c r="J24" s="11">
        <f t="shared" si="51"/>
        <v>315.51099999999963</v>
      </c>
      <c r="K24" s="11">
        <f t="shared" si="51"/>
        <v>310.28199999999993</v>
      </c>
      <c r="L24" s="11">
        <f t="shared" si="51"/>
        <v>348.35200000000009</v>
      </c>
      <c r="M24" s="11">
        <f t="shared" si="51"/>
        <v>378.61500000000012</v>
      </c>
      <c r="N24" s="11">
        <f>+N22+N23</f>
        <v>545.07254999999986</v>
      </c>
      <c r="O24" s="11">
        <f t="shared" si="51"/>
        <v>576.66738500000019</v>
      </c>
      <c r="P24" s="11"/>
      <c r="Q24" s="11"/>
      <c r="R24" s="11"/>
      <c r="S24" s="11"/>
      <c r="T24" s="11"/>
      <c r="U24" s="2">
        <f t="shared" ref="U24:W24" si="52">U22+U23</f>
        <v>1020.1799999999998</v>
      </c>
      <c r="V24" s="2">
        <f t="shared" si="52"/>
        <v>1178.8070000000002</v>
      </c>
      <c r="W24" s="2">
        <f t="shared" si="52"/>
        <v>814.33500000000015</v>
      </c>
      <c r="X24" s="2">
        <f t="shared" ref="X24:AF24" si="53">X22+X23</f>
        <v>1038.5469999999998</v>
      </c>
      <c r="Y24" s="2">
        <f t="shared" si="53"/>
        <v>1175.8359999999998</v>
      </c>
      <c r="Z24" s="2">
        <f t="shared" si="53"/>
        <v>1164.5339999999997</v>
      </c>
      <c r="AA24" s="2">
        <f t="shared" si="53"/>
        <v>434.89200000000017</v>
      </c>
      <c r="AB24" s="2">
        <f t="shared" si="53"/>
        <v>433.68299999999977</v>
      </c>
      <c r="AC24" s="2">
        <f t="shared" si="53"/>
        <v>943.98900000000174</v>
      </c>
      <c r="AD24" s="2">
        <f t="shared" si="53"/>
        <v>1582.3215500000006</v>
      </c>
      <c r="AE24" s="2">
        <f t="shared" si="53"/>
        <v>2571.8901400000004</v>
      </c>
      <c r="AF24" s="2">
        <f t="shared" si="53"/>
        <v>3424.3447598785001</v>
      </c>
      <c r="AG24" s="2">
        <f t="shared" ref="AG24:AM24" si="54">AG22+AG23</f>
        <v>4448.8559492546583</v>
      </c>
      <c r="AH24" s="2">
        <f t="shared" si="54"/>
        <v>5562.0251139646671</v>
      </c>
      <c r="AI24" s="2">
        <f t="shared" si="54"/>
        <v>6456.7388514428667</v>
      </c>
      <c r="AJ24" s="2">
        <f t="shared" si="54"/>
        <v>6642.6977140399995</v>
      </c>
      <c r="AK24" s="2">
        <f t="shared" si="54"/>
        <v>6840.2718947258209</v>
      </c>
      <c r="AL24" s="2">
        <f t="shared" si="54"/>
        <v>7049.3324171134918</v>
      </c>
      <c r="AM24" s="2">
        <f t="shared" si="54"/>
        <v>7269.801525547131</v>
      </c>
    </row>
    <row r="25" spans="2:103" s="2" customFormat="1" x14ac:dyDescent="0.2">
      <c r="B25" s="2" t="s">
        <v>33</v>
      </c>
      <c r="C25" s="11">
        <v>17.846</v>
      </c>
      <c r="D25" s="11">
        <v>32.744</v>
      </c>
      <c r="E25" s="11">
        <v>18.251999999999999</v>
      </c>
      <c r="F25" s="11">
        <v>24.138999999999999</v>
      </c>
      <c r="G25" s="11">
        <v>78.36</v>
      </c>
      <c r="H25" s="11">
        <v>33.481000000000002</v>
      </c>
      <c r="I25" s="11">
        <v>58.154000000000003</v>
      </c>
      <c r="J25" s="11">
        <v>74.234999999999999</v>
      </c>
      <c r="K25" s="11">
        <v>38</v>
      </c>
      <c r="L25" s="11">
        <v>85.756</v>
      </c>
      <c r="M25" s="11">
        <v>85.513000000000005</v>
      </c>
      <c r="N25" s="11">
        <f>+N24*0.21</f>
        <v>114.46523549999996</v>
      </c>
      <c r="O25" s="11">
        <f t="shared" ref="O25" si="55">+O24*0.23</f>
        <v>132.63349855000004</v>
      </c>
      <c r="P25" s="11"/>
      <c r="Q25" s="11"/>
      <c r="R25" s="11"/>
      <c r="S25" s="11"/>
      <c r="T25" s="11"/>
      <c r="U25" s="5">
        <v>223.38300000000001</v>
      </c>
      <c r="V25" s="5">
        <v>206.69399999999999</v>
      </c>
      <c r="W25" s="5">
        <v>315.012</v>
      </c>
      <c r="X25" s="5">
        <v>168.471</v>
      </c>
      <c r="Y25" s="5">
        <v>202.38300000000001</v>
      </c>
      <c r="Z25" s="5">
        <v>286.01900000000001</v>
      </c>
      <c r="AA25" s="5">
        <v>66.156000000000006</v>
      </c>
      <c r="AB25" s="5">
        <f>SUM(C25:F25)</f>
        <v>92.980999999999995</v>
      </c>
      <c r="AC25" s="5">
        <f>SUM(G25:J25)</f>
        <v>244.23000000000002</v>
      </c>
      <c r="AD25" s="5">
        <f t="shared" si="49"/>
        <v>323.73423549999995</v>
      </c>
      <c r="AE25" s="2">
        <f>+AE24*0.22</f>
        <v>565.81583080000007</v>
      </c>
      <c r="AF25" s="2">
        <f t="shared" ref="AF25" si="56">+AF24*0.22</f>
        <v>753.35584717327004</v>
      </c>
      <c r="AG25" s="2">
        <f t="shared" ref="AG25" si="57">+AG24*0.22</f>
        <v>978.74830883602488</v>
      </c>
      <c r="AH25" s="2">
        <f t="shared" ref="AH25" si="58">+AH24*0.22</f>
        <v>1223.6455250722267</v>
      </c>
      <c r="AI25" s="2">
        <f t="shared" ref="AI25" si="59">+AI24*0.22</f>
        <v>1420.4825473174308</v>
      </c>
      <c r="AJ25" s="2">
        <f t="shared" ref="AJ25" si="60">+AJ24*0.22</f>
        <v>1461.3934970887999</v>
      </c>
      <c r="AK25" s="2">
        <f t="shared" ref="AK25" si="61">+AK24*0.22</f>
        <v>1504.8598168396807</v>
      </c>
      <c r="AL25" s="2">
        <f t="shared" ref="AL25" si="62">+AL24*0.22</f>
        <v>1550.8531317649681</v>
      </c>
      <c r="AM25" s="2">
        <f t="shared" ref="AM25" si="63">+AM24*0.22</f>
        <v>1599.3563356203688</v>
      </c>
    </row>
    <row r="26" spans="2:103" s="2" customFormat="1" x14ac:dyDescent="0.2">
      <c r="B26" s="2" t="s">
        <v>32</v>
      </c>
      <c r="C26" s="11">
        <f t="shared" ref="C26:O26" si="64">+C24-C25</f>
        <v>61.260999999999896</v>
      </c>
      <c r="D26" s="11">
        <f t="shared" si="64"/>
        <v>101.51300000000003</v>
      </c>
      <c r="E26" s="11">
        <f t="shared" si="64"/>
        <v>57.995000000000132</v>
      </c>
      <c r="F26" s="11">
        <f t="shared" si="64"/>
        <v>119.93300000000004</v>
      </c>
      <c r="G26" s="11">
        <f t="shared" si="64"/>
        <v>100.91500000000003</v>
      </c>
      <c r="H26" s="11">
        <f t="shared" si="64"/>
        <v>165.60799999999998</v>
      </c>
      <c r="I26" s="11">
        <f t="shared" si="64"/>
        <v>191.95999999999989</v>
      </c>
      <c r="J26" s="11">
        <f t="shared" si="64"/>
        <v>241.27599999999961</v>
      </c>
      <c r="K26" s="11">
        <f t="shared" si="64"/>
        <v>272.28199999999993</v>
      </c>
      <c r="L26" s="11">
        <f t="shared" si="64"/>
        <v>262.59600000000012</v>
      </c>
      <c r="M26" s="11">
        <f t="shared" si="64"/>
        <v>293.10200000000009</v>
      </c>
      <c r="N26" s="11">
        <f>+N24-N25</f>
        <v>430.60731449999992</v>
      </c>
      <c r="O26" s="11">
        <f t="shared" si="64"/>
        <v>444.03388645000018</v>
      </c>
      <c r="P26" s="11"/>
      <c r="Q26" s="11"/>
      <c r="R26" s="11"/>
      <c r="S26" s="11"/>
      <c r="T26" s="11"/>
      <c r="U26" s="5">
        <f t="shared" ref="U26:W26" si="65">U24-U25</f>
        <v>796.7969999999998</v>
      </c>
      <c r="V26" s="5">
        <f t="shared" si="65"/>
        <v>972.11300000000028</v>
      </c>
      <c r="W26" s="5">
        <f t="shared" si="65"/>
        <v>499.32300000000015</v>
      </c>
      <c r="X26" s="5">
        <f t="shared" ref="X26:AD26" si="66">X24-X25</f>
        <v>870.07599999999979</v>
      </c>
      <c r="Y26" s="5">
        <f t="shared" si="66"/>
        <v>973.45299999999975</v>
      </c>
      <c r="Z26" s="5">
        <f t="shared" si="66"/>
        <v>878.51499999999965</v>
      </c>
      <c r="AA26" s="2">
        <f t="shared" si="66"/>
        <v>368.73600000000016</v>
      </c>
      <c r="AB26" s="2">
        <f t="shared" si="66"/>
        <v>340.70199999999977</v>
      </c>
      <c r="AC26" s="2">
        <f t="shared" si="66"/>
        <v>699.75900000000172</v>
      </c>
      <c r="AD26" s="2">
        <f t="shared" si="66"/>
        <v>1258.5873145000005</v>
      </c>
      <c r="AE26" s="2">
        <f t="shared" ref="AE26:AF26" si="67">AE24-AE25</f>
        <v>2006.0743092000002</v>
      </c>
      <c r="AF26" s="2">
        <f t="shared" si="67"/>
        <v>2670.9889127052302</v>
      </c>
      <c r="AG26" s="2">
        <f t="shared" ref="AG26:AM26" si="68">AG24-AG25</f>
        <v>3470.1076404186333</v>
      </c>
      <c r="AH26" s="2">
        <f t="shared" si="68"/>
        <v>4338.3795888924406</v>
      </c>
      <c r="AI26" s="2">
        <f t="shared" si="68"/>
        <v>5036.2563041254361</v>
      </c>
      <c r="AJ26" s="2">
        <f t="shared" si="68"/>
        <v>5181.3042169511991</v>
      </c>
      <c r="AK26" s="2">
        <f t="shared" si="68"/>
        <v>5335.4120778861397</v>
      </c>
      <c r="AL26" s="2">
        <f t="shared" si="68"/>
        <v>5498.4792853485233</v>
      </c>
      <c r="AM26" s="2">
        <f t="shared" si="68"/>
        <v>5670.4451899267624</v>
      </c>
      <c r="AN26" s="2">
        <f>+AM26*(1+$AP$36)</f>
        <v>5727.1496418260303</v>
      </c>
      <c r="AO26" s="2">
        <f t="shared" ref="AO26:CY26" si="69">+AN26*(1+$AP$36)</f>
        <v>5784.4211382442909</v>
      </c>
      <c r="AP26" s="2">
        <f t="shared" si="69"/>
        <v>5842.265349626734</v>
      </c>
      <c r="AQ26" s="2">
        <f t="shared" si="69"/>
        <v>5900.6880031230012</v>
      </c>
      <c r="AR26" s="2">
        <f t="shared" si="69"/>
        <v>5959.6948831542313</v>
      </c>
      <c r="AS26" s="2">
        <f t="shared" si="69"/>
        <v>6019.2918319857736</v>
      </c>
      <c r="AT26" s="2">
        <f t="shared" si="69"/>
        <v>6079.4847503056317</v>
      </c>
      <c r="AU26" s="2">
        <f t="shared" si="69"/>
        <v>6140.2795978086879</v>
      </c>
      <c r="AV26" s="2">
        <f t="shared" si="69"/>
        <v>6201.6823937867748</v>
      </c>
      <c r="AW26" s="2">
        <f t="shared" si="69"/>
        <v>6263.6992177246429</v>
      </c>
      <c r="AX26" s="2">
        <f t="shared" si="69"/>
        <v>6326.3362099018896</v>
      </c>
      <c r="AY26" s="2">
        <f t="shared" si="69"/>
        <v>6389.5995720009087</v>
      </c>
      <c r="AZ26" s="2">
        <f t="shared" si="69"/>
        <v>6453.4955677209182</v>
      </c>
      <c r="BA26" s="2">
        <f t="shared" si="69"/>
        <v>6518.0305233981271</v>
      </c>
      <c r="BB26" s="2">
        <f t="shared" si="69"/>
        <v>6583.2108286321081</v>
      </c>
      <c r="BC26" s="2">
        <f t="shared" si="69"/>
        <v>6649.0429369184294</v>
      </c>
      <c r="BD26" s="2">
        <f t="shared" si="69"/>
        <v>6715.5333662876137</v>
      </c>
      <c r="BE26" s="2">
        <f t="shared" si="69"/>
        <v>6782.6886999504895</v>
      </c>
      <c r="BF26" s="2">
        <f t="shared" si="69"/>
        <v>6850.5155869499949</v>
      </c>
      <c r="BG26" s="2">
        <f t="shared" si="69"/>
        <v>6919.0207428194954</v>
      </c>
      <c r="BH26" s="2">
        <f t="shared" si="69"/>
        <v>6988.2109502476906</v>
      </c>
      <c r="BI26" s="2">
        <f t="shared" si="69"/>
        <v>7058.0930597501674</v>
      </c>
      <c r="BJ26" s="2">
        <f t="shared" si="69"/>
        <v>7128.6739903476691</v>
      </c>
      <c r="BK26" s="2">
        <f t="shared" si="69"/>
        <v>7199.9607302511458</v>
      </c>
      <c r="BL26" s="2">
        <f t="shared" si="69"/>
        <v>7271.9603375536572</v>
      </c>
      <c r="BM26" s="2">
        <f t="shared" si="69"/>
        <v>7344.6799409291934</v>
      </c>
      <c r="BN26" s="2">
        <f t="shared" si="69"/>
        <v>7418.1267403384854</v>
      </c>
      <c r="BO26" s="2">
        <f t="shared" si="69"/>
        <v>7492.3080077418699</v>
      </c>
      <c r="BP26" s="2">
        <f t="shared" si="69"/>
        <v>7567.2310878192884</v>
      </c>
      <c r="BQ26" s="2">
        <f t="shared" si="69"/>
        <v>7642.903398697481</v>
      </c>
      <c r="BR26" s="2">
        <f t="shared" si="69"/>
        <v>7719.3324326844559</v>
      </c>
      <c r="BS26" s="2">
        <f t="shared" si="69"/>
        <v>7796.5257570113008</v>
      </c>
      <c r="BT26" s="2">
        <f t="shared" si="69"/>
        <v>7874.4910145814138</v>
      </c>
      <c r="BU26" s="2">
        <f t="shared" si="69"/>
        <v>7953.2359247272279</v>
      </c>
      <c r="BV26" s="2">
        <f t="shared" si="69"/>
        <v>8032.7682839745003</v>
      </c>
      <c r="BW26" s="2">
        <f t="shared" si="69"/>
        <v>8113.095966814245</v>
      </c>
      <c r="BX26" s="2">
        <f t="shared" si="69"/>
        <v>8194.2269264823881</v>
      </c>
      <c r="BY26" s="2">
        <f t="shared" si="69"/>
        <v>8276.1691957472121</v>
      </c>
      <c r="BZ26" s="2">
        <f t="shared" si="69"/>
        <v>8358.9308877046842</v>
      </c>
      <c r="CA26" s="2">
        <f t="shared" si="69"/>
        <v>8442.5201965817305</v>
      </c>
      <c r="CB26" s="2">
        <f t="shared" si="69"/>
        <v>8526.9453985475484</v>
      </c>
      <c r="CC26" s="2">
        <f t="shared" si="69"/>
        <v>8612.2148525330231</v>
      </c>
      <c r="CD26" s="2">
        <f t="shared" si="69"/>
        <v>8698.3370010583531</v>
      </c>
      <c r="CE26" s="2">
        <f t="shared" si="69"/>
        <v>8785.3203710689359</v>
      </c>
      <c r="CF26" s="2">
        <f t="shared" si="69"/>
        <v>8873.1735747796247</v>
      </c>
      <c r="CG26" s="2">
        <f t="shared" si="69"/>
        <v>8961.9053105274215</v>
      </c>
      <c r="CH26" s="2">
        <f t="shared" si="69"/>
        <v>9051.5243636326959</v>
      </c>
      <c r="CI26" s="2">
        <f t="shared" si="69"/>
        <v>9142.0396072690237</v>
      </c>
      <c r="CJ26" s="2">
        <f t="shared" si="69"/>
        <v>9233.4600033417137</v>
      </c>
      <c r="CK26" s="2">
        <f t="shared" si="69"/>
        <v>9325.7946033751305</v>
      </c>
      <c r="CL26" s="2">
        <f t="shared" si="69"/>
        <v>9419.0525494088815</v>
      </c>
      <c r="CM26" s="2">
        <f t="shared" si="69"/>
        <v>9513.24307490297</v>
      </c>
      <c r="CN26" s="2">
        <f t="shared" si="69"/>
        <v>9608.3755056520004</v>
      </c>
      <c r="CO26" s="2">
        <f t="shared" si="69"/>
        <v>9704.4592607085197</v>
      </c>
      <c r="CP26" s="2">
        <f t="shared" si="69"/>
        <v>9801.5038533156057</v>
      </c>
      <c r="CQ26" s="2">
        <f t="shared" si="69"/>
        <v>9899.518891848762</v>
      </c>
      <c r="CR26" s="2">
        <f t="shared" si="69"/>
        <v>9998.5140807672506</v>
      </c>
      <c r="CS26" s="2">
        <f t="shared" si="69"/>
        <v>10098.499221574923</v>
      </c>
      <c r="CT26" s="2">
        <f t="shared" si="69"/>
        <v>10199.484213790673</v>
      </c>
      <c r="CU26" s="2">
        <f t="shared" si="69"/>
        <v>10301.479055928579</v>
      </c>
      <c r="CV26" s="2">
        <f t="shared" si="69"/>
        <v>10404.493846487865</v>
      </c>
      <c r="CW26" s="2">
        <f t="shared" si="69"/>
        <v>10508.538784952743</v>
      </c>
      <c r="CX26" s="2">
        <f t="shared" si="69"/>
        <v>10613.624172802271</v>
      </c>
      <c r="CY26" s="2">
        <f t="shared" si="69"/>
        <v>10719.760414530294</v>
      </c>
    </row>
    <row r="27" spans="2:103" x14ac:dyDescent="0.2">
      <c r="B27" t="s">
        <v>31</v>
      </c>
      <c r="C27" s="12">
        <f t="shared" ref="C27:O27" si="70">C26/C28</f>
        <v>0.12051186213951273</v>
      </c>
      <c r="D27" s="12">
        <f t="shared" si="70"/>
        <v>0.20034656503916626</v>
      </c>
      <c r="E27" s="12">
        <f t="shared" si="70"/>
        <v>0.11420587580812573</v>
      </c>
      <c r="F27" s="12">
        <f t="shared" si="70"/>
        <v>0.23634400168686243</v>
      </c>
      <c r="G27" s="12">
        <f t="shared" si="70"/>
        <v>0.19883710391191789</v>
      </c>
      <c r="H27" s="12">
        <f t="shared" si="70"/>
        <v>0.32759930368729223</v>
      </c>
      <c r="I27" s="12">
        <f t="shared" si="70"/>
        <v>0.37951084302572685</v>
      </c>
      <c r="J27" s="12">
        <f t="shared" si="70"/>
        <v>0.4768187315715825</v>
      </c>
      <c r="K27" s="12">
        <f t="shared" si="70"/>
        <v>0.53845149858802854</v>
      </c>
      <c r="L27" s="12">
        <f t="shared" si="70"/>
        <v>0.5202753974936849</v>
      </c>
      <c r="M27" s="12">
        <f t="shared" si="70"/>
        <v>0.58193376999577118</v>
      </c>
      <c r="N27" s="12">
        <f>N26/N28</f>
        <v>0.85494107141793507</v>
      </c>
      <c r="O27" s="12">
        <f t="shared" si="70"/>
        <v>0.8815986023559127</v>
      </c>
      <c r="U27" s="1">
        <f t="shared" ref="U27:W27" si="71">U26/U28</f>
        <v>1.3307118700680554</v>
      </c>
      <c r="V27" s="1">
        <f t="shared" si="71"/>
        <v>1.7721405224290092</v>
      </c>
      <c r="W27" s="1">
        <f t="shared" si="71"/>
        <v>0.94103578899756912</v>
      </c>
      <c r="X27" s="1">
        <f t="shared" ref="X27:AD27" si="72">X26/X28</f>
        <v>1.6546905428432324</v>
      </c>
      <c r="Y27" s="1">
        <f t="shared" si="72"/>
        <v>1.9363682837995622</v>
      </c>
      <c r="Z27" s="1">
        <f t="shared" si="72"/>
        <v>1.7475199961807835</v>
      </c>
      <c r="AA27" s="1">
        <f t="shared" si="72"/>
        <v>0.71811730246399086</v>
      </c>
      <c r="AB27" s="1">
        <f t="shared" si="72"/>
        <v>0.67123842960287872</v>
      </c>
      <c r="AC27" s="1">
        <f t="shared" si="72"/>
        <v>1.3823307901210335</v>
      </c>
      <c r="AD27" s="1">
        <f t="shared" si="72"/>
        <v>2.4862616942248561</v>
      </c>
      <c r="AE27" s="1">
        <f t="shared" ref="AE27:AF27" si="73">AE26/AE28</f>
        <v>3.9628761972020885</v>
      </c>
      <c r="AF27" s="1">
        <f t="shared" si="73"/>
        <v>5.2763740289218601</v>
      </c>
      <c r="AG27" s="1">
        <f t="shared" ref="AG27:AM27" si="74">AG26/AG28</f>
        <v>6.8549838392716822</v>
      </c>
      <c r="AH27" s="1">
        <f t="shared" si="74"/>
        <v>8.5702015764836723</v>
      </c>
      <c r="AI27" s="1">
        <f t="shared" si="74"/>
        <v>9.9488140290210385</v>
      </c>
      <c r="AJ27" s="1">
        <f t="shared" si="74"/>
        <v>10.23534724394481</v>
      </c>
      <c r="AK27" s="1">
        <f t="shared" si="74"/>
        <v>10.539777828146025</v>
      </c>
      <c r="AL27" s="1">
        <f t="shared" si="74"/>
        <v>10.861907049398352</v>
      </c>
      <c r="AM27" s="1">
        <f t="shared" si="74"/>
        <v>11.201615098526002</v>
      </c>
    </row>
    <row r="28" spans="2:103" s="2" customFormat="1" x14ac:dyDescent="0.2">
      <c r="B28" s="2" t="s">
        <v>1</v>
      </c>
      <c r="C28" s="11">
        <v>508.34</v>
      </c>
      <c r="D28" s="11">
        <v>506.68700000000001</v>
      </c>
      <c r="E28" s="11">
        <v>507.81099999999998</v>
      </c>
      <c r="F28" s="11">
        <v>507.45100000000002</v>
      </c>
      <c r="G28" s="11">
        <v>507.52600000000001</v>
      </c>
      <c r="H28" s="11">
        <v>505.52</v>
      </c>
      <c r="I28" s="11">
        <v>505.80900000000003</v>
      </c>
      <c r="J28" s="11">
        <v>506.012</v>
      </c>
      <c r="K28" s="11">
        <v>505.67599999999999</v>
      </c>
      <c r="L28" s="11">
        <v>504.72500000000002</v>
      </c>
      <c r="M28" s="11">
        <v>503.66899999999998</v>
      </c>
      <c r="N28" s="11">
        <f>+M28</f>
        <v>503.66899999999998</v>
      </c>
      <c r="O28" s="11">
        <f t="shared" ref="O28" si="75">+N28</f>
        <v>503.66899999999998</v>
      </c>
      <c r="P28" s="11"/>
      <c r="Q28" s="11"/>
      <c r="R28" s="11"/>
      <c r="S28" s="11"/>
      <c r="T28" s="11"/>
      <c r="U28" s="2">
        <v>598.77499999999998</v>
      </c>
      <c r="V28" s="2">
        <v>548.553</v>
      </c>
      <c r="W28" s="2">
        <v>530.61</v>
      </c>
      <c r="X28" s="2">
        <v>525.82399999999996</v>
      </c>
      <c r="Y28" s="2">
        <v>502.721</v>
      </c>
      <c r="Z28" s="2">
        <v>502.721</v>
      </c>
      <c r="AA28" s="2">
        <v>513.476</v>
      </c>
      <c r="AB28" s="2">
        <f>AVERAGE(C28:F28)</f>
        <v>507.57225</v>
      </c>
      <c r="AC28" s="2">
        <f>AVERAGE(G28:J28)</f>
        <v>506.21674999999999</v>
      </c>
      <c r="AD28" s="2">
        <f>+AC28</f>
        <v>506.21674999999999</v>
      </c>
      <c r="AE28" s="2">
        <f t="shared" ref="AE28:AF28" si="76">+AD28</f>
        <v>506.21674999999999</v>
      </c>
      <c r="AF28" s="2">
        <f t="shared" si="76"/>
        <v>506.21674999999999</v>
      </c>
      <c r="AG28" s="2">
        <f t="shared" ref="AG28:AM28" si="77">+AF28</f>
        <v>506.21674999999999</v>
      </c>
      <c r="AH28" s="2">
        <f t="shared" si="77"/>
        <v>506.21674999999999</v>
      </c>
      <c r="AI28" s="2">
        <f t="shared" si="77"/>
        <v>506.21674999999999</v>
      </c>
      <c r="AJ28" s="2">
        <f t="shared" si="77"/>
        <v>506.21674999999999</v>
      </c>
      <c r="AK28" s="2">
        <f t="shared" si="77"/>
        <v>506.21674999999999</v>
      </c>
      <c r="AL28" s="2">
        <f t="shared" si="77"/>
        <v>506.21674999999999</v>
      </c>
      <c r="AM28" s="2">
        <f t="shared" si="77"/>
        <v>506.21674999999999</v>
      </c>
    </row>
    <row r="31" spans="2:103" s="4" customFormat="1" x14ac:dyDescent="0.2">
      <c r="B31" s="4" t="s">
        <v>23</v>
      </c>
      <c r="C31" s="14"/>
      <c r="D31" s="14"/>
      <c r="E31" s="14"/>
      <c r="F31" s="14"/>
      <c r="G31" s="9">
        <f t="shared" ref="G31:L31" si="78">G15/C15-1</f>
        <v>0.10904791425029003</v>
      </c>
      <c r="H31" s="9">
        <f t="shared" si="78"/>
        <v>8.7951035753336182E-2</v>
      </c>
      <c r="I31" s="9">
        <f t="shared" si="78"/>
        <v>0.21121652979036387</v>
      </c>
      <c r="J31" s="9">
        <f t="shared" si="78"/>
        <v>0.21715263181431932</v>
      </c>
      <c r="K31" s="9">
        <f t="shared" si="78"/>
        <v>0.24716795545542158</v>
      </c>
      <c r="L31" s="9">
        <f t="shared" si="78"/>
        <v>0.20354461269465962</v>
      </c>
      <c r="M31" s="9">
        <f>M15/I15-1</f>
        <v>0.20217233496035369</v>
      </c>
      <c r="N31" s="9">
        <f t="shared" ref="N31" si="79">N15/J15-1</f>
        <v>0.25000000000000022</v>
      </c>
      <c r="O31" s="9">
        <f t="shared" ref="O31" si="80">O15/K15-1</f>
        <v>0.30000000000000004</v>
      </c>
      <c r="P31" s="14"/>
      <c r="Q31" s="14"/>
      <c r="R31" s="14"/>
      <c r="S31" s="14"/>
      <c r="T31" s="14"/>
      <c r="U31" s="14"/>
      <c r="V31" s="17">
        <f t="shared" ref="V31:Z31" si="81">V15/U15-1</f>
        <v>0.13363644798521546</v>
      </c>
      <c r="W31" s="17">
        <f t="shared" si="81"/>
        <v>-0.17711051934850497</v>
      </c>
      <c r="X31" s="17">
        <f t="shared" si="81"/>
        <v>0.28994895536199539</v>
      </c>
      <c r="Y31" s="17">
        <f t="shared" si="81"/>
        <v>0.10954157894736838</v>
      </c>
      <c r="Z31" s="17">
        <f t="shared" si="81"/>
        <v>4.4451501781911817E-2</v>
      </c>
      <c r="AA31" s="17">
        <f>AA15/Z15-1</f>
        <v>-7.9124104697052E-2</v>
      </c>
      <c r="AB31" s="17">
        <f>AB15/AA15-1</f>
        <v>2.2643542675649275E-2</v>
      </c>
      <c r="AC31" s="17">
        <f>AC15/AB15-1</f>
        <v>0.1563626323677112</v>
      </c>
      <c r="AD31" s="17">
        <f t="shared" ref="AD31:AM31" si="82">AD15/AC15-1</f>
        <v>0.22594151071700153</v>
      </c>
      <c r="AE31" s="17">
        <f>AE15/AD15-1</f>
        <v>0.23643888705184679</v>
      </c>
      <c r="AF31" s="17">
        <f>AF15/AE15-1</f>
        <v>0.15657363815654435</v>
      </c>
      <c r="AG31" s="17">
        <f>AG15/AF15-1</f>
        <v>0.11919851117603586</v>
      </c>
      <c r="AH31" s="17">
        <f t="shared" si="82"/>
        <v>0.12411867076463157</v>
      </c>
      <c r="AI31" s="17">
        <f t="shared" si="82"/>
        <v>8.4773742502652016E-2</v>
      </c>
      <c r="AJ31" s="17">
        <f t="shared" si="82"/>
        <v>7.5276103208454792E-3</v>
      </c>
      <c r="AK31" s="17">
        <f t="shared" si="82"/>
        <v>8.2107344229485069E-3</v>
      </c>
      <c r="AL31" s="17">
        <f t="shared" si="82"/>
        <v>8.8394134717042494E-3</v>
      </c>
      <c r="AM31" s="17">
        <f t="shared" si="82"/>
        <v>9.4190771507653981E-3</v>
      </c>
    </row>
    <row r="32" spans="2:103" s="4" customFormat="1" x14ac:dyDescent="0.2">
      <c r="B32" s="4" t="s">
        <v>117</v>
      </c>
      <c r="C32" s="14"/>
      <c r="D32" s="14"/>
      <c r="E32" s="14"/>
      <c r="F32" s="14"/>
      <c r="G32" s="9"/>
      <c r="H32" s="9"/>
      <c r="I32" s="9"/>
      <c r="J32" s="9">
        <f>J54/F54-1</f>
        <v>0.28560819302637186</v>
      </c>
      <c r="K32" s="9">
        <f>K54/G54-1</f>
        <v>0.359504897026796</v>
      </c>
      <c r="L32" s="9">
        <f>L54/H54-1</f>
        <v>0.36923433931384886</v>
      </c>
      <c r="M32" s="9">
        <f>M54/I54-1</f>
        <v>0.37668076283145324</v>
      </c>
      <c r="N32" s="9"/>
      <c r="O32" s="9"/>
      <c r="P32" s="14"/>
      <c r="Q32" s="14"/>
      <c r="R32" s="14"/>
      <c r="S32" s="14"/>
      <c r="T32" s="14"/>
      <c r="U32" s="14"/>
      <c r="V32" s="17"/>
      <c r="W32" s="17"/>
      <c r="X32" s="17"/>
      <c r="Y32" s="17"/>
      <c r="Z32" s="17"/>
      <c r="AA32" s="17"/>
      <c r="AB32" s="17"/>
      <c r="AC32" s="17"/>
      <c r="AE32" s="17"/>
    </row>
    <row r="33" spans="2:42" s="4" customFormat="1" x14ac:dyDescent="0.2">
      <c r="B33" s="4" t="s">
        <v>118</v>
      </c>
      <c r="C33" s="14"/>
      <c r="D33" s="14"/>
      <c r="E33" s="14"/>
      <c r="F33" s="14"/>
      <c r="G33" s="9"/>
      <c r="H33" s="9"/>
      <c r="I33" s="9">
        <f>+I18/E18-1</f>
        <v>3.8270496340488291E-2</v>
      </c>
      <c r="J33" s="9">
        <f>+J18/F18-1</f>
        <v>7.9757962344262801E-2</v>
      </c>
      <c r="K33" s="9">
        <f>+K18/G18-1</f>
        <v>0.20917092944204962</v>
      </c>
      <c r="L33" s="9">
        <f>+L18/H18-1</f>
        <v>8.3820064730982358E-2</v>
      </c>
      <c r="M33" s="9">
        <f>+M18/I18-1</f>
        <v>0.13137423554193894</v>
      </c>
      <c r="N33" s="9">
        <f t="shared" ref="N33:O33" si="83">+N18/J18-1</f>
        <v>0.10000000000000009</v>
      </c>
      <c r="O33" s="9">
        <f t="shared" si="83"/>
        <v>0.14999999999999991</v>
      </c>
      <c r="P33" s="14"/>
      <c r="Q33" s="14"/>
      <c r="R33" s="14"/>
      <c r="S33" s="14"/>
      <c r="T33" s="14"/>
      <c r="U33" s="14"/>
      <c r="V33" s="17"/>
      <c r="W33" s="17"/>
      <c r="X33" s="17"/>
      <c r="Y33" s="17"/>
      <c r="Z33" s="17"/>
      <c r="AA33" s="17"/>
      <c r="AB33" s="17"/>
      <c r="AC33" s="17"/>
      <c r="AE33" s="17"/>
    </row>
    <row r="35" spans="2:42" x14ac:dyDescent="0.2">
      <c r="B35" t="s">
        <v>24</v>
      </c>
      <c r="C35" s="10">
        <f t="shared" ref="C35:L35" si="84">C17/C15</f>
        <v>0.85150881894172703</v>
      </c>
      <c r="D35" s="10">
        <f t="shared" si="84"/>
        <v>0.85498704372182199</v>
      </c>
      <c r="E35" s="10">
        <f t="shared" si="84"/>
        <v>0.84312453936656628</v>
      </c>
      <c r="F35" s="10">
        <f t="shared" si="84"/>
        <v>0.85005236050862365</v>
      </c>
      <c r="G35" s="10">
        <f t="shared" si="84"/>
        <v>0.84962057590240003</v>
      </c>
      <c r="H35" s="10">
        <f t="shared" si="84"/>
        <v>0.8406645223799174</v>
      </c>
      <c r="I35" s="10">
        <f t="shared" si="84"/>
        <v>0.84316799258972142</v>
      </c>
      <c r="J35" s="10">
        <f t="shared" si="84"/>
        <v>0.84586620984014127</v>
      </c>
      <c r="K35" s="10">
        <f t="shared" si="84"/>
        <v>0.85645414885042304</v>
      </c>
      <c r="L35" s="10">
        <f t="shared" si="84"/>
        <v>0.85552463021257463</v>
      </c>
      <c r="M35" s="10">
        <f t="shared" ref="M35:O35" si="85">M17/M15</f>
        <v>0.86153991176030609</v>
      </c>
      <c r="N35" s="10">
        <f t="shared" si="85"/>
        <v>0.87</v>
      </c>
      <c r="O35" s="10">
        <f t="shared" si="85"/>
        <v>0.87</v>
      </c>
      <c r="U35" s="10">
        <f t="shared" ref="U35:AM35" si="86">U17/U15</f>
        <v>0.88767974474022293</v>
      </c>
      <c r="V35" s="10">
        <f t="shared" si="86"/>
        <v>0.89870356315517042</v>
      </c>
      <c r="W35" s="10">
        <f t="shared" si="86"/>
        <v>0.89927128067829587</v>
      </c>
      <c r="X35" s="10">
        <f t="shared" si="86"/>
        <v>0.89381526315789472</v>
      </c>
      <c r="Y35" s="10">
        <f t="shared" si="86"/>
        <v>0.89614653562471747</v>
      </c>
      <c r="Z35" s="10">
        <f t="shared" si="86"/>
        <v>0.89014135232897418</v>
      </c>
      <c r="AA35" s="10">
        <f t="shared" si="86"/>
        <v>0.85535825253252584</v>
      </c>
      <c r="AB35" s="10">
        <f t="shared" si="86"/>
        <v>0.84999511702854913</v>
      </c>
      <c r="AC35" s="10">
        <f t="shared" si="86"/>
        <v>0.84478880352896701</v>
      </c>
      <c r="AD35" s="10">
        <f t="shared" si="86"/>
        <v>0.86126204623358749</v>
      </c>
      <c r="AE35" s="10">
        <f t="shared" si="86"/>
        <v>0.88</v>
      </c>
      <c r="AF35" s="10">
        <f t="shared" si="86"/>
        <v>0.89</v>
      </c>
      <c r="AG35" s="10">
        <f t="shared" si="86"/>
        <v>0.90000000000000013</v>
      </c>
      <c r="AH35" s="10">
        <f t="shared" si="86"/>
        <v>0.90000000000000013</v>
      </c>
      <c r="AI35" s="10">
        <f t="shared" si="86"/>
        <v>0.90000000000000013</v>
      </c>
      <c r="AJ35" s="10">
        <f t="shared" si="86"/>
        <v>0.9</v>
      </c>
      <c r="AK35" s="10">
        <f t="shared" si="86"/>
        <v>0.9</v>
      </c>
      <c r="AL35" s="10">
        <f t="shared" si="86"/>
        <v>0.89999999999999991</v>
      </c>
      <c r="AM35" s="10">
        <f t="shared" si="86"/>
        <v>0.9</v>
      </c>
    </row>
    <row r="36" spans="2:42" x14ac:dyDescent="0.2">
      <c r="B36" t="s">
        <v>36</v>
      </c>
      <c r="C36" s="10">
        <f t="shared" ref="C36:L36" si="87">C22/C15</f>
        <v>9.294984601847768E-2</v>
      </c>
      <c r="D36" s="10">
        <f t="shared" si="87"/>
        <v>0.13877821547863339</v>
      </c>
      <c r="E36" s="10">
        <f t="shared" si="87"/>
        <v>8.7014339437980079E-2</v>
      </c>
      <c r="F36" s="10">
        <f t="shared" si="87"/>
        <v>0.14562370496250915</v>
      </c>
      <c r="G36" s="10">
        <f t="shared" si="87"/>
        <v>0.17044287632045627</v>
      </c>
      <c r="H36" s="10">
        <f t="shared" si="87"/>
        <v>0.18218865248959262</v>
      </c>
      <c r="I36" s="10">
        <f t="shared" si="87"/>
        <v>0.21639097102239499</v>
      </c>
      <c r="J36" s="10">
        <f t="shared" si="87"/>
        <v>0.23653096591865894</v>
      </c>
      <c r="K36" s="10">
        <f t="shared" si="87"/>
        <v>0.23546935485619894</v>
      </c>
      <c r="L36" s="10">
        <f t="shared" si="87"/>
        <v>0.25935416158757829</v>
      </c>
      <c r="M36" s="10">
        <f t="shared" ref="M36:O36" si="88">M22/M15</f>
        <v>0.26751900828365671</v>
      </c>
      <c r="N36" s="10">
        <f t="shared" si="88"/>
        <v>0.33378498534909562</v>
      </c>
      <c r="O36" s="10">
        <f t="shared" si="88"/>
        <v>0.32066729762049417</v>
      </c>
      <c r="AO36" t="s">
        <v>128</v>
      </c>
      <c r="AP36" s="19">
        <v>0.01</v>
      </c>
    </row>
    <row r="37" spans="2:42" x14ac:dyDescent="0.2">
      <c r="B37" t="s">
        <v>119</v>
      </c>
      <c r="C37" s="10">
        <f>C25/C24</f>
        <v>0.22559318391545657</v>
      </c>
      <c r="D37" s="10">
        <f t="shared" ref="D37:M37" si="89">D25/D24</f>
        <v>0.24389044891514031</v>
      </c>
      <c r="E37" s="10">
        <f t="shared" si="89"/>
        <v>0.23937991002924663</v>
      </c>
      <c r="F37" s="10">
        <f t="shared" si="89"/>
        <v>0.16754817035926478</v>
      </c>
      <c r="G37" s="10">
        <f t="shared" si="89"/>
        <v>0.43709385023009334</v>
      </c>
      <c r="H37" s="10">
        <f t="shared" si="89"/>
        <v>0.16817101899150635</v>
      </c>
      <c r="I37" s="10">
        <f t="shared" si="89"/>
        <v>0.23250997545119437</v>
      </c>
      <c r="J37" s="10">
        <f t="shared" si="89"/>
        <v>0.23528498214008414</v>
      </c>
      <c r="K37" s="10">
        <f t="shared" si="89"/>
        <v>0.12246923766122433</v>
      </c>
      <c r="L37" s="10">
        <f t="shared" si="89"/>
        <v>0.24617628146242876</v>
      </c>
      <c r="M37" s="10">
        <f t="shared" si="89"/>
        <v>0.22585740131796145</v>
      </c>
      <c r="N37" s="10">
        <f t="shared" ref="N37:O37" si="90">N25/N24</f>
        <v>0.21</v>
      </c>
      <c r="O37" s="10">
        <f t="shared" si="90"/>
        <v>0.22999999999999998</v>
      </c>
      <c r="AO37" t="s">
        <v>129</v>
      </c>
      <c r="AP37" s="20">
        <v>7.0000000000000007E-2</v>
      </c>
    </row>
    <row r="38" spans="2:42" x14ac:dyDescent="0.2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AO38" t="s">
        <v>130</v>
      </c>
      <c r="AP38" s="19">
        <v>0.03</v>
      </c>
    </row>
    <row r="39" spans="2:42" x14ac:dyDescent="0.2">
      <c r="AO39" t="s">
        <v>131</v>
      </c>
      <c r="AP39" s="2">
        <f>NPV(AP37,AE26:CY26)+Main!M5-Main!M6</f>
        <v>80028.214838347863</v>
      </c>
    </row>
    <row r="40" spans="2:42" x14ac:dyDescent="0.2">
      <c r="B40" t="s">
        <v>78</v>
      </c>
      <c r="F40" s="11">
        <f t="shared" ref="F40:H40" si="91">+F41-F55</f>
        <v>2225.1759999999999</v>
      </c>
      <c r="G40" s="11">
        <f t="shared" si="91"/>
        <v>1275.202</v>
      </c>
      <c r="H40" s="11">
        <f t="shared" si="91"/>
        <v>1508.8720000000001</v>
      </c>
      <c r="I40" s="11">
        <f>+I41-I55</f>
        <v>1762.6389999999997</v>
      </c>
      <c r="J40" s="11">
        <f>+J41-J55</f>
        <v>2080.8530000000001</v>
      </c>
      <c r="K40" s="11">
        <f>+K41-K55</f>
        <v>2181.0569999999998</v>
      </c>
      <c r="L40" s="11">
        <f>+L41-L55</f>
        <v>2400.0190000000002</v>
      </c>
      <c r="M40" s="11">
        <f t="shared" ref="M40" si="92">+M41-M55</f>
        <v>2529.8070000000002</v>
      </c>
      <c r="N40" s="11">
        <f>+M40+N26</f>
        <v>2960.4143145000003</v>
      </c>
      <c r="O40" s="11">
        <f t="shared" ref="O40" si="93">+N40+O26</f>
        <v>3404.4482009500007</v>
      </c>
      <c r="AE40" s="2">
        <f>+O40</f>
        <v>3404.4482009500007</v>
      </c>
      <c r="AF40" s="2">
        <f>+AE40+AF26</f>
        <v>6075.4371136552309</v>
      </c>
      <c r="AG40" s="2">
        <f t="shared" ref="AG40:AM40" si="94">+AF40+AG26</f>
        <v>9545.5447540738642</v>
      </c>
      <c r="AH40" s="2">
        <f t="shared" si="94"/>
        <v>13883.924342966304</v>
      </c>
      <c r="AI40" s="2">
        <f t="shared" si="94"/>
        <v>18920.18064709174</v>
      </c>
      <c r="AJ40" s="2">
        <f t="shared" si="94"/>
        <v>24101.484864042941</v>
      </c>
      <c r="AK40" s="2">
        <f t="shared" si="94"/>
        <v>29436.896941929081</v>
      </c>
      <c r="AL40" s="2">
        <f t="shared" si="94"/>
        <v>34935.376227277608</v>
      </c>
      <c r="AM40" s="2">
        <f t="shared" si="94"/>
        <v>40605.821417204366</v>
      </c>
      <c r="AO40" t="s">
        <v>132</v>
      </c>
      <c r="AP40" s="1">
        <f>+AP39/498</f>
        <v>160.69922658302784</v>
      </c>
    </row>
    <row r="41" spans="2:42" s="2" customFormat="1" x14ac:dyDescent="0.2">
      <c r="B41" s="2" t="s">
        <v>3</v>
      </c>
      <c r="C41" s="11"/>
      <c r="D41" s="11"/>
      <c r="E41" s="11"/>
      <c r="F41" s="11">
        <f>1117.4+2622.091</f>
        <v>3739.491</v>
      </c>
      <c r="G41" s="11">
        <f>712.884+2463.936</f>
        <v>3176.82</v>
      </c>
      <c r="H41" s="11">
        <f>956.147+2457.101</f>
        <v>3413.248</v>
      </c>
      <c r="I41" s="11">
        <f>829.292+2839.441</f>
        <v>3668.7329999999997</v>
      </c>
      <c r="J41" s="11">
        <f>876.56+3111.524</f>
        <v>3988.0839999999998</v>
      </c>
      <c r="K41" s="11">
        <f>830.696+3267.192</f>
        <v>4097.8879999999999</v>
      </c>
      <c r="L41" s="11">
        <f>886.379+3432.029</f>
        <v>4318.4080000000004</v>
      </c>
      <c r="M41" s="11">
        <f>767.672+3678.726</f>
        <v>4446.3980000000001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42" s="2" customFormat="1" x14ac:dyDescent="0.2">
      <c r="B42" s="2" t="s">
        <v>79</v>
      </c>
      <c r="C42" s="11"/>
      <c r="D42" s="11"/>
      <c r="E42" s="11"/>
      <c r="F42" s="11">
        <v>591.89</v>
      </c>
      <c r="G42" s="11">
        <v>532.42700000000002</v>
      </c>
      <c r="H42" s="11">
        <v>502.61700000000002</v>
      </c>
      <c r="I42" s="11">
        <v>593.55399999999997</v>
      </c>
      <c r="J42" s="11">
        <v>672.00599999999997</v>
      </c>
      <c r="K42" s="11">
        <v>599.20699999999999</v>
      </c>
      <c r="L42" s="11">
        <v>666.73599999999999</v>
      </c>
      <c r="M42" s="11">
        <v>731.16600000000005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42" s="2" customFormat="1" x14ac:dyDescent="0.2">
      <c r="B43" s="2" t="s">
        <v>89</v>
      </c>
      <c r="C43" s="11"/>
      <c r="D43" s="11"/>
      <c r="E43" s="11"/>
      <c r="F43" s="11">
        <v>95.585999999999999</v>
      </c>
      <c r="G43" s="11">
        <v>60.47</v>
      </c>
      <c r="H43" s="11">
        <v>71.218000000000004</v>
      </c>
      <c r="I43" s="11">
        <v>82.438000000000002</v>
      </c>
      <c r="J43" s="11">
        <v>0</v>
      </c>
      <c r="K43" s="11">
        <v>0</v>
      </c>
      <c r="L43" s="11">
        <v>0</v>
      </c>
      <c r="M43" s="11">
        <v>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42" s="2" customFormat="1" x14ac:dyDescent="0.2">
      <c r="B44" s="2" t="s">
        <v>80</v>
      </c>
      <c r="C44" s="11"/>
      <c r="D44" s="11"/>
      <c r="E44" s="11"/>
      <c r="F44" s="11">
        <v>175.75800000000001</v>
      </c>
      <c r="G44" s="11">
        <v>202.44200000000001</v>
      </c>
      <c r="H44" s="11">
        <v>191.31399999999999</v>
      </c>
      <c r="I44" s="11">
        <v>181.16300000000001</v>
      </c>
      <c r="J44" s="11">
        <v>161.80199999999999</v>
      </c>
      <c r="K44" s="11">
        <v>238.29499999999999</v>
      </c>
      <c r="L44" s="11">
        <v>253.42</v>
      </c>
      <c r="M44" s="11">
        <v>241.14599999999999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42" s="2" customFormat="1" x14ac:dyDescent="0.2">
      <c r="B45" s="2" t="s">
        <v>81</v>
      </c>
      <c r="C45" s="11"/>
      <c r="D45" s="11"/>
      <c r="E45" s="11"/>
      <c r="F45" s="11">
        <v>785.12300000000005</v>
      </c>
      <c r="G45" s="11">
        <v>784.31399999999996</v>
      </c>
      <c r="H45" s="11">
        <v>785.19899999999996</v>
      </c>
      <c r="I45" s="11">
        <v>797.46400000000006</v>
      </c>
      <c r="J45" s="11">
        <v>787.42100000000005</v>
      </c>
      <c r="K45" s="11">
        <v>794.87599999999998</v>
      </c>
      <c r="L45" s="11">
        <v>796.077</v>
      </c>
      <c r="M45" s="11">
        <v>811.524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42" s="2" customFormat="1" x14ac:dyDescent="0.2">
      <c r="B46" s="2" t="s">
        <v>82</v>
      </c>
      <c r="C46" s="11"/>
      <c r="D46" s="11"/>
      <c r="E46" s="11"/>
      <c r="F46" s="11">
        <f>4721.962+469.662</f>
        <v>5191.6240000000007</v>
      </c>
      <c r="G46" s="11">
        <f>5396.174+629.317</f>
        <v>6025.491</v>
      </c>
      <c r="H46" s="11">
        <f t="shared" ref="H46" si="95">5388.971+583.198</f>
        <v>5972.1689999999999</v>
      </c>
      <c r="I46" s="11">
        <f>5402.159+556.81</f>
        <v>5958.9689999999991</v>
      </c>
      <c r="J46" s="11">
        <f>5366.881+510.007</f>
        <v>5876.8879999999999</v>
      </c>
      <c r="K46" s="11">
        <f>5389+518.686</f>
        <v>5907.6859999999997</v>
      </c>
      <c r="L46" s="11">
        <f>5444.556+494.193</f>
        <v>5938.7489999999998</v>
      </c>
      <c r="M46" s="11">
        <f>5433.18+454.23</f>
        <v>5887.41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42" s="2" customFormat="1" x14ac:dyDescent="0.2">
      <c r="B47" s="2" t="s">
        <v>83</v>
      </c>
      <c r="C47" s="11"/>
      <c r="D47" s="11"/>
      <c r="E47" s="11"/>
      <c r="F47" s="11">
        <v>80.438999999999993</v>
      </c>
      <c r="G47" s="11">
        <v>80.438999999999993</v>
      </c>
      <c r="H47" s="11">
        <v>80.438999999999993</v>
      </c>
      <c r="I47" s="11">
        <v>80.438999999999993</v>
      </c>
      <c r="J47" s="11">
        <v>80.438999999999993</v>
      </c>
      <c r="K47" s="11">
        <v>80.438999999999993</v>
      </c>
      <c r="L47" s="11">
        <v>80.438999999999993</v>
      </c>
      <c r="M47" s="11">
        <v>80.438999999999993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42" s="2" customFormat="1" x14ac:dyDescent="0.2">
      <c r="B48" s="2" t="s">
        <v>84</v>
      </c>
      <c r="C48" s="11"/>
      <c r="D48" s="11"/>
      <c r="E48" s="11"/>
      <c r="F48" s="11">
        <v>126.315</v>
      </c>
      <c r="G48" s="11">
        <v>146.01900000000001</v>
      </c>
      <c r="H48" s="11">
        <v>149.179</v>
      </c>
      <c r="I48" s="11">
        <v>145.63499999999999</v>
      </c>
      <c r="J48" s="11">
        <v>159.83199999999999</v>
      </c>
      <c r="K48" s="11">
        <v>178.291</v>
      </c>
      <c r="L48" s="11">
        <v>162.95400000000001</v>
      </c>
      <c r="M48" s="11">
        <v>169.358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 s="2" customFormat="1" x14ac:dyDescent="0.2">
      <c r="B49" s="2" t="s">
        <v>85</v>
      </c>
      <c r="C49" s="11"/>
      <c r="D49" s="11"/>
      <c r="E49" s="11"/>
      <c r="F49" s="11">
        <f t="shared" ref="F49:H49" si="96">SUM(F41:F48)</f>
        <v>10786.226000000002</v>
      </c>
      <c r="G49" s="11">
        <f t="shared" si="96"/>
        <v>11008.422</v>
      </c>
      <c r="H49" s="11">
        <f t="shared" si="96"/>
        <v>11165.383</v>
      </c>
      <c r="I49" s="11">
        <f>SUM(I41:I48)</f>
        <v>11508.394999999999</v>
      </c>
      <c r="J49" s="11">
        <f>SUM(J41:J48)</f>
        <v>11726.472000000002</v>
      </c>
      <c r="K49" s="11">
        <f>SUM(K41:K48)</f>
        <v>11896.682000000001</v>
      </c>
      <c r="L49" s="11">
        <f>SUM(L41:L48)</f>
        <v>12216.782999999999</v>
      </c>
      <c r="M49" s="11">
        <f>SUM(M41:M48)</f>
        <v>12367.441000000001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1" spans="2:23" s="2" customFormat="1" x14ac:dyDescent="0.2">
      <c r="B51" s="2" t="s">
        <v>86</v>
      </c>
      <c r="C51" s="11"/>
      <c r="D51" s="11"/>
      <c r="E51" s="11"/>
      <c r="F51" s="11">
        <v>68.376999999999995</v>
      </c>
      <c r="G51" s="11">
        <v>71.67</v>
      </c>
      <c r="H51" s="11">
        <v>56.539000000000001</v>
      </c>
      <c r="I51" s="11">
        <v>69.822999999999993</v>
      </c>
      <c r="J51" s="11">
        <v>93.307000000000002</v>
      </c>
      <c r="K51" s="11">
        <v>71.706000000000003</v>
      </c>
      <c r="L51" s="11">
        <v>75.581999999999994</v>
      </c>
      <c r="M51" s="11">
        <v>83.444000000000003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2:23" s="2" customFormat="1" x14ac:dyDescent="0.2">
      <c r="B52" s="2" t="s">
        <v>87</v>
      </c>
      <c r="C52" s="11"/>
      <c r="D52" s="11"/>
      <c r="E52" s="11"/>
      <c r="F52" s="11">
        <v>703.36500000000001</v>
      </c>
      <c r="G52" s="11">
        <v>564.21100000000001</v>
      </c>
      <c r="H52" s="11">
        <v>647.78399999999999</v>
      </c>
      <c r="I52" s="11">
        <v>658.34199999999998</v>
      </c>
      <c r="J52" s="11">
        <v>678.36400000000003</v>
      </c>
      <c r="K52" s="11">
        <v>591.82100000000003</v>
      </c>
      <c r="L52" s="11">
        <v>661.01300000000003</v>
      </c>
      <c r="M52" s="11">
        <v>666.27800000000002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2:23" s="2" customFormat="1" x14ac:dyDescent="0.2">
      <c r="B53" s="2" t="s">
        <v>33</v>
      </c>
      <c r="C53" s="11"/>
      <c r="D53" s="11"/>
      <c r="E53" s="11"/>
      <c r="F53" s="11">
        <f>20.456+125.746</f>
        <v>146.202</v>
      </c>
      <c r="G53" s="11">
        <f>19.934+245.063</f>
        <v>264.99700000000001</v>
      </c>
      <c r="H53" s="11">
        <f t="shared" ref="H53" si="97">55.473+244.799</f>
        <v>300.27199999999999</v>
      </c>
      <c r="I53" s="11">
        <f>71.487+250.569</f>
        <v>322.05599999999998</v>
      </c>
      <c r="J53" s="11">
        <f>6.165+256.129</f>
        <v>262.29400000000004</v>
      </c>
      <c r="K53" s="11">
        <f>4.458+261.305</f>
        <v>265.76300000000003</v>
      </c>
      <c r="L53" s="11">
        <f>15.774+273.221</f>
        <v>288.995</v>
      </c>
      <c r="M53" s="11">
        <f>10.662+276.131</f>
        <v>286.79299999999995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2:23" s="7" customFormat="1" x14ac:dyDescent="0.2">
      <c r="B54" s="7" t="s">
        <v>88</v>
      </c>
      <c r="C54" s="8"/>
      <c r="D54" s="8"/>
      <c r="E54" s="8"/>
      <c r="F54" s="8">
        <f>1097.923+57.401</f>
        <v>1155.3240000000001</v>
      </c>
      <c r="G54" s="8">
        <f>1129.701+53.568</f>
        <v>1183.269</v>
      </c>
      <c r="H54" s="8">
        <f t="shared" ref="H54" si="98">1175.542+52.613</f>
        <v>1228.155</v>
      </c>
      <c r="I54" s="8">
        <f>1259.712+46.317</f>
        <v>1306.029</v>
      </c>
      <c r="J54" s="8">
        <f>1434.2+51.094</f>
        <v>1485.2940000000001</v>
      </c>
      <c r="K54" s="8">
        <f>1563.821+44.839</f>
        <v>1608.6599999999999</v>
      </c>
      <c r="L54" s="8">
        <f>1633.221+48.411</f>
        <v>1681.6320000000001</v>
      </c>
      <c r="M54" s="8">
        <f>1745.282+52.703</f>
        <v>1797.9849999999999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s="2" t="s">
        <v>4</v>
      </c>
      <c r="F55" s="11">
        <f>911.086+603.229</f>
        <v>1514.3150000000001</v>
      </c>
      <c r="G55" s="11">
        <f>1901.554+0.064</f>
        <v>1901.6180000000002</v>
      </c>
      <c r="H55" s="11">
        <v>1904.376</v>
      </c>
      <c r="I55" s="11">
        <v>1906.0940000000001</v>
      </c>
      <c r="J55" s="11">
        <v>1907.231</v>
      </c>
      <c r="K55" s="11">
        <v>1916.8309999999999</v>
      </c>
      <c r="L55" s="11">
        <v>1918.3889999999999</v>
      </c>
      <c r="M55" s="11">
        <v>1916.5909999999999</v>
      </c>
    </row>
    <row r="56" spans="2:23" x14ac:dyDescent="0.2">
      <c r="B56" s="2" t="s">
        <v>89</v>
      </c>
      <c r="F56" s="11">
        <v>341.61</v>
      </c>
      <c r="G56" s="11">
        <v>348.64400000000001</v>
      </c>
      <c r="H56" s="11">
        <v>326.92200000000003</v>
      </c>
      <c r="I56" s="11">
        <v>316.142</v>
      </c>
      <c r="J56" s="11">
        <v>208.209</v>
      </c>
      <c r="K56" s="11">
        <v>265.74799999999999</v>
      </c>
      <c r="L56" s="11">
        <v>245.61099999999999</v>
      </c>
      <c r="M56" s="11">
        <v>238.459</v>
      </c>
    </row>
    <row r="57" spans="2:23" s="2" customFormat="1" x14ac:dyDescent="0.2">
      <c r="B57" s="2" t="s">
        <v>90</v>
      </c>
      <c r="C57" s="11"/>
      <c r="D57" s="11"/>
      <c r="E57" s="11"/>
      <c r="F57" s="11">
        <f>73.748+17.12+5.194</f>
        <v>96.062000000000012</v>
      </c>
      <c r="G57" s="11">
        <f>77.918+2.58+4.495</f>
        <v>84.993000000000009</v>
      </c>
      <c r="H57" s="11">
        <f t="shared" ref="H57" si="99">85.19+1.695+4.347</f>
        <v>91.231999999999985</v>
      </c>
      <c r="I57" s="11">
        <f>83.985+1.45+3.142</f>
        <v>88.576999999999998</v>
      </c>
      <c r="J57" s="11">
        <f>85.459+3.214+1.52</f>
        <v>90.192999999999998</v>
      </c>
      <c r="K57" s="11">
        <v>94.950999999999993</v>
      </c>
      <c r="L57" s="11">
        <v>96.95</v>
      </c>
      <c r="M57" s="11">
        <v>99.944999999999993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2:23" s="2" customFormat="1" x14ac:dyDescent="0.2">
      <c r="B58" s="2" t="s">
        <v>91</v>
      </c>
      <c r="C58" s="11"/>
      <c r="D58" s="11"/>
      <c r="E58" s="11"/>
      <c r="F58" s="11">
        <f t="shared" ref="F58:H58" si="100">SUM(F51:F57)</f>
        <v>4025.2550000000001</v>
      </c>
      <c r="G58" s="11">
        <f t="shared" si="100"/>
        <v>4419.402000000001</v>
      </c>
      <c r="H58" s="11">
        <f t="shared" si="100"/>
        <v>4555.2800000000007</v>
      </c>
      <c r="I58" s="11">
        <f t="shared" ref="I58" si="101">SUM(I51:I57)</f>
        <v>4667.0630000000001</v>
      </c>
      <c r="J58" s="11">
        <f t="shared" ref="J58" si="102">SUM(J51:J57)</f>
        <v>4724.8919999999998</v>
      </c>
      <c r="K58" s="11">
        <f>SUM(K51:K57)</f>
        <v>4815.4799999999996</v>
      </c>
      <c r="L58" s="11">
        <f>SUM(L51:L57)</f>
        <v>4968.1719999999996</v>
      </c>
      <c r="M58" s="11">
        <f>SUM(M51:M57)</f>
        <v>5089.4949999999999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2:23" s="2" customFormat="1" x14ac:dyDescent="0.2">
      <c r="B59" s="2" t="s">
        <v>92</v>
      </c>
      <c r="C59" s="11"/>
      <c r="D59" s="11"/>
      <c r="E59" s="11"/>
      <c r="F59" s="11">
        <v>6760.8810000000003</v>
      </c>
      <c r="G59" s="11">
        <v>6589.02</v>
      </c>
      <c r="H59" s="11">
        <v>6610.1030000000001</v>
      </c>
      <c r="I59" s="11">
        <v>6841.3320000000003</v>
      </c>
      <c r="J59" s="11">
        <v>7001.58</v>
      </c>
      <c r="K59" s="11">
        <v>7081.2020000000002</v>
      </c>
      <c r="L59" s="11">
        <v>7248.6109999999999</v>
      </c>
      <c r="M59" s="11">
        <v>7277.9459999999999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2:23" s="2" customFormat="1" x14ac:dyDescent="0.2">
      <c r="B60" s="2" t="s">
        <v>93</v>
      </c>
      <c r="C60" s="11"/>
      <c r="D60" s="11"/>
      <c r="E60" s="11"/>
      <c r="F60" s="11">
        <f t="shared" ref="F60:H60" si="103">+F59+F58</f>
        <v>10786.136</v>
      </c>
      <c r="G60" s="11">
        <f t="shared" si="103"/>
        <v>11008.422000000002</v>
      </c>
      <c r="H60" s="11">
        <f t="shared" si="103"/>
        <v>11165.383000000002</v>
      </c>
      <c r="I60" s="11">
        <f t="shared" ref="I60" si="104">+I59+I58</f>
        <v>11508.395</v>
      </c>
      <c r="J60" s="11">
        <f t="shared" ref="J60" si="105">+J59+J58</f>
        <v>11726.472</v>
      </c>
      <c r="K60" s="11">
        <f>+K59+K58</f>
        <v>11896.682000000001</v>
      </c>
      <c r="L60" s="11">
        <f>+L59+L58</f>
        <v>12216.782999999999</v>
      </c>
      <c r="M60" s="11">
        <f>+M59+M58</f>
        <v>12367.440999999999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2" spans="2:23" s="2" customFormat="1" x14ac:dyDescent="0.2">
      <c r="B62" s="2" t="s">
        <v>94</v>
      </c>
      <c r="C62" s="11"/>
      <c r="D62" s="11"/>
      <c r="E62" s="11"/>
      <c r="F62" s="11">
        <f t="shared" ref="F62:H62" si="106">+F26</f>
        <v>119.93300000000004</v>
      </c>
      <c r="G62" s="11">
        <f t="shared" si="106"/>
        <v>100.91500000000003</v>
      </c>
      <c r="H62" s="11">
        <f t="shared" si="106"/>
        <v>165.60799999999998</v>
      </c>
      <c r="I62" s="11">
        <f t="shared" ref="I62" si="107">+I26</f>
        <v>191.95999999999989</v>
      </c>
      <c r="J62" s="11">
        <f>+J26</f>
        <v>241.27599999999961</v>
      </c>
      <c r="K62" s="11">
        <f>+K26</f>
        <v>272.28199999999993</v>
      </c>
      <c r="L62" s="11">
        <f>+L26</f>
        <v>262.59600000000012</v>
      </c>
      <c r="M62" s="11">
        <f>+M26</f>
        <v>293.10200000000009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2:23" s="2" customFormat="1" x14ac:dyDescent="0.2">
      <c r="B63" s="2" t="s">
        <v>95</v>
      </c>
      <c r="C63" s="11"/>
      <c r="D63" s="11"/>
      <c r="E63" s="11"/>
      <c r="F63" s="11">
        <v>73.292000000000002</v>
      </c>
      <c r="G63" s="11">
        <v>84.888000000000005</v>
      </c>
      <c r="H63" s="11">
        <v>147.49299999999999</v>
      </c>
      <c r="I63" s="11">
        <v>174.465</v>
      </c>
      <c r="J63" s="11">
        <v>222.70500000000001</v>
      </c>
      <c r="K63" s="11">
        <v>254.30699999999999</v>
      </c>
      <c r="L63" s="11">
        <v>244.07400000000001</v>
      </c>
      <c r="M63" s="11">
        <v>270.78800000000001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2:23" s="2" customFormat="1" x14ac:dyDescent="0.2">
      <c r="B64" s="2" t="s">
        <v>100</v>
      </c>
      <c r="C64" s="11"/>
      <c r="D64" s="11"/>
      <c r="E64" s="11"/>
      <c r="F64" s="11">
        <v>78.147000000000006</v>
      </c>
      <c r="G64" s="11">
        <v>79.635000000000005</v>
      </c>
      <c r="H64" s="11">
        <v>85.929000000000002</v>
      </c>
      <c r="I64" s="11">
        <v>87.55</v>
      </c>
      <c r="J64" s="11">
        <v>86.358999999999995</v>
      </c>
      <c r="K64" s="11">
        <v>81.2</v>
      </c>
      <c r="L64" s="11">
        <v>84.460999999999999</v>
      </c>
      <c r="M64" s="11">
        <v>84.013999999999996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2:23" s="2" customFormat="1" x14ac:dyDescent="0.2">
      <c r="B65" s="2" t="s">
        <v>99</v>
      </c>
      <c r="C65" s="11"/>
      <c r="D65" s="11"/>
      <c r="E65" s="11"/>
      <c r="F65" s="11">
        <v>84.948999999999998</v>
      </c>
      <c r="G65" s="11">
        <v>84.192999999999998</v>
      </c>
      <c r="H65" s="11">
        <v>84.649000000000001</v>
      </c>
      <c r="I65" s="11">
        <v>85.974999999999994</v>
      </c>
      <c r="J65" s="11">
        <v>81.022000000000006</v>
      </c>
      <c r="K65" s="11">
        <v>92.305999999999997</v>
      </c>
      <c r="L65" s="11">
        <v>85.57</v>
      </c>
      <c r="M65" s="11">
        <v>84.503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2:23" s="2" customFormat="1" x14ac:dyDescent="0.2">
      <c r="B66" s="2" t="s">
        <v>98</v>
      </c>
      <c r="C66" s="11"/>
      <c r="D66" s="11"/>
      <c r="E66" s="11"/>
      <c r="F66" s="11">
        <v>-0.121</v>
      </c>
      <c r="G66" s="11">
        <v>-9.6869999999999994</v>
      </c>
      <c r="H66" s="11">
        <v>-0.27600000000000002</v>
      </c>
      <c r="I66" s="11">
        <v>1.415</v>
      </c>
      <c r="J66" s="11">
        <f>-21.415-0.662</f>
        <v>-22.076999999999998</v>
      </c>
      <c r="K66" s="11">
        <v>2.0470000000000002</v>
      </c>
      <c r="L66" s="11">
        <v>3.34</v>
      </c>
      <c r="M66" s="11">
        <v>-1.4710000000000001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2:23" s="2" customFormat="1" x14ac:dyDescent="0.2">
      <c r="B67" s="2" t="s">
        <v>88</v>
      </c>
      <c r="C67" s="11"/>
      <c r="D67" s="11"/>
      <c r="E67" s="11"/>
      <c r="F67" s="11">
        <v>158.71199999999999</v>
      </c>
      <c r="G67" s="11">
        <v>19.044</v>
      </c>
      <c r="H67" s="11">
        <v>44.771999999999998</v>
      </c>
      <c r="I67" s="11">
        <v>77.72</v>
      </c>
      <c r="J67" s="11">
        <v>179.26499999999999</v>
      </c>
      <c r="K67" s="11">
        <v>123.366</v>
      </c>
      <c r="L67" s="11">
        <v>68.355999999999995</v>
      </c>
      <c r="M67" s="11">
        <v>116.35299999999999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2:23" s="2" customFormat="1" x14ac:dyDescent="0.2">
      <c r="B68" s="2" t="s">
        <v>97</v>
      </c>
      <c r="C68" s="11"/>
      <c r="D68" s="11"/>
      <c r="E68" s="11"/>
      <c r="F68" s="11">
        <v>4.9530000000000003</v>
      </c>
      <c r="G68" s="11">
        <v>-75.058000000000007</v>
      </c>
      <c r="H68" s="11">
        <v>108.917</v>
      </c>
      <c r="I68" s="11">
        <v>-66.637</v>
      </c>
      <c r="J68" s="11">
        <v>-92.759</v>
      </c>
      <c r="K68" s="11">
        <v>-55.698999999999998</v>
      </c>
      <c r="L68" s="11">
        <v>2.9140000000000001</v>
      </c>
      <c r="M68" s="11">
        <v>-36.302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2:23" s="2" customFormat="1" x14ac:dyDescent="0.2">
      <c r="B69" s="2" t="s">
        <v>96</v>
      </c>
      <c r="C69" s="11"/>
      <c r="D69" s="11"/>
      <c r="E69" s="11"/>
      <c r="F69" s="11">
        <f t="shared" ref="F69:G69" si="108">SUM(F63:F68)</f>
        <v>399.93200000000002</v>
      </c>
      <c r="G69" s="11">
        <f t="shared" si="108"/>
        <v>183.01499999999999</v>
      </c>
      <c r="H69" s="11">
        <f t="shared" ref="H69" si="109">SUM(H63:H68)</f>
        <v>471.48400000000004</v>
      </c>
      <c r="I69" s="11">
        <f t="shared" ref="I69:K69" si="110">SUM(I63:I68)</f>
        <v>360.488</v>
      </c>
      <c r="J69" s="11">
        <f t="shared" si="110"/>
        <v>454.51499999999999</v>
      </c>
      <c r="K69" s="11">
        <f t="shared" si="110"/>
        <v>497.52699999999999</v>
      </c>
      <c r="L69" s="11">
        <f>SUM(L63:L68)</f>
        <v>488.71499999999997</v>
      </c>
      <c r="M69" s="11">
        <f>SUM(M63:M68)</f>
        <v>517.88499999999999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1" spans="2:23" s="2" customFormat="1" x14ac:dyDescent="0.2">
      <c r="B71" s="2" t="s">
        <v>102</v>
      </c>
      <c r="C71" s="11"/>
      <c r="D71" s="11"/>
      <c r="E71" s="11"/>
      <c r="F71" s="11">
        <v>-36.774999999999999</v>
      </c>
      <c r="G71" s="11">
        <v>-35.545999999999999</v>
      </c>
      <c r="H71" s="11">
        <v>-35.729999999999997</v>
      </c>
      <c r="I71" s="11">
        <v>-48.984000000000002</v>
      </c>
      <c r="J71" s="11">
        <v>-64.676000000000002</v>
      </c>
      <c r="K71" s="11">
        <v>-46.2</v>
      </c>
      <c r="L71" s="11">
        <v>-53.759</v>
      </c>
      <c r="M71" s="11">
        <v>-55.213000000000001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2:23" s="2" customFormat="1" x14ac:dyDescent="0.2">
      <c r="B72" s="2" t="s">
        <v>103</v>
      </c>
      <c r="C72" s="11"/>
      <c r="D72" s="11"/>
      <c r="E72" s="11"/>
      <c r="F72" s="11">
        <f>-8.474-2.908</f>
        <v>-11.382</v>
      </c>
      <c r="G72" s="11">
        <f>152.402-14.885</f>
        <v>137.517</v>
      </c>
      <c r="H72" s="11">
        <f t="shared" ref="H72" si="111">3.541-1.083</f>
        <v>2.4580000000000002</v>
      </c>
      <c r="I72" s="11">
        <f>-394.944-1.138</f>
        <v>-396.08199999999999</v>
      </c>
      <c r="J72" s="11">
        <f>-277.566+57.779-1.524</f>
        <v>-221.31099999999998</v>
      </c>
      <c r="K72" s="11">
        <f>-160.856-51.786</f>
        <v>-212.642</v>
      </c>
      <c r="L72" s="11">
        <f>-148.797-0.522</f>
        <v>-149.31899999999999</v>
      </c>
      <c r="M72" s="11">
        <f>-247.601-3.774</f>
        <v>-251.375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2:23" s="2" customFormat="1" x14ac:dyDescent="0.2">
      <c r="B73" s="2" t="s">
        <v>101</v>
      </c>
      <c r="C73" s="11"/>
      <c r="D73" s="11"/>
      <c r="E73" s="11"/>
      <c r="F73" s="11">
        <v>-29.802</v>
      </c>
      <c r="G73" s="11">
        <v>-800.34199999999998</v>
      </c>
      <c r="H73" s="11">
        <v>-5.6369999999999996</v>
      </c>
      <c r="I73" s="11">
        <v>-20.024999999999999</v>
      </c>
      <c r="J73" s="11">
        <v>0</v>
      </c>
      <c r="K73" s="8">
        <v>0</v>
      </c>
      <c r="L73" s="8">
        <v>-48.427</v>
      </c>
      <c r="M73" s="11">
        <v>0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2:23" s="2" customFormat="1" x14ac:dyDescent="0.2">
      <c r="B74" s="2" t="s">
        <v>104</v>
      </c>
      <c r="C74" s="11"/>
      <c r="D74" s="11"/>
      <c r="E74" s="11"/>
      <c r="F74" s="11">
        <f t="shared" ref="F74:H74" si="112">SUM(F71:F73)</f>
        <v>-77.959000000000003</v>
      </c>
      <c r="G74" s="11">
        <f t="shared" si="112"/>
        <v>-698.37099999999998</v>
      </c>
      <c r="H74" s="11">
        <f t="shared" si="112"/>
        <v>-38.908999999999999</v>
      </c>
      <c r="I74" s="11">
        <f>SUM(I71:I73)</f>
        <v>-465.09099999999995</v>
      </c>
      <c r="J74" s="11">
        <f>SUM(J71:J73)</f>
        <v>-285.98699999999997</v>
      </c>
      <c r="K74" s="11">
        <f>SUM(K71:K73)</f>
        <v>-258.84199999999998</v>
      </c>
      <c r="L74" s="11">
        <f>SUM(L71:L73)</f>
        <v>-251.50499999999997</v>
      </c>
      <c r="M74" s="11">
        <f>SUM(M71:M73)</f>
        <v>-306.58800000000002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6" spans="2:23" s="2" customFormat="1" x14ac:dyDescent="0.2">
      <c r="B76" s="2" t="s">
        <v>107</v>
      </c>
      <c r="C76" s="11"/>
      <c r="D76" s="11"/>
      <c r="E76" s="11"/>
      <c r="F76" s="11">
        <v>-125</v>
      </c>
      <c r="G76" s="11">
        <v>-200</v>
      </c>
      <c r="H76" s="11">
        <v>-200</v>
      </c>
      <c r="I76" s="11">
        <v>-100</v>
      </c>
      <c r="J76" s="11">
        <v>-125</v>
      </c>
      <c r="K76" s="11">
        <v>-150</v>
      </c>
      <c r="L76" s="11">
        <v>-225</v>
      </c>
      <c r="M76" s="11">
        <v>-400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2:23" s="2" customFormat="1" x14ac:dyDescent="0.2">
      <c r="B77" s="2" t="s">
        <v>108</v>
      </c>
      <c r="C77" s="11"/>
      <c r="D77" s="11"/>
      <c r="E77" s="11"/>
      <c r="F77" s="11">
        <v>3.6190000000000002</v>
      </c>
      <c r="G77" s="11">
        <v>-93.697000000000003</v>
      </c>
      <c r="H77" s="11">
        <v>2.911</v>
      </c>
      <c r="I77" s="11">
        <v>68.641000000000005</v>
      </c>
      <c r="J77" s="11">
        <v>4.2000000000000003E-2</v>
      </c>
      <c r="K77" s="11">
        <v>-149.251</v>
      </c>
      <c r="L77" s="11">
        <v>-6.2969999999999997</v>
      </c>
      <c r="M77" s="11">
        <v>71.128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2:23" s="2" customFormat="1" x14ac:dyDescent="0.2">
      <c r="B78" s="2" t="s">
        <v>4</v>
      </c>
      <c r="C78" s="11"/>
      <c r="D78" s="11"/>
      <c r="E78" s="11"/>
      <c r="F78" s="11">
        <v>-3.2530000000000001</v>
      </c>
      <c r="G78" s="11">
        <f>989.28-602.189-7.718</f>
        <v>379.37299999999999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2:23" s="2" customFormat="1" x14ac:dyDescent="0.2">
      <c r="B79" s="2" t="s">
        <v>109</v>
      </c>
      <c r="C79" s="11"/>
      <c r="D79" s="11"/>
      <c r="E79" s="11"/>
      <c r="F79" s="11">
        <v>0</v>
      </c>
      <c r="G79" s="11">
        <v>0</v>
      </c>
      <c r="H79" s="11">
        <v>-0.153</v>
      </c>
      <c r="I79" s="11">
        <v>-0.95699999999999996</v>
      </c>
      <c r="J79" s="11">
        <v>0</v>
      </c>
      <c r="K79" s="11">
        <v>0</v>
      </c>
      <c r="L79" s="11">
        <v>-2.1000000000000001E-2</v>
      </c>
      <c r="M79" s="11">
        <v>-6.5000000000000002E-2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2:23" s="2" customFormat="1" x14ac:dyDescent="0.2">
      <c r="B80" s="2" t="s">
        <v>106</v>
      </c>
      <c r="C80" s="11"/>
      <c r="D80" s="11"/>
      <c r="E80" s="11"/>
      <c r="F80" s="11">
        <v>21.102</v>
      </c>
      <c r="G80" s="11">
        <v>33.598999999999997</v>
      </c>
      <c r="H80" s="11">
        <v>11.14</v>
      </c>
      <c r="I80" s="11">
        <v>13.606</v>
      </c>
      <c r="J80" s="11">
        <v>9.8079999999999998</v>
      </c>
      <c r="K80" s="11">
        <v>14.859</v>
      </c>
      <c r="L80" s="11">
        <v>50.43</v>
      </c>
      <c r="M80" s="11">
        <v>3.98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2:29" s="2" customFormat="1" x14ac:dyDescent="0.2">
      <c r="B81" s="2" t="s">
        <v>110</v>
      </c>
      <c r="C81" s="11"/>
      <c r="D81" s="11"/>
      <c r="E81" s="11"/>
      <c r="F81" s="11">
        <f t="shared" ref="F81:H81" si="113">SUM(F76:F80)</f>
        <v>-103.532</v>
      </c>
      <c r="G81" s="11">
        <f t="shared" si="113"/>
        <v>119.27499999999998</v>
      </c>
      <c r="H81" s="11">
        <f t="shared" si="113"/>
        <v>-186.10199999999998</v>
      </c>
      <c r="I81" s="11">
        <f>SUM(I76:I80)</f>
        <v>-18.709999999999994</v>
      </c>
      <c r="J81" s="11">
        <f>SUM(J76:J80)</f>
        <v>-115.15</v>
      </c>
      <c r="K81" s="11">
        <f>SUM(K76:K80)</f>
        <v>-284.392</v>
      </c>
      <c r="L81" s="11">
        <f>SUM(L76:L80)</f>
        <v>-180.88799999999998</v>
      </c>
      <c r="M81" s="11">
        <f>SUM(M76:M80)</f>
        <v>-324.95699999999999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2:29" s="2" customFormat="1" x14ac:dyDescent="0.2">
      <c r="B82" s="2" t="s">
        <v>111</v>
      </c>
      <c r="C82" s="11"/>
      <c r="D82" s="11"/>
      <c r="E82" s="11"/>
      <c r="F82" s="11">
        <v>-4.37</v>
      </c>
      <c r="G82" s="11">
        <v>-8.4350000000000005</v>
      </c>
      <c r="H82" s="11">
        <v>-3.21</v>
      </c>
      <c r="I82" s="11">
        <v>-3.5419999999999998</v>
      </c>
      <c r="J82" s="11">
        <v>-6.11</v>
      </c>
      <c r="K82" s="11">
        <v>-0.157</v>
      </c>
      <c r="L82" s="11">
        <v>-0.63900000000000001</v>
      </c>
      <c r="M82" s="11">
        <v>-5.0469999999999997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2:29" x14ac:dyDescent="0.2">
      <c r="B83" s="2" t="s">
        <v>112</v>
      </c>
      <c r="F83" s="11">
        <f t="shared" ref="F83:H83" si="114">+F82+F81+F74+F69</f>
        <v>214.07100000000003</v>
      </c>
      <c r="G83" s="11">
        <f t="shared" si="114"/>
        <v>-404.51599999999996</v>
      </c>
      <c r="H83" s="11">
        <f t="shared" si="114"/>
        <v>243.26300000000006</v>
      </c>
      <c r="I83" s="11">
        <f>+I82+I81+I74+I69</f>
        <v>-126.85499999999996</v>
      </c>
      <c r="J83" s="11">
        <f>+J82+J81+J74+J69</f>
        <v>47.268000000000029</v>
      </c>
      <c r="K83" s="11">
        <f>+K82+K81+K74+K69</f>
        <v>-45.863999999999976</v>
      </c>
      <c r="L83" s="11">
        <f>+L82+L81+L74+L69</f>
        <v>55.68300000000005</v>
      </c>
      <c r="M83" s="11">
        <f>+M82+M81+M74+M69</f>
        <v>-118.70700000000011</v>
      </c>
    </row>
    <row r="84" spans="2:29" x14ac:dyDescent="0.2">
      <c r="B84" s="2"/>
    </row>
    <row r="85" spans="2:29" x14ac:dyDescent="0.2">
      <c r="B85" s="2" t="s">
        <v>105</v>
      </c>
      <c r="F85" s="11">
        <f t="shared" ref="F85:H85" si="115">F69+F71-F65</f>
        <v>278.20800000000003</v>
      </c>
      <c r="G85" s="11">
        <f t="shared" si="115"/>
        <v>63.275999999999996</v>
      </c>
      <c r="H85" s="11">
        <f t="shared" si="115"/>
        <v>351.10500000000002</v>
      </c>
      <c r="I85" s="11">
        <f>I69+I71-I65</f>
        <v>225.52900000000002</v>
      </c>
      <c r="J85" s="11">
        <f>J69+J71-J65</f>
        <v>308.81700000000001</v>
      </c>
      <c r="K85" s="11">
        <f>K69+K71-K65</f>
        <v>359.02100000000002</v>
      </c>
      <c r="L85" s="11">
        <f>L69+L71-L65</f>
        <v>349.38599999999997</v>
      </c>
      <c r="M85" s="11">
        <f>M69+M71-M65</f>
        <v>378.16899999999998</v>
      </c>
    </row>
    <row r="86" spans="2:29" x14ac:dyDescent="0.2">
      <c r="B86" s="2" t="s">
        <v>120</v>
      </c>
      <c r="I86" s="11">
        <f>SUM(F85:I85)</f>
        <v>918.11800000000005</v>
      </c>
      <c r="J86" s="11">
        <f>SUM(G85:J85)</f>
        <v>948.72700000000009</v>
      </c>
      <c r="K86" s="11">
        <f t="shared" ref="K86:L86" si="116">SUM(H85:K85)</f>
        <v>1244.472</v>
      </c>
      <c r="L86" s="11">
        <f t="shared" si="116"/>
        <v>1242.7529999999999</v>
      </c>
      <c r="M86" s="11">
        <f>SUM(J85:M85)</f>
        <v>1395.393</v>
      </c>
    </row>
    <row r="88" spans="2:29" x14ac:dyDescent="0.2">
      <c r="B88" t="s">
        <v>40</v>
      </c>
      <c r="U88" s="12">
        <v>42.73</v>
      </c>
      <c r="V88" s="12">
        <v>21.29</v>
      </c>
      <c r="W88" s="12">
        <v>36.78</v>
      </c>
      <c r="X88" s="12">
        <v>30.78</v>
      </c>
      <c r="Y88" s="12">
        <v>28.27</v>
      </c>
      <c r="Z88" s="12">
        <v>37.68</v>
      </c>
      <c r="AA88" s="12">
        <v>59.88</v>
      </c>
      <c r="AB88" s="12">
        <v>72.7</v>
      </c>
      <c r="AC88" s="12">
        <v>93.94</v>
      </c>
    </row>
    <row r="91" spans="2:29" x14ac:dyDescent="0.2">
      <c r="B91" t="s">
        <v>8</v>
      </c>
      <c r="F91" s="11">
        <f>F12</f>
        <v>628.95399999999995</v>
      </c>
      <c r="G91" s="11">
        <f t="shared" ref="G91:M91" si="117">G12</f>
        <v>713.44200000000001</v>
      </c>
      <c r="H91" s="11">
        <f t="shared" si="117"/>
        <v>773.96299999999997</v>
      </c>
      <c r="I91" s="11">
        <f t="shared" si="117"/>
        <v>829.06500000000005</v>
      </c>
      <c r="J91" s="11">
        <f t="shared" si="117"/>
        <v>907.43399999999997</v>
      </c>
      <c r="K91" s="11">
        <f t="shared" si="117"/>
        <v>1070.25</v>
      </c>
      <c r="L91" s="11">
        <f t="shared" si="117"/>
        <v>1083.7080000000001</v>
      </c>
      <c r="M91" s="11">
        <f t="shared" si="117"/>
        <v>1168.6020000000001</v>
      </c>
    </row>
    <row r="92" spans="2:29" x14ac:dyDescent="0.2">
      <c r="B92" t="s">
        <v>88</v>
      </c>
      <c r="F92" s="11">
        <f>F54</f>
        <v>1155.3240000000001</v>
      </c>
      <c r="G92" s="11">
        <f t="shared" ref="G92:M92" si="118">G54</f>
        <v>1183.269</v>
      </c>
      <c r="H92" s="11">
        <f t="shared" si="118"/>
        <v>1228.155</v>
      </c>
      <c r="I92" s="11">
        <f t="shared" si="118"/>
        <v>1306.029</v>
      </c>
      <c r="J92" s="11">
        <f t="shared" si="118"/>
        <v>1485.2940000000001</v>
      </c>
      <c r="K92" s="11">
        <f t="shared" si="118"/>
        <v>1608.6599999999999</v>
      </c>
      <c r="L92" s="11">
        <f t="shared" si="118"/>
        <v>1681.6320000000001</v>
      </c>
      <c r="M92" s="11">
        <f t="shared" si="118"/>
        <v>1797.9849999999999</v>
      </c>
    </row>
    <row r="93" spans="2:29" x14ac:dyDescent="0.2">
      <c r="F93" s="11"/>
      <c r="G93" s="11"/>
      <c r="H93" s="11"/>
      <c r="I93" s="11"/>
      <c r="J93" s="11"/>
      <c r="K93" s="11"/>
      <c r="L93" s="11"/>
      <c r="M93" s="11"/>
    </row>
    <row r="94" spans="2:29" x14ac:dyDescent="0.2">
      <c r="B94" t="s">
        <v>127</v>
      </c>
      <c r="F94" s="11">
        <f t="shared" ref="F94:L94" si="119">+F92-G91</f>
        <v>441.88200000000006</v>
      </c>
      <c r="G94" s="11">
        <f t="shared" si="119"/>
        <v>409.30600000000004</v>
      </c>
      <c r="H94" s="11">
        <f t="shared" si="119"/>
        <v>399.08999999999992</v>
      </c>
      <c r="I94" s="11">
        <f t="shared" si="119"/>
        <v>398.59500000000003</v>
      </c>
      <c r="J94" s="11">
        <f t="shared" si="119"/>
        <v>415.0440000000001</v>
      </c>
      <c r="K94" s="11">
        <f t="shared" si="119"/>
        <v>524.95199999999977</v>
      </c>
      <c r="L94" s="11">
        <f t="shared" si="119"/>
        <v>513.03</v>
      </c>
      <c r="M94" s="11"/>
    </row>
    <row r="95" spans="2:29" x14ac:dyDescent="0.2">
      <c r="B95" t="s">
        <v>126</v>
      </c>
      <c r="F95" s="11">
        <f t="shared" ref="F95:L95" si="120">+G92-F94</f>
        <v>741.38699999999994</v>
      </c>
      <c r="G95" s="11">
        <f t="shared" si="120"/>
        <v>818.84899999999993</v>
      </c>
      <c r="H95" s="11">
        <f t="shared" si="120"/>
        <v>906.93900000000008</v>
      </c>
      <c r="I95" s="11">
        <f t="shared" si="120"/>
        <v>1086.6990000000001</v>
      </c>
      <c r="J95" s="11">
        <f t="shared" si="120"/>
        <v>1193.6159999999998</v>
      </c>
      <c r="K95" s="11">
        <f t="shared" si="120"/>
        <v>1156.6800000000003</v>
      </c>
      <c r="L95" s="11">
        <f t="shared" si="120"/>
        <v>1284.9549999999999</v>
      </c>
      <c r="M95" s="11"/>
    </row>
    <row r="96" spans="2:29" x14ac:dyDescent="0.2">
      <c r="F96" s="11">
        <f>+F95+F94</f>
        <v>1183.269</v>
      </c>
      <c r="G96" s="11">
        <f t="shared" ref="G96:H96" si="121">+G95+G94</f>
        <v>1228.155</v>
      </c>
      <c r="H96" s="11">
        <f t="shared" si="121"/>
        <v>1306.029</v>
      </c>
      <c r="I96" s="11">
        <f t="shared" ref="I96" si="122">+I95+I94</f>
        <v>1485.2940000000001</v>
      </c>
      <c r="J96" s="11">
        <f t="shared" ref="J96" si="123">+J95+J94</f>
        <v>1608.6599999999999</v>
      </c>
      <c r="K96" s="11">
        <f t="shared" ref="K96" si="124">+K95+K94</f>
        <v>1681.6320000000001</v>
      </c>
      <c r="L96" s="11">
        <f t="shared" ref="L96" si="125">+L95+L94</f>
        <v>1797.9849999999999</v>
      </c>
      <c r="M96" s="11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2016-09-18T21:44:56Z</dcterms:created>
  <dcterms:modified xsi:type="dcterms:W3CDTF">2016-09-26T00:29:24Z</dcterms:modified>
</cp:coreProperties>
</file>