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60" windowHeight="12225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" l="1"/>
  <c r="V27" i="2"/>
  <c r="N18" i="2"/>
  <c r="M17" i="2"/>
  <c r="N17" i="2" s="1"/>
  <c r="W17" i="2" s="1"/>
  <c r="M18" i="2"/>
  <c r="N19" i="2"/>
  <c r="N16" i="2"/>
  <c r="M16" i="2"/>
  <c r="N15" i="2"/>
  <c r="M15" i="2"/>
  <c r="N14" i="2"/>
  <c r="M14" i="2"/>
  <c r="N13" i="2"/>
  <c r="M13" i="2"/>
  <c r="N12" i="2"/>
  <c r="M12" i="2"/>
  <c r="W12" i="2" s="1"/>
  <c r="N11" i="2"/>
  <c r="W11" i="2" s="1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W4" i="2" s="1"/>
  <c r="M19" i="2"/>
  <c r="M27" i="2" s="1"/>
  <c r="N20" i="2"/>
  <c r="M20" i="2"/>
  <c r="N21" i="2"/>
  <c r="M21" i="2"/>
  <c r="W26" i="2"/>
  <c r="V26" i="2"/>
  <c r="W25" i="2"/>
  <c r="V25" i="2"/>
  <c r="W24" i="2"/>
  <c r="V24" i="2"/>
  <c r="W23" i="2"/>
  <c r="V23" i="2"/>
  <c r="W22" i="2"/>
  <c r="V22" i="2"/>
  <c r="V21" i="2"/>
  <c r="W20" i="2"/>
  <c r="V20" i="2"/>
  <c r="W19" i="2"/>
  <c r="V19" i="2"/>
  <c r="W18" i="2"/>
  <c r="V18" i="2"/>
  <c r="V17" i="2"/>
  <c r="W16" i="2"/>
  <c r="V16" i="2"/>
  <c r="W15" i="2"/>
  <c r="V15" i="2"/>
  <c r="W14" i="2"/>
  <c r="V14" i="2"/>
  <c r="W13" i="2"/>
  <c r="V13" i="2"/>
  <c r="V12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V4" i="2"/>
  <c r="Y3" i="2"/>
  <c r="Z3" i="2" s="1"/>
  <c r="AA3" i="2" s="1"/>
  <c r="AB3" i="2" s="1"/>
  <c r="AC3" i="2" s="1"/>
  <c r="AD3" i="2" s="1"/>
  <c r="AE3" i="2" s="1"/>
  <c r="AF3" i="2" s="1"/>
  <c r="X3" i="2"/>
  <c r="W3" i="2"/>
  <c r="V3" i="2"/>
  <c r="N3" i="2"/>
  <c r="M3" i="2"/>
  <c r="K103" i="2"/>
  <c r="L103" i="2"/>
  <c r="L35" i="2"/>
  <c r="L34" i="2"/>
  <c r="L33" i="2"/>
  <c r="L101" i="2"/>
  <c r="L100" i="2"/>
  <c r="L99" i="2"/>
  <c r="L98" i="2"/>
  <c r="L97" i="2"/>
  <c r="L96" i="2"/>
  <c r="L95" i="2"/>
  <c r="L94" i="2"/>
  <c r="L93" i="2"/>
  <c r="L92" i="2"/>
  <c r="L90" i="2"/>
  <c r="L89" i="2"/>
  <c r="L88" i="2"/>
  <c r="L87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K101" i="2"/>
  <c r="K99" i="2"/>
  <c r="K90" i="2"/>
  <c r="K85" i="2"/>
  <c r="K65" i="2"/>
  <c r="K43" i="2"/>
  <c r="K59" i="2"/>
  <c r="K58" i="2"/>
  <c r="K45" i="2" s="1"/>
  <c r="K57" i="2"/>
  <c r="K53" i="2"/>
  <c r="K50" i="2"/>
  <c r="K54" i="2" s="1"/>
  <c r="K46" i="2"/>
  <c r="L45" i="2"/>
  <c r="L57" i="2"/>
  <c r="L58" i="2"/>
  <c r="L63" i="2"/>
  <c r="L59" i="2"/>
  <c r="L53" i="2"/>
  <c r="L46" i="2"/>
  <c r="L54" i="2" s="1"/>
  <c r="L50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L27" i="2"/>
  <c r="L29" i="2" s="1"/>
  <c r="L21" i="2"/>
  <c r="L43" i="2"/>
  <c r="K42" i="2"/>
  <c r="L42" i="2"/>
  <c r="N6" i="1"/>
  <c r="N5" i="1"/>
  <c r="N27" i="2" l="1"/>
  <c r="W21" i="2"/>
  <c r="L36" i="2"/>
  <c r="L38" i="2" s="1"/>
  <c r="K63" i="2"/>
  <c r="H33" i="2"/>
  <c r="H21" i="2"/>
  <c r="H27" i="2"/>
  <c r="H29" i="2" s="1"/>
  <c r="E27" i="2"/>
  <c r="G27" i="2"/>
  <c r="I33" i="2"/>
  <c r="I21" i="2"/>
  <c r="I27" i="2" s="1"/>
  <c r="I29" i="2" s="1"/>
  <c r="L39" i="2" l="1"/>
  <c r="L65" i="2"/>
  <c r="I34" i="2"/>
  <c r="I36" i="2" s="1"/>
  <c r="I38" i="2" s="1"/>
  <c r="I39" i="2" s="1"/>
  <c r="H34" i="2"/>
  <c r="H36" i="2" s="1"/>
  <c r="H38" i="2" s="1"/>
  <c r="H39" i="2" s="1"/>
  <c r="K33" i="2"/>
  <c r="J35" i="2"/>
  <c r="J33" i="2"/>
  <c r="K27" i="2"/>
  <c r="K29" i="2" s="1"/>
  <c r="J27" i="2"/>
  <c r="J29" i="2" s="1"/>
  <c r="J34" i="2" s="1"/>
  <c r="J36" i="2" s="1"/>
  <c r="J38" i="2" s="1"/>
  <c r="J39" i="2" s="1"/>
  <c r="N4" i="1"/>
  <c r="N7" i="1" s="1"/>
  <c r="K34" i="2" l="1"/>
  <c r="K36" i="2" s="1"/>
  <c r="K38" i="2" s="1"/>
  <c r="K39" i="2" s="1"/>
</calcChain>
</file>

<file path=xl/sharedStrings.xml><?xml version="1.0" encoding="utf-8"?>
<sst xmlns="http://schemas.openxmlformats.org/spreadsheetml/2006/main" count="120" uniqueCount="103">
  <si>
    <t>Price</t>
  </si>
  <si>
    <t>Shares</t>
  </si>
  <si>
    <t>MC</t>
  </si>
  <si>
    <t>Cash</t>
  </si>
  <si>
    <t>Debt</t>
  </si>
  <si>
    <t>EV</t>
  </si>
  <si>
    <t>Q116</t>
  </si>
  <si>
    <t>Main</t>
  </si>
  <si>
    <t>Brands</t>
  </si>
  <si>
    <t>Aesthetics</t>
  </si>
  <si>
    <t>International</t>
  </si>
  <si>
    <t>ANDA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</si>
  <si>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</si>
  <si>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</si>
  <si>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</si>
  <si>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</si>
  <si>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</si>
  <si>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</si>
  <si>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</si>
  <si>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</si>
  <si>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</si>
  <si>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Q216</t>
  </si>
  <si>
    <t>Q316</t>
  </si>
  <si>
    <t>Q416</t>
  </si>
  <si>
    <t>Botox</t>
  </si>
  <si>
    <t>Restasis</t>
  </si>
  <si>
    <t>Fillers</t>
  </si>
  <si>
    <t>Namenda XR</t>
  </si>
  <si>
    <t>Lumigan</t>
  </si>
  <si>
    <t>Bystolic</t>
  </si>
  <si>
    <t>Linzess</t>
  </si>
  <si>
    <t>Alphagan</t>
  </si>
  <si>
    <t>Asacol</t>
  </si>
  <si>
    <t>Lo Loestrin</t>
  </si>
  <si>
    <t>Viibryd</t>
  </si>
  <si>
    <t>Estrace</t>
  </si>
  <si>
    <t>Minastrin</t>
  </si>
  <si>
    <t>Silicone</t>
  </si>
  <si>
    <t>Carafate</t>
  </si>
  <si>
    <t>Ozurdex</t>
  </si>
  <si>
    <t>Aczone</t>
  </si>
  <si>
    <t>Namenda IR</t>
  </si>
  <si>
    <t>Other</t>
  </si>
  <si>
    <t>COGS</t>
  </si>
  <si>
    <t>Gross Profit</t>
  </si>
  <si>
    <t>R&amp;D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</si>
  <si>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</si>
  <si>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</si>
  <si>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</si>
  <si>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</si>
  <si>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</si>
  <si>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</si>
  <si>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</si>
  <si>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7/27/15: Announces sale of generics to Teva for $40.5bn.</t>
  </si>
  <si>
    <t>Brand</t>
  </si>
  <si>
    <t>Generic</t>
  </si>
  <si>
    <t>Generics</t>
  </si>
  <si>
    <t>G&amp;A</t>
  </si>
  <si>
    <t>S&amp;M</t>
  </si>
  <si>
    <t>AR</t>
  </si>
  <si>
    <t>Inventories</t>
  </si>
  <si>
    <t>Prepaids</t>
  </si>
  <si>
    <t>Held for sale</t>
  </si>
  <si>
    <t>PP&amp;E</t>
  </si>
  <si>
    <t>Goodwill</t>
  </si>
  <si>
    <t>Assets</t>
  </si>
  <si>
    <t>L+SE</t>
  </si>
  <si>
    <t>SE</t>
  </si>
  <si>
    <t>OLTL</t>
  </si>
  <si>
    <t>DT</t>
  </si>
  <si>
    <t>Held for Sale</t>
  </si>
  <si>
    <t>AP</t>
  </si>
  <si>
    <t>Net Cash</t>
  </si>
  <si>
    <t>CIC</t>
  </si>
  <si>
    <t>FX</t>
  </si>
  <si>
    <t>CFFF</t>
  </si>
  <si>
    <t>Borrowings</t>
  </si>
  <si>
    <t>Payments on Debt</t>
  </si>
  <si>
    <t>Stock Proceeds</t>
  </si>
  <si>
    <t>CoCo</t>
  </si>
  <si>
    <t>Buyback</t>
  </si>
  <si>
    <t>Dividends</t>
  </si>
  <si>
    <t>ETB</t>
  </si>
  <si>
    <t>CFFI</t>
  </si>
  <si>
    <t>CapEx</t>
  </si>
  <si>
    <t>Investments</t>
  </si>
  <si>
    <t>Divestments</t>
  </si>
  <si>
    <t>CFFO</t>
  </si>
  <si>
    <t>Model NI</t>
  </si>
  <si>
    <t>Reported NI</t>
  </si>
  <si>
    <t>Depreciation</t>
  </si>
  <si>
    <t>Amortization</t>
  </si>
  <si>
    <t>Inventory Reserve</t>
  </si>
  <si>
    <t>SBC</t>
  </si>
  <si>
    <t>DI Tax Benefit</t>
  </si>
  <si>
    <t>IPR&amp;D</t>
  </si>
  <si>
    <t>Gain</t>
  </si>
  <si>
    <t>Inventory Step-up</t>
  </si>
  <si>
    <t>Deferred Financing Costs</t>
  </si>
  <si>
    <t>Inventory</t>
  </si>
  <si>
    <t>Other Taxes</t>
  </si>
  <si>
    <t>OA&amp;L</t>
  </si>
  <si>
    <t>CFFO+CapEx-SBC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</si>
</sst>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4" fontId="0" fillId="0" borderId="0" xfId="0" applyNumberFormat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0</xdr:rowOff>
    </xdr:from>
    <xdr:to>
      <xdr:col>12</xdr:col>
      <xdr:colOff>66675</xdr:colOff>
      <xdr:row>107</xdr:row>
      <xdr:rowOff>38100</xdr:rowOff>
    </xdr:to>
    <xdr:cxnSp macro="">
      <xdr:nvCxnSpPr>
        <xdr:cNvPr id="3" name="Straight Connector 2"/>
        <xdr:cNvCxnSpPr/>
      </xdr:nvCxnSpPr>
      <xdr:spPr>
        <a:xfrm>
          <a:off x="7705725" y="0"/>
          <a:ext cx="0" cy="17364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abSelected="1" workbookViewId="0">
      <selection activeCell="B4" sqref="B4"/>
    </sheetView>
  </sheetViews>
  <sheetFormatPr defaultRowHeight="12.75" x14ac:dyDescent="0.2"/>
  <sheetData>
    <row r="2" spans="2:15" x14ac:dyDescent="0.2">
      <c r="B2" s="15" t="s">
        <v>54</v>
      </c>
      <c r="C2" s="16" t="s">
        <v>55</v>
      </c>
      <c r="D2" s="16"/>
      <c r="E2" s="16"/>
      <c r="F2" s="16"/>
      <c r="G2" s="16"/>
      <c r="H2" s="16"/>
      <c r="I2" s="16"/>
      <c r="J2" s="17"/>
      <c r="M2" t="s">
        <v>0</v>
      </c>
      <c r="N2" s="19">
        <v>235</v>
      </c>
    </row>
    <row r="3" spans="2:15" x14ac:dyDescent="0.2">
      <c r="B3" s="10" t="s">
        <v>24</v>
      </c>
      <c r="C3" s="6"/>
      <c r="D3" s="6"/>
      <c r="E3" s="6"/>
      <c r="F3" s="6"/>
      <c r="G3" s="6"/>
      <c r="H3" s="6"/>
      <c r="I3" s="6"/>
      <c r="J3" s="11"/>
      <c r="M3" t="s">
        <v>1</v>
      </c>
      <c r="N3" s="1">
        <v>395.95219900000001</v>
      </c>
      <c r="O3" s="2" t="s">
        <v>21</v>
      </c>
    </row>
    <row r="4" spans="2:15" x14ac:dyDescent="0.2">
      <c r="B4" s="10"/>
      <c r="C4" s="6"/>
      <c r="D4" s="6"/>
      <c r="E4" s="6"/>
      <c r="F4" s="6"/>
      <c r="G4" s="6"/>
      <c r="H4" s="6"/>
      <c r="I4" s="6"/>
      <c r="J4" s="11"/>
      <c r="M4" t="s">
        <v>2</v>
      </c>
      <c r="N4" s="1">
        <f>+N3*N2</f>
        <v>93048.766765000008</v>
      </c>
      <c r="O4" s="2"/>
    </row>
    <row r="5" spans="2:15" x14ac:dyDescent="0.2">
      <c r="B5" s="10"/>
      <c r="C5" s="6"/>
      <c r="D5" s="6"/>
      <c r="E5" s="6"/>
      <c r="F5" s="6"/>
      <c r="G5" s="6"/>
      <c r="H5" s="6"/>
      <c r="I5" s="6"/>
      <c r="J5" s="11"/>
      <c r="M5" t="s">
        <v>3</v>
      </c>
      <c r="N5" s="1">
        <f>489.5+17.1+352.6+10798+4244</f>
        <v>15901.2</v>
      </c>
      <c r="O5" s="2" t="s">
        <v>21</v>
      </c>
    </row>
    <row r="6" spans="2:15" x14ac:dyDescent="0.2">
      <c r="B6" s="10"/>
      <c r="C6" s="6"/>
      <c r="D6" s="6"/>
      <c r="E6" s="6"/>
      <c r="F6" s="6"/>
      <c r="G6" s="6"/>
      <c r="H6" s="6"/>
      <c r="I6" s="6"/>
      <c r="J6" s="11"/>
      <c r="M6" t="s">
        <v>4</v>
      </c>
      <c r="N6" s="1">
        <f>37075.1+2506.6</f>
        <v>39581.699999999997</v>
      </c>
      <c r="O6" s="2" t="s">
        <v>21</v>
      </c>
    </row>
    <row r="7" spans="2:15" x14ac:dyDescent="0.2">
      <c r="B7" s="10"/>
      <c r="C7" s="6"/>
      <c r="D7" s="6"/>
      <c r="E7" s="6"/>
      <c r="F7" s="6"/>
      <c r="G7" s="6"/>
      <c r="H7" s="6"/>
      <c r="I7" s="6"/>
      <c r="J7" s="11"/>
      <c r="M7" t="s">
        <v>5</v>
      </c>
      <c r="N7" s="1">
        <f>+N4-N5+N6</f>
        <v>116729.26676500001</v>
      </c>
    </row>
    <row r="8" spans="2:15" x14ac:dyDescent="0.2">
      <c r="B8" s="10"/>
      <c r="C8" s="6"/>
      <c r="D8" s="6"/>
      <c r="E8" s="6"/>
      <c r="F8" s="6"/>
      <c r="G8" s="6"/>
      <c r="H8" s="6"/>
      <c r="I8" s="6"/>
      <c r="J8" s="11"/>
    </row>
    <row r="9" spans="2:15" x14ac:dyDescent="0.2">
      <c r="B9" s="10"/>
      <c r="C9" s="6"/>
      <c r="D9" s="6"/>
      <c r="E9" s="6"/>
      <c r="F9" s="6"/>
      <c r="G9" s="6"/>
      <c r="H9" s="6"/>
      <c r="I9" s="6"/>
      <c r="J9" s="11"/>
    </row>
    <row r="10" spans="2:15" x14ac:dyDescent="0.2">
      <c r="B10" s="10"/>
      <c r="C10" s="6"/>
      <c r="D10" s="6"/>
      <c r="E10" s="6"/>
      <c r="F10" s="6"/>
      <c r="G10" s="6"/>
      <c r="H10" s="6"/>
      <c r="I10" s="6"/>
      <c r="J10" s="11"/>
    </row>
    <row r="11" spans="2:15" x14ac:dyDescent="0.2">
      <c r="B11" s="10"/>
      <c r="C11" s="6"/>
      <c r="D11" s="6"/>
      <c r="E11" s="6"/>
      <c r="F11" s="6"/>
      <c r="G11" s="6"/>
      <c r="H11" s="6"/>
      <c r="I11" s="6"/>
      <c r="J11" s="11"/>
    </row>
    <row r="12" spans="2:15" x14ac:dyDescent="0.2">
      <c r="B12" s="10"/>
      <c r="C12" s="6"/>
      <c r="D12" s="6"/>
      <c r="E12" s="6"/>
      <c r="F12" s="6"/>
      <c r="G12" s="6"/>
      <c r="H12" s="6"/>
      <c r="I12" s="6"/>
      <c r="J12" s="11"/>
    </row>
    <row r="13" spans="2:15" x14ac:dyDescent="0.2">
      <c r="B13" s="15"/>
      <c r="C13" s="16"/>
      <c r="D13" s="16"/>
      <c r="E13" s="16"/>
      <c r="F13" s="16"/>
      <c r="G13" s="16"/>
      <c r="H13" s="16"/>
      <c r="I13" s="16"/>
      <c r="J13" s="17"/>
    </row>
    <row r="14" spans="2:15" x14ac:dyDescent="0.2">
      <c r="B14" s="10"/>
      <c r="C14" s="6"/>
      <c r="D14" s="6"/>
      <c r="E14" s="6"/>
      <c r="F14" s="6"/>
      <c r="G14" s="6"/>
      <c r="H14" s="6"/>
      <c r="I14" s="6"/>
      <c r="J14" s="11"/>
    </row>
    <row r="15" spans="2:15" x14ac:dyDescent="0.2">
      <c r="B15" s="10"/>
      <c r="C15" s="6"/>
      <c r="D15" s="6"/>
      <c r="E15" s="6"/>
      <c r="F15" s="6"/>
      <c r="G15" s="6"/>
      <c r="H15" s="6"/>
      <c r="I15" s="6"/>
      <c r="J15" s="11"/>
    </row>
    <row r="16" spans="2:15" x14ac:dyDescent="0.2">
      <c r="B16" s="10"/>
      <c r="C16" s="6"/>
      <c r="D16" s="6"/>
      <c r="E16" s="6"/>
      <c r="F16" s="6"/>
      <c r="G16" s="6"/>
      <c r="H16" s="6"/>
      <c r="I16" s="6"/>
      <c r="J16" s="11"/>
    </row>
    <row r="17" spans="2:10" x14ac:dyDescent="0.2">
      <c r="B17" s="10"/>
      <c r="C17" s="6"/>
      <c r="D17" s="6"/>
      <c r="E17" s="6"/>
      <c r="F17" s="6"/>
      <c r="G17" s="6"/>
      <c r="H17" s="6"/>
      <c r="I17" s="6"/>
      <c r="J17" s="11"/>
    </row>
    <row r="18" spans="2:10" x14ac:dyDescent="0.2">
      <c r="B18" s="10"/>
      <c r="C18" s="6"/>
      <c r="D18" s="6"/>
      <c r="E18" s="6"/>
      <c r="F18" s="6"/>
      <c r="G18" s="6"/>
      <c r="H18" s="6"/>
      <c r="I18" s="6"/>
      <c r="J18" s="11"/>
    </row>
    <row r="19" spans="2:10" x14ac:dyDescent="0.2">
      <c r="B19" s="10"/>
      <c r="C19" s="6"/>
      <c r="D19" s="6"/>
      <c r="E19" s="6"/>
      <c r="F19" s="6"/>
      <c r="G19" s="6"/>
      <c r="H19" s="6"/>
      <c r="I19" s="6"/>
      <c r="J19" s="11"/>
    </row>
    <row r="20" spans="2:10" x14ac:dyDescent="0.2">
      <c r="B20" s="10"/>
      <c r="C20" s="6"/>
      <c r="D20" s="6"/>
      <c r="E20" s="6"/>
      <c r="F20" s="6"/>
      <c r="G20" s="6"/>
      <c r="H20" s="6"/>
      <c r="I20" s="6"/>
      <c r="J20" s="11"/>
    </row>
    <row r="21" spans="2:10" x14ac:dyDescent="0.2">
      <c r="B21" s="10"/>
      <c r="C21" s="6"/>
      <c r="D21" s="6"/>
      <c r="E21" s="6"/>
      <c r="F21" s="6"/>
      <c r="G21" s="6"/>
      <c r="H21" s="6"/>
      <c r="I21" s="6"/>
      <c r="J21" s="11"/>
    </row>
    <row r="22" spans="2:10" x14ac:dyDescent="0.2">
      <c r="B22" s="10"/>
      <c r="C22" s="6"/>
      <c r="D22" s="6"/>
      <c r="E22" s="6"/>
      <c r="F22" s="6"/>
      <c r="G22" s="6"/>
      <c r="H22" s="6"/>
      <c r="I22" s="6"/>
      <c r="J22" s="11"/>
    </row>
    <row r="23" spans="2:10" x14ac:dyDescent="0.2">
      <c r="B23" s="12"/>
      <c r="C23" s="13"/>
      <c r="D23" s="13"/>
      <c r="E23" s="13"/>
      <c r="F23" s="13"/>
      <c r="G23" s="13"/>
      <c r="H23" s="13"/>
      <c r="I23" s="13"/>
      <c r="J23" s="14"/>
    </row>
    <row r="26" spans="2:10" x14ac:dyDescent="0.2">
      <c r="B2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32" sqref="J32"/>
    </sheetView>
  </sheetViews>
  <sheetFormatPr defaultRowHeight="12.75" x14ac:dyDescent="0.2"/>
  <cols>
    <col min="1" max="1" width="5" bestFit="1" customWidth="1"/>
    <col min="2" max="2" width="18.140625" bestFit="1" customWidth="1"/>
    <col min="3" max="32" width="9.140625" style="2"/>
  </cols>
  <sheetData>
    <row r="1" spans="1:36" x14ac:dyDescent="0.2">
      <c r="A1" s="18" t="s">
        <v>7</v>
      </c>
    </row>
    <row r="2" spans="1:36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6</v>
      </c>
      <c r="L2" s="2" t="s">
        <v>21</v>
      </c>
      <c r="M2" s="2" t="s">
        <v>22</v>
      </c>
      <c r="N2" s="2" t="s">
        <v>23</v>
      </c>
      <c r="Q2" s="2">
        <v>2010</v>
      </c>
      <c r="R2" s="2">
        <f>+Q2+1</f>
        <v>2011</v>
      </c>
      <c r="S2" s="2">
        <f t="shared" ref="S2:AJ2" si="0">+R2+1</f>
        <v>2012</v>
      </c>
      <c r="T2" s="2">
        <f t="shared" si="0"/>
        <v>2013</v>
      </c>
      <c r="U2" s="2">
        <f t="shared" si="0"/>
        <v>2014</v>
      </c>
      <c r="V2" s="2">
        <f t="shared" si="0"/>
        <v>2015</v>
      </c>
      <c r="W2" s="2">
        <f t="shared" si="0"/>
        <v>2016</v>
      </c>
      <c r="X2" s="2">
        <f t="shared" si="0"/>
        <v>2017</v>
      </c>
      <c r="Y2" s="2">
        <f t="shared" si="0"/>
        <v>2018</v>
      </c>
      <c r="Z2" s="2">
        <f t="shared" si="0"/>
        <v>2019</v>
      </c>
      <c r="AA2" s="2">
        <f t="shared" si="0"/>
        <v>2020</v>
      </c>
      <c r="AB2" s="2">
        <f t="shared" si="0"/>
        <v>2021</v>
      </c>
      <c r="AC2" s="2">
        <f t="shared" si="0"/>
        <v>2022</v>
      </c>
      <c r="AD2" s="2">
        <f t="shared" si="0"/>
        <v>2023</v>
      </c>
      <c r="AE2" s="2">
        <f t="shared" si="0"/>
        <v>2024</v>
      </c>
      <c r="AF2" s="2">
        <f t="shared" si="0"/>
        <v>2025</v>
      </c>
      <c r="AG2" s="2">
        <f t="shared" si="0"/>
        <v>2026</v>
      </c>
      <c r="AH2" s="2">
        <f t="shared" si="0"/>
        <v>2027</v>
      </c>
      <c r="AI2" s="2">
        <f t="shared" si="0"/>
        <v>2028</v>
      </c>
      <c r="AJ2" s="2">
        <f t="shared" si="0"/>
        <v>2029</v>
      </c>
    </row>
    <row r="3" spans="1:36" s="1" customFormat="1" x14ac:dyDescent="0.2">
      <c r="B3" s="1" t="s">
        <v>24</v>
      </c>
      <c r="C3" s="3"/>
      <c r="D3" s="3"/>
      <c r="E3" s="3">
        <v>0</v>
      </c>
      <c r="F3" s="3"/>
      <c r="G3" s="3">
        <v>84</v>
      </c>
      <c r="H3" s="3">
        <v>631.5</v>
      </c>
      <c r="I3" s="3">
        <v>604.5</v>
      </c>
      <c r="J3" s="3">
        <v>655.7</v>
      </c>
      <c r="K3" s="3">
        <v>637.5</v>
      </c>
      <c r="L3" s="3">
        <v>719.7</v>
      </c>
      <c r="M3" s="3">
        <f>+I3*1.1</f>
        <v>664.95</v>
      </c>
      <c r="N3" s="3">
        <f>+J3*1.05</f>
        <v>688.48500000000013</v>
      </c>
      <c r="O3" s="3"/>
      <c r="P3" s="3"/>
      <c r="Q3" s="3"/>
      <c r="R3" s="3"/>
      <c r="S3" s="3"/>
      <c r="T3" s="3"/>
      <c r="U3" s="3"/>
      <c r="V3" s="3">
        <f>SUM(G3:J3)</f>
        <v>1975.7</v>
      </c>
      <c r="W3" s="3">
        <f>SUM(K3:N3)</f>
        <v>2710.6350000000002</v>
      </c>
      <c r="X3" s="3">
        <f>+W3*1.01</f>
        <v>2737.7413500000002</v>
      </c>
      <c r="Y3" s="3">
        <f t="shared" ref="Y3:AF3" si="1">+X3*1.01</f>
        <v>2765.1187635000001</v>
      </c>
      <c r="Z3" s="3">
        <f t="shared" si="1"/>
        <v>2792.7699511350002</v>
      </c>
      <c r="AA3" s="3">
        <f t="shared" si="1"/>
        <v>2820.6976506463502</v>
      </c>
      <c r="AB3" s="3">
        <f t="shared" si="1"/>
        <v>2848.9046271528136</v>
      </c>
      <c r="AC3" s="3">
        <f t="shared" si="1"/>
        <v>2877.3936734243416</v>
      </c>
      <c r="AD3" s="3">
        <f t="shared" si="1"/>
        <v>2906.1676101585849</v>
      </c>
      <c r="AE3" s="3">
        <f t="shared" si="1"/>
        <v>2935.2292862601707</v>
      </c>
      <c r="AF3" s="3">
        <f t="shared" si="1"/>
        <v>2964.5815791227724</v>
      </c>
    </row>
    <row r="4" spans="1:36" s="1" customFormat="1" x14ac:dyDescent="0.2">
      <c r="B4" s="1" t="s">
        <v>25</v>
      </c>
      <c r="C4" s="3"/>
      <c r="D4" s="3"/>
      <c r="E4" s="3">
        <v>0</v>
      </c>
      <c r="F4" s="3"/>
      <c r="G4" s="3">
        <v>29.9</v>
      </c>
      <c r="H4" s="3">
        <v>325</v>
      </c>
      <c r="I4" s="3">
        <v>328.3</v>
      </c>
      <c r="J4" s="3">
        <v>364.6</v>
      </c>
      <c r="K4" s="3">
        <v>313.7</v>
      </c>
      <c r="L4" s="3">
        <v>390.6</v>
      </c>
      <c r="M4" s="8">
        <f t="shared" ref="M4:M19" si="2">+I4</f>
        <v>328.3</v>
      </c>
      <c r="N4" s="8">
        <f t="shared" ref="N4:N19" si="3">+J4</f>
        <v>364.6</v>
      </c>
      <c r="O4" s="3"/>
      <c r="P4" s="3"/>
      <c r="Q4" s="3"/>
      <c r="R4" s="3"/>
      <c r="S4" s="3"/>
      <c r="T4" s="3"/>
      <c r="U4" s="3"/>
      <c r="V4" s="3">
        <f t="shared" ref="V4:V26" si="4">SUM(G4:J4)</f>
        <v>1047.8000000000002</v>
      </c>
      <c r="W4" s="3">
        <f t="shared" ref="W4:W26" si="5">SUM(K4:N4)</f>
        <v>1397.1999999999998</v>
      </c>
      <c r="X4" s="3"/>
      <c r="Y4" s="3"/>
      <c r="Z4" s="3"/>
      <c r="AA4" s="3"/>
      <c r="AB4" s="3"/>
      <c r="AC4" s="3"/>
      <c r="AD4" s="3"/>
      <c r="AE4" s="3"/>
      <c r="AF4" s="3"/>
    </row>
    <row r="5" spans="1:36" s="1" customFormat="1" x14ac:dyDescent="0.2">
      <c r="B5" s="1" t="s">
        <v>26</v>
      </c>
      <c r="C5" s="3"/>
      <c r="D5" s="3"/>
      <c r="E5" s="3">
        <v>0</v>
      </c>
      <c r="F5" s="3"/>
      <c r="G5" s="3">
        <v>24.6</v>
      </c>
      <c r="H5" s="3">
        <v>195.9</v>
      </c>
      <c r="I5" s="3">
        <v>167.6</v>
      </c>
      <c r="J5" s="3">
        <v>185.8</v>
      </c>
      <c r="K5" s="3">
        <v>214.7</v>
      </c>
      <c r="L5" s="3">
        <v>224.9</v>
      </c>
      <c r="M5" s="8">
        <f t="shared" si="2"/>
        <v>167.6</v>
      </c>
      <c r="N5" s="8">
        <f t="shared" si="3"/>
        <v>185.8</v>
      </c>
      <c r="O5" s="3"/>
      <c r="P5" s="3"/>
      <c r="Q5" s="3"/>
      <c r="R5" s="3"/>
      <c r="S5" s="3"/>
      <c r="T5" s="3"/>
      <c r="U5" s="3"/>
      <c r="V5" s="3">
        <f t="shared" si="4"/>
        <v>573.90000000000009</v>
      </c>
      <c r="W5" s="3">
        <f t="shared" si="5"/>
        <v>793</v>
      </c>
      <c r="X5" s="3"/>
      <c r="Y5" s="3"/>
      <c r="Z5" s="3"/>
      <c r="AA5" s="3"/>
      <c r="AB5" s="3"/>
      <c r="AC5" s="3"/>
      <c r="AD5" s="3"/>
      <c r="AE5" s="3"/>
      <c r="AF5" s="3"/>
    </row>
    <row r="6" spans="1:36" s="1" customFormat="1" x14ac:dyDescent="0.2">
      <c r="B6" s="1" t="s">
        <v>27</v>
      </c>
      <c r="C6" s="3"/>
      <c r="D6" s="3"/>
      <c r="E6" s="3">
        <v>120.6</v>
      </c>
      <c r="F6" s="3"/>
      <c r="G6" s="3">
        <v>150.6</v>
      </c>
      <c r="H6" s="3">
        <v>204.7</v>
      </c>
      <c r="I6" s="3">
        <v>214.5</v>
      </c>
      <c r="J6" s="3">
        <v>189.5</v>
      </c>
      <c r="K6" s="3">
        <v>173.1</v>
      </c>
      <c r="L6" s="3">
        <v>166.5</v>
      </c>
      <c r="M6" s="8">
        <f t="shared" si="2"/>
        <v>214.5</v>
      </c>
      <c r="N6" s="8">
        <f t="shared" si="3"/>
        <v>189.5</v>
      </c>
      <c r="O6" s="3"/>
      <c r="P6" s="3"/>
      <c r="Q6" s="3"/>
      <c r="R6" s="3"/>
      <c r="S6" s="3"/>
      <c r="T6" s="3"/>
      <c r="U6" s="3"/>
      <c r="V6" s="3">
        <f t="shared" si="4"/>
        <v>759.3</v>
      </c>
      <c r="W6" s="3">
        <f t="shared" si="5"/>
        <v>743.6</v>
      </c>
      <c r="X6" s="3"/>
      <c r="Y6" s="3"/>
      <c r="Z6" s="3"/>
      <c r="AA6" s="3"/>
      <c r="AB6" s="3"/>
      <c r="AC6" s="3"/>
      <c r="AD6" s="3"/>
      <c r="AE6" s="3"/>
      <c r="AF6" s="3"/>
    </row>
    <row r="7" spans="1:36" s="1" customFormat="1" x14ac:dyDescent="0.2">
      <c r="B7" s="1" t="s">
        <v>28</v>
      </c>
      <c r="C7" s="3"/>
      <c r="D7" s="3"/>
      <c r="E7" s="3">
        <v>0</v>
      </c>
      <c r="F7" s="3"/>
      <c r="G7" s="3">
        <v>21.2</v>
      </c>
      <c r="H7" s="3">
        <v>176.5</v>
      </c>
      <c r="I7" s="3">
        <v>157.9</v>
      </c>
      <c r="J7" s="3">
        <v>191.8</v>
      </c>
      <c r="K7" s="3">
        <v>169.6</v>
      </c>
      <c r="L7" s="3">
        <v>175.1</v>
      </c>
      <c r="M7" s="8">
        <f t="shared" si="2"/>
        <v>157.9</v>
      </c>
      <c r="N7" s="8">
        <f t="shared" si="3"/>
        <v>191.8</v>
      </c>
      <c r="O7" s="3"/>
      <c r="P7" s="3"/>
      <c r="Q7" s="3"/>
      <c r="R7" s="3"/>
      <c r="S7" s="3"/>
      <c r="T7" s="3"/>
      <c r="U7" s="3"/>
      <c r="V7" s="3">
        <f t="shared" si="4"/>
        <v>547.40000000000009</v>
      </c>
      <c r="W7" s="3">
        <f t="shared" si="5"/>
        <v>694.40000000000009</v>
      </c>
      <c r="X7" s="3"/>
      <c r="Y7" s="3"/>
      <c r="Z7" s="3"/>
      <c r="AA7" s="3"/>
      <c r="AB7" s="3"/>
      <c r="AC7" s="3"/>
      <c r="AD7" s="3"/>
      <c r="AE7" s="3"/>
      <c r="AF7" s="3"/>
    </row>
    <row r="8" spans="1:36" s="1" customFormat="1" x14ac:dyDescent="0.2">
      <c r="B8" s="1" t="s">
        <v>29</v>
      </c>
      <c r="C8" s="3"/>
      <c r="D8" s="3"/>
      <c r="E8" s="3">
        <v>138.6</v>
      </c>
      <c r="F8" s="3"/>
      <c r="G8" s="3">
        <v>164.1</v>
      </c>
      <c r="H8" s="3">
        <v>157.1</v>
      </c>
      <c r="I8" s="3">
        <v>155.69999999999999</v>
      </c>
      <c r="J8" s="3">
        <v>169.2</v>
      </c>
      <c r="K8" s="3">
        <v>164</v>
      </c>
      <c r="L8" s="3">
        <v>150.69999999999999</v>
      </c>
      <c r="M8" s="8">
        <f t="shared" si="2"/>
        <v>155.69999999999999</v>
      </c>
      <c r="N8" s="8">
        <f t="shared" si="3"/>
        <v>169.2</v>
      </c>
      <c r="O8" s="3"/>
      <c r="P8" s="3"/>
      <c r="Q8" s="3"/>
      <c r="R8" s="3"/>
      <c r="S8" s="3"/>
      <c r="T8" s="3"/>
      <c r="U8" s="3"/>
      <c r="V8" s="3">
        <f t="shared" si="4"/>
        <v>646.09999999999991</v>
      </c>
      <c r="W8" s="3">
        <f t="shared" si="5"/>
        <v>639.59999999999991</v>
      </c>
      <c r="X8" s="3"/>
      <c r="Y8" s="3"/>
      <c r="Z8" s="3"/>
      <c r="AA8" s="3"/>
      <c r="AB8" s="3"/>
      <c r="AC8" s="3"/>
      <c r="AD8" s="3"/>
      <c r="AE8" s="3"/>
      <c r="AF8" s="3"/>
    </row>
    <row r="9" spans="1:36" s="1" customFormat="1" x14ac:dyDescent="0.2">
      <c r="B9" s="1" t="s">
        <v>30</v>
      </c>
      <c r="C9" s="3"/>
      <c r="D9" s="3"/>
      <c r="E9" s="3">
        <v>80</v>
      </c>
      <c r="F9" s="3"/>
      <c r="G9" s="3">
        <v>96.2</v>
      </c>
      <c r="H9" s="3">
        <v>112.1</v>
      </c>
      <c r="I9" s="3">
        <v>117.5</v>
      </c>
      <c r="J9" s="3">
        <v>131.30000000000001</v>
      </c>
      <c r="K9" s="3">
        <v>140.9</v>
      </c>
      <c r="L9" s="3">
        <v>155.1</v>
      </c>
      <c r="M9" s="8">
        <f t="shared" si="2"/>
        <v>117.5</v>
      </c>
      <c r="N9" s="8">
        <f t="shared" si="3"/>
        <v>131.30000000000001</v>
      </c>
      <c r="O9" s="3"/>
      <c r="P9" s="3"/>
      <c r="Q9" s="3"/>
      <c r="R9" s="3"/>
      <c r="S9" s="3"/>
      <c r="T9" s="3"/>
      <c r="U9" s="3"/>
      <c r="V9" s="3">
        <f t="shared" si="4"/>
        <v>457.1</v>
      </c>
      <c r="W9" s="3">
        <f t="shared" si="5"/>
        <v>544.79999999999995</v>
      </c>
      <c r="X9" s="3"/>
      <c r="Y9" s="3"/>
      <c r="Z9" s="3"/>
      <c r="AA9" s="3"/>
      <c r="AB9" s="3"/>
      <c r="AC9" s="3"/>
      <c r="AD9" s="3"/>
      <c r="AE9" s="3"/>
      <c r="AF9" s="3"/>
    </row>
    <row r="10" spans="1:36" s="1" customFormat="1" x14ac:dyDescent="0.2">
      <c r="B10" s="1" t="s">
        <v>31</v>
      </c>
      <c r="C10" s="3"/>
      <c r="D10" s="3"/>
      <c r="E10" s="3">
        <v>0</v>
      </c>
      <c r="F10" s="3"/>
      <c r="G10" s="3">
        <v>16</v>
      </c>
      <c r="H10" s="3">
        <v>135.5</v>
      </c>
      <c r="I10" s="3">
        <v>120.8</v>
      </c>
      <c r="J10" s="3">
        <v>138.80000000000001</v>
      </c>
      <c r="K10" s="3">
        <v>126.7</v>
      </c>
      <c r="L10" s="3">
        <v>140.19999999999999</v>
      </c>
      <c r="M10" s="8">
        <f t="shared" si="2"/>
        <v>120.8</v>
      </c>
      <c r="N10" s="8">
        <f t="shared" si="3"/>
        <v>138.80000000000001</v>
      </c>
      <c r="O10" s="3"/>
      <c r="P10" s="3"/>
      <c r="Q10" s="3"/>
      <c r="R10" s="3"/>
      <c r="S10" s="3"/>
      <c r="T10" s="3"/>
      <c r="U10" s="3"/>
      <c r="V10" s="3">
        <f t="shared" si="4"/>
        <v>411.1</v>
      </c>
      <c r="W10" s="3">
        <f t="shared" si="5"/>
        <v>526.5</v>
      </c>
      <c r="X10" s="3"/>
      <c r="Y10" s="3"/>
      <c r="Z10" s="3"/>
      <c r="AA10" s="3"/>
      <c r="AB10" s="3"/>
      <c r="AC10" s="3"/>
      <c r="AD10" s="3"/>
      <c r="AE10" s="3"/>
      <c r="AF10" s="3"/>
    </row>
    <row r="11" spans="1:36" s="1" customFormat="1" x14ac:dyDescent="0.2">
      <c r="B11" s="1" t="s">
        <v>32</v>
      </c>
      <c r="C11" s="3"/>
      <c r="D11" s="3"/>
      <c r="E11" s="3">
        <v>153.69999999999999</v>
      </c>
      <c r="F11" s="3"/>
      <c r="G11" s="3">
        <v>149.19999999999999</v>
      </c>
      <c r="H11" s="3">
        <v>149.30000000000001</v>
      </c>
      <c r="I11" s="3">
        <v>157.19999999999999</v>
      </c>
      <c r="J11" s="3">
        <v>162.80000000000001</v>
      </c>
      <c r="K11" s="3">
        <v>121.2</v>
      </c>
      <c r="L11" s="3">
        <v>130.80000000000001</v>
      </c>
      <c r="M11" s="8">
        <f t="shared" si="2"/>
        <v>157.19999999999999</v>
      </c>
      <c r="N11" s="8">
        <f t="shared" si="3"/>
        <v>162.80000000000001</v>
      </c>
      <c r="O11" s="3"/>
      <c r="P11" s="3"/>
      <c r="Q11" s="3"/>
      <c r="R11" s="3"/>
      <c r="S11" s="3"/>
      <c r="T11" s="3"/>
      <c r="U11" s="3"/>
      <c r="V11" s="3">
        <f t="shared" si="4"/>
        <v>618.5</v>
      </c>
      <c r="W11" s="3">
        <f t="shared" si="5"/>
        <v>572</v>
      </c>
      <c r="X11" s="3"/>
      <c r="Y11" s="3"/>
      <c r="Z11" s="3"/>
      <c r="AA11" s="3"/>
      <c r="AB11" s="3"/>
      <c r="AC11" s="3"/>
      <c r="AD11" s="3"/>
      <c r="AE11" s="3"/>
      <c r="AF11" s="3"/>
    </row>
    <row r="12" spans="1:36" s="1" customFormat="1" x14ac:dyDescent="0.2">
      <c r="B12" s="1" t="s">
        <v>33</v>
      </c>
      <c r="C12" s="3"/>
      <c r="D12" s="3"/>
      <c r="E12" s="3">
        <v>71.599999999999994</v>
      </c>
      <c r="F12" s="3"/>
      <c r="G12" s="3">
        <v>83.3</v>
      </c>
      <c r="H12" s="3">
        <v>79.2</v>
      </c>
      <c r="I12" s="3">
        <v>90.8</v>
      </c>
      <c r="J12" s="3">
        <v>96.3</v>
      </c>
      <c r="K12" s="3">
        <v>89.3</v>
      </c>
      <c r="L12" s="3">
        <v>101</v>
      </c>
      <c r="M12" s="8">
        <f t="shared" si="2"/>
        <v>90.8</v>
      </c>
      <c r="N12" s="8">
        <f t="shared" si="3"/>
        <v>96.3</v>
      </c>
      <c r="O12" s="3"/>
      <c r="P12" s="3"/>
      <c r="Q12" s="3"/>
      <c r="R12" s="3"/>
      <c r="S12" s="3"/>
      <c r="T12" s="3"/>
      <c r="U12" s="3"/>
      <c r="V12" s="3">
        <f t="shared" si="4"/>
        <v>349.6</v>
      </c>
      <c r="W12" s="3">
        <f t="shared" si="5"/>
        <v>377.40000000000003</v>
      </c>
      <c r="X12" s="3"/>
      <c r="Y12" s="3"/>
      <c r="Z12" s="3"/>
      <c r="AA12" s="3"/>
      <c r="AB12" s="3"/>
      <c r="AC12" s="3"/>
      <c r="AD12" s="3"/>
      <c r="AE12" s="3"/>
      <c r="AF12" s="3"/>
    </row>
    <row r="13" spans="1:36" s="1" customFormat="1" x14ac:dyDescent="0.2">
      <c r="B13" s="1" t="s">
        <v>34</v>
      </c>
      <c r="C13" s="3"/>
      <c r="D13" s="3"/>
      <c r="E13" s="3">
        <v>66.400000000000006</v>
      </c>
      <c r="F13" s="3"/>
      <c r="G13" s="3">
        <v>79.599999999999994</v>
      </c>
      <c r="H13" s="3">
        <v>80.7</v>
      </c>
      <c r="I13" s="3">
        <v>84.5</v>
      </c>
      <c r="J13" s="3">
        <v>82.8</v>
      </c>
      <c r="K13" s="3">
        <v>83.3</v>
      </c>
      <c r="L13" s="3">
        <v>81.8</v>
      </c>
      <c r="M13" s="8">
        <f t="shared" si="2"/>
        <v>84.5</v>
      </c>
      <c r="N13" s="8">
        <f t="shared" si="3"/>
        <v>82.8</v>
      </c>
      <c r="O13" s="3"/>
      <c r="P13" s="3"/>
      <c r="Q13" s="3"/>
      <c r="R13" s="3"/>
      <c r="S13" s="3"/>
      <c r="T13" s="3"/>
      <c r="U13" s="3"/>
      <c r="V13" s="3">
        <f t="shared" si="4"/>
        <v>327.60000000000002</v>
      </c>
      <c r="W13" s="3">
        <f t="shared" si="5"/>
        <v>332.4</v>
      </c>
      <c r="X13" s="3"/>
      <c r="Y13" s="3"/>
      <c r="Z13" s="3"/>
      <c r="AA13" s="3"/>
      <c r="AB13" s="3"/>
      <c r="AC13" s="3"/>
      <c r="AD13" s="3"/>
      <c r="AE13" s="3"/>
      <c r="AF13" s="3"/>
    </row>
    <row r="14" spans="1:36" s="1" customFormat="1" x14ac:dyDescent="0.2">
      <c r="B14" s="1" t="s">
        <v>35</v>
      </c>
      <c r="C14" s="3"/>
      <c r="D14" s="3"/>
      <c r="E14" s="3">
        <v>66.7</v>
      </c>
      <c r="F14" s="3"/>
      <c r="G14" s="3">
        <v>71.900000000000006</v>
      </c>
      <c r="H14" s="3">
        <v>70.099999999999994</v>
      </c>
      <c r="I14" s="3">
        <v>87.4</v>
      </c>
      <c r="J14" s="3">
        <v>96.8</v>
      </c>
      <c r="K14" s="3">
        <v>80.7</v>
      </c>
      <c r="L14" s="3">
        <v>97.2</v>
      </c>
      <c r="M14" s="8">
        <f t="shared" si="2"/>
        <v>87.4</v>
      </c>
      <c r="N14" s="8">
        <f t="shared" si="3"/>
        <v>96.8</v>
      </c>
      <c r="O14" s="3"/>
      <c r="P14" s="3"/>
      <c r="Q14" s="3"/>
      <c r="R14" s="3"/>
      <c r="S14" s="3"/>
      <c r="T14" s="3"/>
      <c r="U14" s="3"/>
      <c r="V14" s="3">
        <f t="shared" si="4"/>
        <v>326.2</v>
      </c>
      <c r="W14" s="3">
        <f t="shared" si="5"/>
        <v>362.1</v>
      </c>
      <c r="X14" s="3"/>
      <c r="Y14" s="3"/>
      <c r="Z14" s="3"/>
      <c r="AA14" s="3"/>
      <c r="AB14" s="3"/>
      <c r="AC14" s="3"/>
      <c r="AD14" s="3"/>
      <c r="AE14" s="3"/>
      <c r="AF14" s="3"/>
    </row>
    <row r="15" spans="1:36" s="1" customFormat="1" x14ac:dyDescent="0.2">
      <c r="B15" s="1" t="s">
        <v>36</v>
      </c>
      <c r="C15" s="3"/>
      <c r="D15" s="3"/>
      <c r="E15" s="3">
        <v>54</v>
      </c>
      <c r="F15" s="3"/>
      <c r="G15" s="3">
        <v>65.400000000000006</v>
      </c>
      <c r="H15" s="3">
        <v>56.1</v>
      </c>
      <c r="I15" s="3">
        <v>74.400000000000006</v>
      </c>
      <c r="J15" s="3">
        <v>77.099999999999994</v>
      </c>
      <c r="K15" s="3">
        <v>80.400000000000006</v>
      </c>
      <c r="L15" s="3">
        <v>83.6</v>
      </c>
      <c r="M15" s="8">
        <f t="shared" si="2"/>
        <v>74.400000000000006</v>
      </c>
      <c r="N15" s="8">
        <f t="shared" si="3"/>
        <v>77.099999999999994</v>
      </c>
      <c r="O15" s="3"/>
      <c r="P15" s="3"/>
      <c r="Q15" s="3"/>
      <c r="R15" s="3"/>
      <c r="S15" s="3"/>
      <c r="T15" s="3"/>
      <c r="U15" s="3"/>
      <c r="V15" s="3">
        <f t="shared" si="4"/>
        <v>273</v>
      </c>
      <c r="W15" s="3">
        <f t="shared" si="5"/>
        <v>315.5</v>
      </c>
      <c r="X15" s="3"/>
      <c r="Y15" s="3"/>
      <c r="Z15" s="3"/>
      <c r="AA15" s="3"/>
      <c r="AB15" s="3"/>
      <c r="AC15" s="3"/>
      <c r="AD15" s="3"/>
      <c r="AE15" s="3"/>
      <c r="AF15" s="3"/>
    </row>
    <row r="16" spans="1:36" s="7" customFormat="1" x14ac:dyDescent="0.2">
      <c r="B16" s="7" t="s">
        <v>37</v>
      </c>
      <c r="C16" s="8"/>
      <c r="D16" s="8"/>
      <c r="E16" s="8">
        <v>0</v>
      </c>
      <c r="F16" s="8"/>
      <c r="G16" s="8">
        <v>9.4</v>
      </c>
      <c r="H16" s="8">
        <v>71.8</v>
      </c>
      <c r="I16" s="8">
        <v>64.400000000000006</v>
      </c>
      <c r="J16" s="8">
        <v>84.1</v>
      </c>
      <c r="K16" s="8">
        <v>67.400000000000006</v>
      </c>
      <c r="L16" s="8">
        <v>91.9</v>
      </c>
      <c r="M16" s="8">
        <f t="shared" si="2"/>
        <v>64.400000000000006</v>
      </c>
      <c r="N16" s="8">
        <f t="shared" si="3"/>
        <v>84.1</v>
      </c>
      <c r="O16" s="8"/>
      <c r="P16" s="8"/>
      <c r="Q16" s="8"/>
      <c r="R16" s="8"/>
      <c r="S16" s="8"/>
      <c r="T16" s="8"/>
      <c r="U16" s="8"/>
      <c r="V16" s="3">
        <f t="shared" si="4"/>
        <v>229.70000000000002</v>
      </c>
      <c r="W16" s="3">
        <f t="shared" si="5"/>
        <v>307.8</v>
      </c>
      <c r="X16" s="8"/>
      <c r="Y16" s="8"/>
      <c r="Z16" s="8"/>
      <c r="AA16" s="8"/>
      <c r="AB16" s="8"/>
      <c r="AC16" s="8"/>
      <c r="AD16" s="8"/>
      <c r="AE16" s="8"/>
      <c r="AF16" s="8"/>
    </row>
    <row r="17" spans="2:32" s="7" customFormat="1" x14ac:dyDescent="0.2">
      <c r="B17" s="7" t="s">
        <v>38</v>
      </c>
      <c r="C17" s="8"/>
      <c r="D17" s="8"/>
      <c r="E17" s="8">
        <v>0</v>
      </c>
      <c r="F17" s="8"/>
      <c r="G17" s="8">
        <v>53.6</v>
      </c>
      <c r="H17" s="8">
        <v>0</v>
      </c>
      <c r="I17" s="8">
        <v>0</v>
      </c>
      <c r="J17" s="8">
        <v>59.7</v>
      </c>
      <c r="K17" s="8">
        <v>61.5</v>
      </c>
      <c r="L17" s="8">
        <v>50.9</v>
      </c>
      <c r="M17" s="8">
        <f t="shared" ref="M17:N17" si="6">+L17</f>
        <v>50.9</v>
      </c>
      <c r="N17" s="8">
        <f t="shared" si="6"/>
        <v>50.9</v>
      </c>
      <c r="O17" s="8"/>
      <c r="P17" s="8"/>
      <c r="Q17" s="8"/>
      <c r="R17" s="8"/>
      <c r="S17" s="8"/>
      <c r="T17" s="8"/>
      <c r="U17" s="8"/>
      <c r="V17" s="3">
        <f t="shared" si="4"/>
        <v>113.30000000000001</v>
      </c>
      <c r="W17" s="3">
        <f t="shared" si="5"/>
        <v>214.20000000000002</v>
      </c>
      <c r="X17" s="8"/>
      <c r="Y17" s="8"/>
      <c r="Z17" s="8"/>
      <c r="AA17" s="8"/>
      <c r="AB17" s="8"/>
      <c r="AC17" s="8"/>
      <c r="AD17" s="8"/>
      <c r="AE17" s="8"/>
      <c r="AF17" s="8"/>
    </row>
    <row r="18" spans="2:32" s="7" customFormat="1" x14ac:dyDescent="0.2">
      <c r="B18" s="7" t="s">
        <v>39</v>
      </c>
      <c r="C18" s="8"/>
      <c r="D18" s="8"/>
      <c r="E18" s="8">
        <v>0</v>
      </c>
      <c r="F18" s="8"/>
      <c r="G18" s="8">
        <v>7</v>
      </c>
      <c r="H18" s="8">
        <v>0</v>
      </c>
      <c r="I18" s="8">
        <v>0</v>
      </c>
      <c r="J18" s="8"/>
      <c r="K18" s="8">
        <v>60.5</v>
      </c>
      <c r="L18" s="8">
        <v>67.2</v>
      </c>
      <c r="M18" s="8">
        <f>+L18</f>
        <v>67.2</v>
      </c>
      <c r="N18" s="8">
        <f t="shared" ref="N18" si="7">+M18</f>
        <v>67.2</v>
      </c>
      <c r="O18" s="8"/>
      <c r="P18" s="8"/>
      <c r="Q18" s="8"/>
      <c r="R18" s="8"/>
      <c r="S18" s="8"/>
      <c r="T18" s="8"/>
      <c r="U18" s="8"/>
      <c r="V18" s="3">
        <f t="shared" si="4"/>
        <v>7</v>
      </c>
      <c r="W18" s="3">
        <f t="shared" si="5"/>
        <v>262.10000000000002</v>
      </c>
      <c r="X18" s="8"/>
      <c r="Y18" s="8"/>
      <c r="Z18" s="8"/>
      <c r="AA18" s="8"/>
      <c r="AB18" s="8"/>
      <c r="AC18" s="8"/>
      <c r="AD18" s="8"/>
      <c r="AE18" s="8"/>
      <c r="AF18" s="8"/>
    </row>
    <row r="19" spans="2:32" s="7" customFormat="1" x14ac:dyDescent="0.2">
      <c r="B19" s="7" t="s">
        <v>40</v>
      </c>
      <c r="C19" s="8"/>
      <c r="D19" s="8"/>
      <c r="E19" s="8">
        <v>0</v>
      </c>
      <c r="F19" s="8"/>
      <c r="G19" s="8">
        <v>6</v>
      </c>
      <c r="H19" s="8">
        <v>60.3</v>
      </c>
      <c r="I19" s="8">
        <v>48</v>
      </c>
      <c r="J19" s="8">
        <v>56.5</v>
      </c>
      <c r="K19" s="8">
        <v>33</v>
      </c>
      <c r="L19" s="8">
        <v>54.1</v>
      </c>
      <c r="M19" s="8">
        <f>+I19</f>
        <v>48</v>
      </c>
      <c r="N19" s="8">
        <f t="shared" si="3"/>
        <v>56.5</v>
      </c>
      <c r="O19" s="8"/>
      <c r="P19" s="8"/>
      <c r="Q19" s="8"/>
      <c r="R19" s="8"/>
      <c r="S19" s="8"/>
      <c r="T19" s="8"/>
      <c r="U19" s="8"/>
      <c r="V19" s="3">
        <f t="shared" si="4"/>
        <v>170.8</v>
      </c>
      <c r="W19" s="3">
        <f t="shared" si="5"/>
        <v>191.6</v>
      </c>
      <c r="X19" s="8"/>
      <c r="Y19" s="8"/>
      <c r="Z19" s="8"/>
      <c r="AA19" s="8"/>
      <c r="AB19" s="8"/>
      <c r="AC19" s="8"/>
      <c r="AD19" s="8"/>
      <c r="AE19" s="8"/>
      <c r="AF19" s="8"/>
    </row>
    <row r="20" spans="2:32" s="7" customFormat="1" x14ac:dyDescent="0.2">
      <c r="B20" s="7" t="s">
        <v>41</v>
      </c>
      <c r="C20" s="8"/>
      <c r="D20" s="8"/>
      <c r="E20" s="8">
        <v>307</v>
      </c>
      <c r="F20" s="8"/>
      <c r="G20" s="8">
        <v>245.4</v>
      </c>
      <c r="H20" s="8">
        <v>232.6</v>
      </c>
      <c r="I20" s="8">
        <v>54.9</v>
      </c>
      <c r="J20" s="8">
        <v>23.4</v>
      </c>
      <c r="K20" s="8">
        <v>5.8</v>
      </c>
      <c r="L20" s="8">
        <v>4.0999999999999996</v>
      </c>
      <c r="M20" s="8">
        <f>+L20</f>
        <v>4.0999999999999996</v>
      </c>
      <c r="N20" s="8">
        <f t="shared" ref="N20" si="8">+M20</f>
        <v>4.0999999999999996</v>
      </c>
      <c r="O20" s="8"/>
      <c r="P20" s="8"/>
      <c r="Q20" s="8"/>
      <c r="R20" s="8"/>
      <c r="S20" s="8"/>
      <c r="T20" s="8"/>
      <c r="U20" s="8"/>
      <c r="V20" s="3">
        <f t="shared" si="4"/>
        <v>556.29999999999995</v>
      </c>
      <c r="W20" s="3">
        <f t="shared" si="5"/>
        <v>18.099999999999998</v>
      </c>
      <c r="X20" s="8"/>
      <c r="Y20" s="8"/>
      <c r="Z20" s="8"/>
      <c r="AA20" s="8"/>
      <c r="AB20" s="8"/>
      <c r="AC20" s="8"/>
      <c r="AD20" s="8"/>
      <c r="AE20" s="8"/>
      <c r="AF20" s="8"/>
    </row>
    <row r="21" spans="2:32" s="1" customFormat="1" x14ac:dyDescent="0.2">
      <c r="B21" s="1" t="s">
        <v>42</v>
      </c>
      <c r="C21" s="3"/>
      <c r="D21" s="3"/>
      <c r="E21" s="3">
        <v>591.9</v>
      </c>
      <c r="F21" s="3"/>
      <c r="G21" s="3"/>
      <c r="H21" s="3">
        <f>973.6-23.5</f>
        <v>950.1</v>
      </c>
      <c r="I21" s="3">
        <f>984.5-3.7</f>
        <v>980.8</v>
      </c>
      <c r="J21" s="3">
        <v>884.3</v>
      </c>
      <c r="K21" s="3">
        <v>807.9</v>
      </c>
      <c r="L21" s="3">
        <f>823.8-24.4</f>
        <v>799.4</v>
      </c>
      <c r="M21" s="3">
        <f>+I21*0.9</f>
        <v>882.72</v>
      </c>
      <c r="N21" s="3">
        <f t="shared" ref="N21" si="9">+J21*0.9</f>
        <v>795.87</v>
      </c>
      <c r="O21" s="3"/>
      <c r="P21" s="3"/>
      <c r="Q21" s="3"/>
      <c r="R21" s="3"/>
      <c r="S21" s="3"/>
      <c r="T21" s="3"/>
      <c r="U21" s="3"/>
      <c r="V21" s="3">
        <f t="shared" si="4"/>
        <v>2815.2</v>
      </c>
      <c r="W21" s="3">
        <f t="shared" si="5"/>
        <v>3285.89</v>
      </c>
      <c r="X21" s="3"/>
      <c r="Y21" s="3"/>
      <c r="Z21" s="3"/>
      <c r="AA21" s="3"/>
      <c r="AB21" s="3"/>
      <c r="AC21" s="3"/>
      <c r="AD21" s="3"/>
      <c r="AE21" s="3"/>
      <c r="AF21" s="3"/>
    </row>
    <row r="22" spans="2:32" s="1" customFormat="1" x14ac:dyDescent="0.2">
      <c r="B22" s="1" t="s">
        <v>8</v>
      </c>
      <c r="C22" s="3"/>
      <c r="D22" s="3"/>
      <c r="E22" s="3"/>
      <c r="F22" s="3"/>
      <c r="G22" s="3">
        <v>1809.2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f t="shared" si="4"/>
        <v>1809.2</v>
      </c>
      <c r="W22" s="3">
        <f t="shared" si="5"/>
        <v>0</v>
      </c>
      <c r="X22" s="3"/>
      <c r="Y22" s="3"/>
      <c r="Z22" s="3"/>
      <c r="AA22" s="3"/>
      <c r="AB22" s="3"/>
      <c r="AC22" s="3"/>
      <c r="AD22" s="3"/>
      <c r="AE22" s="3"/>
      <c r="AF22" s="3"/>
    </row>
    <row r="23" spans="2:32" s="1" customFormat="1" x14ac:dyDescent="0.2">
      <c r="B23" s="1" t="s">
        <v>9</v>
      </c>
      <c r="C23" s="3"/>
      <c r="D23" s="3"/>
      <c r="E23" s="3"/>
      <c r="F23" s="3"/>
      <c r="G23" s="3">
        <v>79.8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f t="shared" si="4"/>
        <v>79.8</v>
      </c>
      <c r="W23" s="3">
        <f t="shared" si="5"/>
        <v>0</v>
      </c>
      <c r="X23" s="3"/>
      <c r="Y23" s="3"/>
      <c r="Z23" s="3"/>
      <c r="AA23" s="3"/>
      <c r="AB23" s="3"/>
      <c r="AC23" s="3"/>
      <c r="AD23" s="3"/>
      <c r="AE23" s="3"/>
      <c r="AF23" s="3"/>
    </row>
    <row r="24" spans="2:32" s="1" customFormat="1" x14ac:dyDescent="0.2">
      <c r="B24" s="1" t="s">
        <v>10</v>
      </c>
      <c r="C24" s="3"/>
      <c r="D24" s="3"/>
      <c r="E24" s="3"/>
      <c r="F24" s="3"/>
      <c r="G24" s="3">
        <v>118.7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f t="shared" si="4"/>
        <v>118.7</v>
      </c>
      <c r="W24" s="3">
        <f t="shared" si="5"/>
        <v>0</v>
      </c>
      <c r="X24" s="3"/>
      <c r="Y24" s="3"/>
      <c r="Z24" s="3"/>
      <c r="AA24" s="3"/>
      <c r="AB24" s="3"/>
      <c r="AC24" s="3"/>
      <c r="AD24" s="3"/>
      <c r="AE24" s="3"/>
      <c r="AF24" s="3"/>
    </row>
    <row r="25" spans="2:32" s="1" customFormat="1" x14ac:dyDescent="0.2">
      <c r="B25" s="1" t="s">
        <v>56</v>
      </c>
      <c r="C25" s="3"/>
      <c r="D25" s="3"/>
      <c r="E25" s="3"/>
      <c r="F25" s="3"/>
      <c r="G25" s="3"/>
      <c r="H25" s="3">
        <v>1580.6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f t="shared" si="4"/>
        <v>1580.6</v>
      </c>
      <c r="W25" s="3">
        <f t="shared" si="5"/>
        <v>0</v>
      </c>
      <c r="X25" s="3"/>
      <c r="Y25" s="3"/>
      <c r="Z25" s="3"/>
      <c r="AA25" s="3"/>
      <c r="AB25" s="3"/>
      <c r="AC25" s="3"/>
      <c r="AD25" s="3"/>
      <c r="AE25" s="3"/>
      <c r="AF25" s="3"/>
    </row>
    <row r="26" spans="2:32" s="1" customFormat="1" x14ac:dyDescent="0.2">
      <c r="B26" s="1" t="s">
        <v>11</v>
      </c>
      <c r="C26" s="3"/>
      <c r="D26" s="3"/>
      <c r="E26" s="3">
        <v>500.3</v>
      </c>
      <c r="F26" s="3"/>
      <c r="G26" s="3">
        <v>554.29999999999995</v>
      </c>
      <c r="H26" s="3">
        <v>462.4</v>
      </c>
      <c r="I26" s="3">
        <v>576</v>
      </c>
      <c r="J26" s="3">
        <v>547</v>
      </c>
      <c r="K26" s="3">
        <v>364.7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>
        <f t="shared" si="4"/>
        <v>2139.6999999999998</v>
      </c>
      <c r="W26" s="3">
        <f t="shared" si="5"/>
        <v>364.7</v>
      </c>
      <c r="X26" s="3"/>
      <c r="Y26" s="3"/>
      <c r="Z26" s="3"/>
      <c r="AA26" s="3"/>
      <c r="AB26" s="3"/>
      <c r="AC26" s="3"/>
      <c r="AD26" s="3"/>
      <c r="AE26" s="3"/>
      <c r="AF26" s="3"/>
    </row>
    <row r="27" spans="2:32" s="4" customFormat="1" x14ac:dyDescent="0.2">
      <c r="B27" s="4" t="s">
        <v>12</v>
      </c>
      <c r="C27" s="5"/>
      <c r="D27" s="5"/>
      <c r="E27" s="5">
        <f>SUM(E3:E26)</f>
        <v>2150.8000000000002</v>
      </c>
      <c r="F27" s="5"/>
      <c r="G27" s="5">
        <f>SUM(G3:G26)</f>
        <v>3919.4000000000005</v>
      </c>
      <c r="H27" s="5">
        <f>SUM(H3:H26)</f>
        <v>5731.4999999999991</v>
      </c>
      <c r="I27" s="5">
        <f>SUM(I3:I26)</f>
        <v>4085.2000000000007</v>
      </c>
      <c r="J27" s="5">
        <f>SUM(J3:J26)</f>
        <v>4197.5</v>
      </c>
      <c r="K27" s="5">
        <f>SUM(K3:K26)</f>
        <v>3795.9000000000005</v>
      </c>
      <c r="L27" s="5">
        <f>SUM(L3:L26)</f>
        <v>3684.8</v>
      </c>
      <c r="M27" s="5">
        <f t="shared" ref="M27:N27" si="10">SUM(M3:M26)</f>
        <v>3538.87</v>
      </c>
      <c r="N27" s="5">
        <f t="shared" si="10"/>
        <v>3633.9550000000004</v>
      </c>
      <c r="O27" s="5"/>
      <c r="P27" s="5"/>
      <c r="Q27" s="5"/>
      <c r="R27" s="5"/>
      <c r="S27" s="5"/>
      <c r="T27" s="5"/>
      <c r="U27" s="5"/>
      <c r="V27" s="5">
        <f>SUM(V3:V21)+V26</f>
        <v>14345.300000000003</v>
      </c>
      <c r="W27" s="5">
        <f>SUM(W3:W21)+W26</f>
        <v>14653.525000000001</v>
      </c>
      <c r="X27" s="5"/>
      <c r="Y27" s="5"/>
      <c r="Z27" s="5"/>
      <c r="AA27" s="5"/>
      <c r="AB27" s="5"/>
      <c r="AC27" s="5"/>
      <c r="AD27" s="5"/>
      <c r="AE27" s="5"/>
      <c r="AF27" s="5"/>
    </row>
    <row r="28" spans="2:32" s="1" customFormat="1" x14ac:dyDescent="0.2">
      <c r="B28" s="1" t="s">
        <v>43</v>
      </c>
      <c r="C28" s="3"/>
      <c r="D28" s="3"/>
      <c r="E28" s="3"/>
      <c r="F28" s="3"/>
      <c r="G28" s="3"/>
      <c r="H28" s="3">
        <v>1587.2</v>
      </c>
      <c r="I28" s="3">
        <v>924.7</v>
      </c>
      <c r="J28" s="3">
        <v>917.7</v>
      </c>
      <c r="K28" s="3">
        <v>754.2</v>
      </c>
      <c r="L28" s="3">
        <v>441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2:32" s="1" customFormat="1" x14ac:dyDescent="0.2">
      <c r="B29" s="1" t="s">
        <v>44</v>
      </c>
      <c r="C29" s="3"/>
      <c r="D29" s="3"/>
      <c r="E29" s="3"/>
      <c r="F29" s="3"/>
      <c r="G29" s="3"/>
      <c r="H29" s="3">
        <f>+H27-H28</f>
        <v>4144.2999999999993</v>
      </c>
      <c r="I29" s="3">
        <f>+I27-I28</f>
        <v>3160.5000000000009</v>
      </c>
      <c r="J29" s="3">
        <f>+J27-J28</f>
        <v>3279.8</v>
      </c>
      <c r="K29" s="3">
        <f>+K27-K28</f>
        <v>3041.7000000000007</v>
      </c>
      <c r="L29" s="3">
        <f>+L27-L28</f>
        <v>3243.8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2:32" s="1" customFormat="1" x14ac:dyDescent="0.2">
      <c r="B30" s="1" t="s">
        <v>45</v>
      </c>
      <c r="C30" s="3"/>
      <c r="D30" s="3"/>
      <c r="E30" s="3"/>
      <c r="F30" s="3"/>
      <c r="G30" s="3"/>
      <c r="H30" s="3">
        <v>406</v>
      </c>
      <c r="I30" s="3">
        <v>305</v>
      </c>
      <c r="J30" s="3">
        <v>338.1</v>
      </c>
      <c r="K30" s="3">
        <v>276.5</v>
      </c>
      <c r="L30" s="3">
        <v>345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2:32" s="1" customFormat="1" x14ac:dyDescent="0.2">
      <c r="B31" s="1" t="s">
        <v>58</v>
      </c>
      <c r="C31" s="3"/>
      <c r="D31" s="3"/>
      <c r="E31" s="3"/>
      <c r="F31" s="3"/>
      <c r="G31" s="3"/>
      <c r="H31" s="3">
        <v>1243.2</v>
      </c>
      <c r="I31" s="3">
        <v>914.8</v>
      </c>
      <c r="J31" s="3">
        <v>1046.2</v>
      </c>
      <c r="K31" s="3">
        <v>795.8</v>
      </c>
      <c r="L31" s="3">
        <v>828.4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2:32" s="1" customFormat="1" x14ac:dyDescent="0.2">
      <c r="B32" s="1" t="s">
        <v>57</v>
      </c>
      <c r="C32" s="3"/>
      <c r="D32" s="3"/>
      <c r="E32" s="3"/>
      <c r="F32" s="3"/>
      <c r="G32" s="3"/>
      <c r="H32" s="3"/>
      <c r="I32" s="3"/>
      <c r="J32" s="3"/>
      <c r="K32" s="3">
        <v>342.6</v>
      </c>
      <c r="L32" s="3">
        <v>210.4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s="1" customFormat="1" x14ac:dyDescent="0.2">
      <c r="B33" s="1" t="s">
        <v>46</v>
      </c>
      <c r="C33" s="3"/>
      <c r="D33" s="3"/>
      <c r="E33" s="3"/>
      <c r="F33" s="3"/>
      <c r="G33" s="3"/>
      <c r="H33" s="3">
        <f t="shared" ref="H33:I33" si="11">H31+H30</f>
        <v>1649.2</v>
      </c>
      <c r="I33" s="3">
        <f t="shared" si="11"/>
        <v>1219.8</v>
      </c>
      <c r="J33" s="3">
        <f>J31+J30</f>
        <v>1384.3000000000002</v>
      </c>
      <c r="K33" s="3">
        <f>K31+K30</f>
        <v>1072.3</v>
      </c>
      <c r="L33" s="3">
        <f>+L32+L31+L30</f>
        <v>1383.8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s="1" customFormat="1" x14ac:dyDescent="0.2">
      <c r="B34" s="1" t="s">
        <v>47</v>
      </c>
      <c r="C34" s="3"/>
      <c r="D34" s="3"/>
      <c r="E34" s="3"/>
      <c r="F34" s="3"/>
      <c r="G34" s="3"/>
      <c r="H34" s="3">
        <f t="shared" ref="H34:I34" si="12">H29-H33</f>
        <v>2495.0999999999995</v>
      </c>
      <c r="I34" s="3">
        <f t="shared" si="12"/>
        <v>1940.700000000001</v>
      </c>
      <c r="J34" s="3">
        <f>J29-J33</f>
        <v>1895.5</v>
      </c>
      <c r="K34" s="3">
        <f>K29-K33</f>
        <v>1969.4000000000008</v>
      </c>
      <c r="L34" s="3">
        <f>+L29-L33</f>
        <v>1860.0000000000002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s="1" customFormat="1" x14ac:dyDescent="0.2">
      <c r="B35" s="1" t="s">
        <v>52</v>
      </c>
      <c r="C35" s="3"/>
      <c r="D35" s="3"/>
      <c r="E35" s="3"/>
      <c r="F35" s="3"/>
      <c r="G35" s="3"/>
      <c r="H35" s="3">
        <v>-356.3</v>
      </c>
      <c r="I35" s="3">
        <v>-360.6</v>
      </c>
      <c r="J35" s="3">
        <f>3.2-360.8+5.7</f>
        <v>-351.90000000000003</v>
      </c>
      <c r="K35" s="3">
        <v>-349.2</v>
      </c>
      <c r="L35" s="3">
        <f>-353.6+0.1</f>
        <v>-353.5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s="1" customFormat="1" x14ac:dyDescent="0.2">
      <c r="B36" s="1" t="s">
        <v>51</v>
      </c>
      <c r="C36" s="3"/>
      <c r="D36" s="3"/>
      <c r="E36" s="3"/>
      <c r="F36" s="3"/>
      <c r="G36" s="3"/>
      <c r="H36" s="3">
        <f t="shared" ref="H36:I36" si="13">+H34+H35</f>
        <v>2138.7999999999993</v>
      </c>
      <c r="I36" s="3">
        <f t="shared" si="13"/>
        <v>1580.1000000000008</v>
      </c>
      <c r="J36" s="3">
        <f>+J34+J35</f>
        <v>1543.6</v>
      </c>
      <c r="K36" s="3">
        <f>+K34+K35</f>
        <v>1620.2000000000007</v>
      </c>
      <c r="L36" s="3">
        <f>+L34+L35</f>
        <v>1506.5000000000002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s="1" customFormat="1" x14ac:dyDescent="0.2">
      <c r="B37" s="1" t="s">
        <v>50</v>
      </c>
      <c r="C37" s="3"/>
      <c r="D37" s="3"/>
      <c r="E37" s="3"/>
      <c r="F37" s="3"/>
      <c r="G37" s="3"/>
      <c r="H37" s="3">
        <v>309.7</v>
      </c>
      <c r="I37" s="3">
        <v>132.6</v>
      </c>
      <c r="J37" s="3">
        <v>126.6</v>
      </c>
      <c r="K37" s="3">
        <v>136</v>
      </c>
      <c r="L37" s="3">
        <v>106.7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s="1" customFormat="1" x14ac:dyDescent="0.2">
      <c r="B38" s="1" t="s">
        <v>49</v>
      </c>
      <c r="C38" s="3"/>
      <c r="D38" s="3"/>
      <c r="E38" s="3"/>
      <c r="F38" s="3"/>
      <c r="G38" s="3"/>
      <c r="H38" s="3">
        <f t="shared" ref="H38:I38" si="14">+H36-H37</f>
        <v>1829.0999999999992</v>
      </c>
      <c r="I38" s="3">
        <f t="shared" si="14"/>
        <v>1447.5000000000009</v>
      </c>
      <c r="J38" s="3">
        <f>+J36-J37</f>
        <v>1417</v>
      </c>
      <c r="K38" s="3">
        <f>+K36-K37</f>
        <v>1484.2000000000007</v>
      </c>
      <c r="L38" s="3">
        <f>+L36-L37</f>
        <v>1399.8000000000002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x14ac:dyDescent="0.2">
      <c r="B39" t="s">
        <v>48</v>
      </c>
      <c r="H39" s="9">
        <f t="shared" ref="H39:I39" si="15">H38/H40</f>
        <v>4.41385135135135</v>
      </c>
      <c r="I39" s="9">
        <f t="shared" si="15"/>
        <v>3.4770598126351211</v>
      </c>
      <c r="J39" s="9">
        <f>J38/J40</f>
        <v>3.4087082030310323</v>
      </c>
      <c r="K39" s="9">
        <f>K38/K40</f>
        <v>3.5524174246050757</v>
      </c>
      <c r="L39" s="9">
        <f>L38/L40</f>
        <v>3.3536176329659804</v>
      </c>
    </row>
    <row r="40" spans="2:32" s="1" customFormat="1" x14ac:dyDescent="0.2">
      <c r="B40" s="1" t="s">
        <v>1</v>
      </c>
      <c r="C40" s="3"/>
      <c r="D40" s="3"/>
      <c r="E40" s="3"/>
      <c r="F40" s="3"/>
      <c r="G40" s="3"/>
      <c r="H40" s="3">
        <v>414.4</v>
      </c>
      <c r="I40" s="3">
        <v>416.3</v>
      </c>
      <c r="J40" s="3">
        <v>415.7</v>
      </c>
      <c r="K40" s="3">
        <v>417.8</v>
      </c>
      <c r="L40" s="3">
        <v>417.4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2" spans="2:32" x14ac:dyDescent="0.2">
      <c r="B42" s="1" t="s">
        <v>24</v>
      </c>
      <c r="K42" s="20">
        <f>K3/G3-1</f>
        <v>6.5892857142857144</v>
      </c>
      <c r="L42" s="20">
        <f>L3/H3-1</f>
        <v>0.1396674584323041</v>
      </c>
    </row>
    <row r="43" spans="2:32" x14ac:dyDescent="0.2">
      <c r="B43" t="s">
        <v>25</v>
      </c>
      <c r="K43" s="20">
        <f>K4/G4-1</f>
        <v>9.4916387959866224</v>
      </c>
      <c r="L43" s="20">
        <f>L4/H4-1</f>
        <v>0.20184615384615401</v>
      </c>
    </row>
    <row r="45" spans="2:32" x14ac:dyDescent="0.2">
      <c r="B45" t="s">
        <v>72</v>
      </c>
      <c r="K45" s="3">
        <f t="shared" ref="K45" si="16">K46-K58</f>
        <v>-39888.199999999997</v>
      </c>
      <c r="L45" s="3">
        <f>L46-L58</f>
        <v>-38722.5</v>
      </c>
    </row>
    <row r="46" spans="2:32" s="1" customFormat="1" x14ac:dyDescent="0.2">
      <c r="B46" s="1" t="s">
        <v>3</v>
      </c>
      <c r="C46" s="3"/>
      <c r="D46" s="3"/>
      <c r="E46" s="3"/>
      <c r="F46" s="3"/>
      <c r="G46" s="3"/>
      <c r="H46" s="3"/>
      <c r="I46" s="3"/>
      <c r="J46" s="3"/>
      <c r="K46" s="3">
        <f>2260.8+13+405.5</f>
        <v>2679.3</v>
      </c>
      <c r="L46" s="3">
        <f>489.5+17.1+352.6</f>
        <v>859.2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s="1" customFormat="1" x14ac:dyDescent="0.2">
      <c r="B47" s="1" t="s">
        <v>59</v>
      </c>
      <c r="C47" s="3"/>
      <c r="D47" s="3"/>
      <c r="E47" s="3"/>
      <c r="F47" s="3"/>
      <c r="G47" s="3"/>
      <c r="H47" s="3"/>
      <c r="I47" s="3"/>
      <c r="J47" s="3"/>
      <c r="K47" s="3">
        <v>2652.8</v>
      </c>
      <c r="L47" s="3">
        <v>2490.5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s="1" customFormat="1" x14ac:dyDescent="0.2">
      <c r="B48" s="1" t="s">
        <v>60</v>
      </c>
      <c r="C48" s="3"/>
      <c r="D48" s="3"/>
      <c r="E48" s="3"/>
      <c r="F48" s="3"/>
      <c r="G48" s="3"/>
      <c r="H48" s="3"/>
      <c r="I48" s="3"/>
      <c r="J48" s="3"/>
      <c r="K48" s="3">
        <v>1022.2</v>
      </c>
      <c r="L48" s="3">
        <v>726.8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s="1" customFormat="1" x14ac:dyDescent="0.2">
      <c r="B49" s="1" t="s">
        <v>61</v>
      </c>
      <c r="C49" s="3"/>
      <c r="D49" s="3"/>
      <c r="E49" s="3"/>
      <c r="F49" s="3"/>
      <c r="G49" s="3"/>
      <c r="H49" s="3"/>
      <c r="I49" s="3"/>
      <c r="J49" s="3"/>
      <c r="K49" s="3">
        <v>634.29999999999995</v>
      </c>
      <c r="L49" s="3">
        <v>787.3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s="1" customFormat="1" x14ac:dyDescent="0.2">
      <c r="B50" s="1" t="s">
        <v>62</v>
      </c>
      <c r="C50" s="3"/>
      <c r="D50" s="3"/>
      <c r="E50" s="3"/>
      <c r="F50" s="3"/>
      <c r="G50" s="3"/>
      <c r="H50" s="3"/>
      <c r="I50" s="3"/>
      <c r="J50" s="3"/>
      <c r="K50" s="3">
        <f>3508.4+10636.8</f>
        <v>14145.199999999999</v>
      </c>
      <c r="L50" s="3">
        <f>4244+10798</f>
        <v>15042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s="1" customFormat="1" x14ac:dyDescent="0.2">
      <c r="B51" s="1" t="s">
        <v>63</v>
      </c>
      <c r="C51" s="3"/>
      <c r="D51" s="3"/>
      <c r="E51" s="3"/>
      <c r="F51" s="3"/>
      <c r="G51" s="3"/>
      <c r="H51" s="3"/>
      <c r="I51" s="3"/>
      <c r="J51" s="3"/>
      <c r="K51" s="3">
        <v>1602.4</v>
      </c>
      <c r="L51" s="3">
        <v>1557.2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s="1" customFormat="1" x14ac:dyDescent="0.2">
      <c r="B52" s="1" t="s">
        <v>50</v>
      </c>
      <c r="C52" s="3"/>
      <c r="D52" s="3"/>
      <c r="E52" s="3"/>
      <c r="F52" s="3"/>
      <c r="G52" s="3"/>
      <c r="H52" s="3"/>
      <c r="I52" s="3"/>
      <c r="J52" s="3"/>
      <c r="K52" s="3">
        <v>77.7</v>
      </c>
      <c r="L52" s="3">
        <v>179.5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s="1" customFormat="1" x14ac:dyDescent="0.2">
      <c r="B53" s="1" t="s">
        <v>64</v>
      </c>
      <c r="C53" s="3"/>
      <c r="D53" s="3"/>
      <c r="E53" s="3"/>
      <c r="F53" s="3"/>
      <c r="G53" s="3"/>
      <c r="H53" s="3"/>
      <c r="I53" s="3"/>
      <c r="J53" s="3"/>
      <c r="K53" s="3">
        <f>66535.8+46724</f>
        <v>113259.8</v>
      </c>
      <c r="L53" s="3">
        <f>64460.8+46515.8</f>
        <v>110976.6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s="1" customFormat="1" x14ac:dyDescent="0.2">
      <c r="B54" s="1" t="s">
        <v>65</v>
      </c>
      <c r="C54" s="3"/>
      <c r="D54" s="3"/>
      <c r="E54" s="3"/>
      <c r="F54" s="3"/>
      <c r="G54" s="3"/>
      <c r="H54" s="3"/>
      <c r="I54" s="3"/>
      <c r="J54" s="3"/>
      <c r="K54" s="3">
        <f t="shared" ref="K54" si="17">SUM(K46:K53)</f>
        <v>136073.70000000001</v>
      </c>
      <c r="L54" s="3">
        <f>SUM(L46:L53)</f>
        <v>132619.1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6" spans="2:32" s="1" customFormat="1" x14ac:dyDescent="0.2">
      <c r="B56" s="1" t="s">
        <v>71</v>
      </c>
      <c r="C56" s="3"/>
      <c r="D56" s="3"/>
      <c r="E56" s="3"/>
      <c r="F56" s="3"/>
      <c r="G56" s="3"/>
      <c r="H56" s="3"/>
      <c r="I56" s="3"/>
      <c r="J56" s="3"/>
      <c r="K56" s="3">
        <v>4701.1000000000004</v>
      </c>
      <c r="L56" s="3">
        <v>4490.1000000000004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s="1" customFormat="1" x14ac:dyDescent="0.2">
      <c r="B57" s="1" t="s">
        <v>50</v>
      </c>
      <c r="C57" s="3"/>
      <c r="D57" s="3"/>
      <c r="E57" s="3"/>
      <c r="F57" s="3"/>
      <c r="G57" s="3"/>
      <c r="H57" s="3"/>
      <c r="I57" s="3"/>
      <c r="J57" s="3"/>
      <c r="K57" s="3">
        <f>68.5+777.4</f>
        <v>845.9</v>
      </c>
      <c r="L57" s="3">
        <f>92.6+743</f>
        <v>835.6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s="1" customFormat="1" x14ac:dyDescent="0.2">
      <c r="B58" s="1" t="s">
        <v>4</v>
      </c>
      <c r="C58" s="3"/>
      <c r="D58" s="3"/>
      <c r="E58" s="3"/>
      <c r="F58" s="3"/>
      <c r="G58" s="3"/>
      <c r="H58" s="3"/>
      <c r="I58" s="3"/>
      <c r="J58" s="3"/>
      <c r="K58" s="3">
        <f>38551.8+4015.7</f>
        <v>42567.5</v>
      </c>
      <c r="L58" s="3">
        <f>2506.6+37075.1</f>
        <v>39581.699999999997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s="1" customFormat="1" x14ac:dyDescent="0.2">
      <c r="B59" s="1" t="s">
        <v>70</v>
      </c>
      <c r="C59" s="3"/>
      <c r="D59" s="3"/>
      <c r="E59" s="3"/>
      <c r="F59" s="3"/>
      <c r="G59" s="3"/>
      <c r="H59" s="3"/>
      <c r="I59" s="3"/>
      <c r="J59" s="3"/>
      <c r="K59" s="3">
        <f>1410.2+512.4</f>
        <v>1922.6</v>
      </c>
      <c r="L59" s="3">
        <f>1778.1+476.5</f>
        <v>2254.6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s="1" customFormat="1" x14ac:dyDescent="0.2">
      <c r="B60" s="1" t="s">
        <v>69</v>
      </c>
      <c r="C60" s="3"/>
      <c r="D60" s="3"/>
      <c r="E60" s="3"/>
      <c r="F60" s="3"/>
      <c r="G60" s="3"/>
      <c r="H60" s="3"/>
      <c r="I60" s="3"/>
      <c r="J60" s="3"/>
      <c r="K60" s="3">
        <v>7563.9</v>
      </c>
      <c r="L60" s="3">
        <v>7776.7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s="1" customFormat="1" x14ac:dyDescent="0.2">
      <c r="B61" s="1" t="s">
        <v>68</v>
      </c>
      <c r="C61" s="3"/>
      <c r="D61" s="3"/>
      <c r="E61" s="3"/>
      <c r="F61" s="3"/>
      <c r="G61" s="3"/>
      <c r="H61" s="3"/>
      <c r="I61" s="3"/>
      <c r="J61" s="3"/>
      <c r="K61" s="3">
        <v>1024</v>
      </c>
      <c r="L61" s="3">
        <v>1039.5999999999999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s="1" customFormat="1" x14ac:dyDescent="0.2">
      <c r="B62" s="1" t="s">
        <v>67</v>
      </c>
      <c r="C62" s="3"/>
      <c r="D62" s="3"/>
      <c r="E62" s="3"/>
      <c r="F62" s="3"/>
      <c r="G62" s="3"/>
      <c r="H62" s="3"/>
      <c r="I62" s="3"/>
      <c r="J62" s="3"/>
      <c r="K62" s="3">
        <v>77448.7</v>
      </c>
      <c r="L62" s="3">
        <v>76640.800000000003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s="1" customFormat="1" x14ac:dyDescent="0.2">
      <c r="B63" s="1" t="s">
        <v>66</v>
      </c>
      <c r="C63" s="3"/>
      <c r="D63" s="3"/>
      <c r="E63" s="3"/>
      <c r="F63" s="3"/>
      <c r="G63" s="3"/>
      <c r="H63" s="3"/>
      <c r="I63" s="3"/>
      <c r="J63" s="3"/>
      <c r="K63" s="3">
        <f t="shared" ref="K63" si="18">SUM(K56:K62)</f>
        <v>136073.70000000001</v>
      </c>
      <c r="L63" s="3">
        <f>SUM(L56:L62)</f>
        <v>132619.09999999998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s="1" customForma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s="1" customFormat="1" x14ac:dyDescent="0.2">
      <c r="B65" s="1" t="s">
        <v>88</v>
      </c>
      <c r="C65" s="3"/>
      <c r="D65" s="3"/>
      <c r="E65" s="3"/>
      <c r="F65" s="3"/>
      <c r="G65" s="3"/>
      <c r="H65" s="3"/>
      <c r="I65" s="3"/>
      <c r="J65" s="3"/>
      <c r="K65" s="3">
        <f>+K38</f>
        <v>1484.2000000000007</v>
      </c>
      <c r="L65" s="3">
        <f>+L38</f>
        <v>1399.8000000000002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s="1" customFormat="1" x14ac:dyDescent="0.2">
      <c r="B66" s="1" t="s">
        <v>89</v>
      </c>
      <c r="C66" s="3"/>
      <c r="D66" s="3"/>
      <c r="E66" s="3"/>
      <c r="F66" s="3"/>
      <c r="G66" s="3"/>
      <c r="H66" s="3"/>
      <c r="I66" s="3"/>
      <c r="J66" s="3"/>
      <c r="K66" s="3">
        <v>256.39999999999998</v>
      </c>
      <c r="L66" s="3">
        <f>-243.5-K66</f>
        <v>-499.9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s="1" customFormat="1" x14ac:dyDescent="0.2">
      <c r="B67" s="1" t="s">
        <v>90</v>
      </c>
      <c r="C67" s="3"/>
      <c r="D67" s="3"/>
      <c r="E67" s="3"/>
      <c r="F67" s="3"/>
      <c r="G67" s="3"/>
      <c r="H67" s="3"/>
      <c r="I67" s="3"/>
      <c r="J67" s="3"/>
      <c r="K67" s="3">
        <v>42.1</v>
      </c>
      <c r="L67" s="3">
        <f>76.9-K67</f>
        <v>34.800000000000004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s="1" customFormat="1" x14ac:dyDescent="0.2">
      <c r="B68" s="1" t="s">
        <v>91</v>
      </c>
      <c r="C68" s="3"/>
      <c r="D68" s="3"/>
      <c r="E68" s="3"/>
      <c r="F68" s="3"/>
      <c r="G68" s="3"/>
      <c r="H68" s="3"/>
      <c r="I68" s="3"/>
      <c r="J68" s="3"/>
      <c r="K68" s="3">
        <v>1592.1</v>
      </c>
      <c r="L68" s="3">
        <f>3227.6-K68</f>
        <v>1635.5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s="1" customFormat="1" x14ac:dyDescent="0.2">
      <c r="B69" s="1" t="s">
        <v>92</v>
      </c>
      <c r="C69" s="3"/>
      <c r="D69" s="3"/>
      <c r="E69" s="3"/>
      <c r="F69" s="3"/>
      <c r="G69" s="3"/>
      <c r="H69" s="3"/>
      <c r="I69" s="3"/>
      <c r="J69" s="3"/>
      <c r="K69" s="3">
        <v>59.2</v>
      </c>
      <c r="L69" s="3">
        <f>116.9-K69</f>
        <v>57.7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s="1" customFormat="1" x14ac:dyDescent="0.2">
      <c r="B70" s="1" t="s">
        <v>93</v>
      </c>
      <c r="C70" s="3"/>
      <c r="D70" s="3"/>
      <c r="E70" s="3"/>
      <c r="F70" s="3"/>
      <c r="G70" s="3"/>
      <c r="H70" s="3"/>
      <c r="I70" s="3"/>
      <c r="J70" s="3"/>
      <c r="K70" s="3">
        <v>99</v>
      </c>
      <c r="L70" s="3">
        <f>188.8-K70</f>
        <v>89.800000000000011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s="1" customFormat="1" x14ac:dyDescent="0.2">
      <c r="B71" s="1" t="s">
        <v>94</v>
      </c>
      <c r="C71" s="3"/>
      <c r="D71" s="3"/>
      <c r="E71" s="3"/>
      <c r="F71" s="3"/>
      <c r="G71" s="3"/>
      <c r="H71" s="3"/>
      <c r="I71" s="3"/>
      <c r="J71" s="3"/>
      <c r="K71" s="3">
        <v>-519.20000000000005</v>
      </c>
      <c r="L71" s="3">
        <f>-327.1-K71</f>
        <v>192.10000000000002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s="1" customFormat="1" x14ac:dyDescent="0.2">
      <c r="B72" s="1" t="s">
        <v>95</v>
      </c>
      <c r="C72" s="3"/>
      <c r="D72" s="3"/>
      <c r="E72" s="3"/>
      <c r="F72" s="3"/>
      <c r="G72" s="3"/>
      <c r="H72" s="3"/>
      <c r="I72" s="3"/>
      <c r="J72" s="3"/>
      <c r="K72" s="3">
        <v>6</v>
      </c>
      <c r="L72" s="3">
        <f>274.9-K72</f>
        <v>268.89999999999998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s="1" customFormat="1" x14ac:dyDescent="0.2">
      <c r="B73" s="1" t="s">
        <v>96</v>
      </c>
      <c r="C73" s="3"/>
      <c r="D73" s="3"/>
      <c r="E73" s="3"/>
      <c r="F73" s="3"/>
      <c r="G73" s="3"/>
      <c r="H73" s="3"/>
      <c r="I73" s="3"/>
      <c r="J73" s="3"/>
      <c r="K73" s="3">
        <v>-1.7</v>
      </c>
      <c r="L73" s="3">
        <f>-19.3-K73</f>
        <v>-17.600000000000001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s="1" customFormat="1" x14ac:dyDescent="0.2">
      <c r="B74" s="1" t="s">
        <v>97</v>
      </c>
      <c r="C74" s="3"/>
      <c r="D74" s="3"/>
      <c r="E74" s="3"/>
      <c r="F74" s="3"/>
      <c r="G74" s="3"/>
      <c r="H74" s="3"/>
      <c r="I74" s="3"/>
      <c r="J74" s="3"/>
      <c r="K74" s="3">
        <v>42.4</v>
      </c>
      <c r="L74" s="3">
        <f>42.4-K74</f>
        <v>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s="1" customFormat="1" x14ac:dyDescent="0.2">
      <c r="B75" s="1" t="s">
        <v>98</v>
      </c>
      <c r="C75" s="3"/>
      <c r="D75" s="3"/>
      <c r="E75" s="3"/>
      <c r="F75" s="3"/>
      <c r="G75" s="3"/>
      <c r="H75" s="3"/>
      <c r="I75" s="3"/>
      <c r="J75" s="3"/>
      <c r="K75" s="3">
        <v>10</v>
      </c>
      <c r="L75" s="3">
        <f>21-K75</f>
        <v>11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s="1" customFormat="1" x14ac:dyDescent="0.2">
      <c r="B76" s="1" t="s">
        <v>79</v>
      </c>
      <c r="C76" s="3"/>
      <c r="D76" s="3"/>
      <c r="E76" s="3"/>
      <c r="F76" s="3"/>
      <c r="G76" s="3"/>
      <c r="H76" s="3"/>
      <c r="I76" s="3"/>
      <c r="J76" s="3"/>
      <c r="K76" s="3">
        <v>33.6</v>
      </c>
      <c r="L76" s="3">
        <f>60.8-K76</f>
        <v>27.199999999999996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s="1" customFormat="1" x14ac:dyDescent="0.2">
      <c r="B77" s="1" t="s">
        <v>82</v>
      </c>
      <c r="C77" s="3"/>
      <c r="D77" s="3"/>
      <c r="E77" s="3"/>
      <c r="F77" s="3"/>
      <c r="G77" s="3"/>
      <c r="H77" s="3"/>
      <c r="I77" s="3"/>
      <c r="J77" s="3"/>
      <c r="K77" s="3">
        <v>-34.6</v>
      </c>
      <c r="L77" s="3">
        <f>-31.9-K77</f>
        <v>2.7000000000000028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s="1" customFormat="1" x14ac:dyDescent="0.2">
      <c r="B78" s="1" t="s">
        <v>42</v>
      </c>
      <c r="C78" s="3"/>
      <c r="D78" s="3"/>
      <c r="E78" s="3"/>
      <c r="F78" s="3"/>
      <c r="G78" s="3"/>
      <c r="H78" s="3"/>
      <c r="I78" s="3"/>
      <c r="J78" s="3"/>
      <c r="K78" s="3">
        <v>-9.1</v>
      </c>
      <c r="L78" s="3">
        <f>-26.4-K78</f>
        <v>-17.299999999999997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s="1" customFormat="1" x14ac:dyDescent="0.2">
      <c r="B79" s="1" t="s">
        <v>59</v>
      </c>
      <c r="C79" s="3"/>
      <c r="D79" s="3"/>
      <c r="E79" s="3"/>
      <c r="F79" s="3"/>
      <c r="G79" s="3"/>
      <c r="H79" s="3"/>
      <c r="I79" s="3"/>
      <c r="J79" s="3"/>
      <c r="K79" s="3">
        <v>-148.6</v>
      </c>
      <c r="L79" s="3">
        <f>-501.2-K79</f>
        <v>-352.6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s="1" customFormat="1" x14ac:dyDescent="0.2">
      <c r="B80" s="1" t="s">
        <v>99</v>
      </c>
      <c r="C80" s="3"/>
      <c r="D80" s="3"/>
      <c r="E80" s="3"/>
      <c r="F80" s="3"/>
      <c r="G80" s="3"/>
      <c r="H80" s="3"/>
      <c r="I80" s="3"/>
      <c r="J80" s="3"/>
      <c r="K80" s="3">
        <v>-148.5</v>
      </c>
      <c r="L80" s="3">
        <f>-183.2-K80</f>
        <v>-34.699999999999989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s="1" customFormat="1" x14ac:dyDescent="0.2">
      <c r="B81" s="1" t="s">
        <v>61</v>
      </c>
      <c r="C81" s="3"/>
      <c r="D81" s="3"/>
      <c r="E81" s="3"/>
      <c r="F81" s="3"/>
      <c r="G81" s="3"/>
      <c r="H81" s="3"/>
      <c r="I81" s="3"/>
      <c r="J81" s="3"/>
      <c r="K81" s="3">
        <v>14.4</v>
      </c>
      <c r="L81" s="3">
        <f>245.4-K81</f>
        <v>231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s="1" customFormat="1" x14ac:dyDescent="0.2">
      <c r="B82" s="1" t="s">
        <v>71</v>
      </c>
      <c r="C82" s="3"/>
      <c r="D82" s="3"/>
      <c r="E82" s="3"/>
      <c r="F82" s="3"/>
      <c r="G82" s="3"/>
      <c r="H82" s="3"/>
      <c r="I82" s="3"/>
      <c r="J82" s="3"/>
      <c r="K82" s="3">
        <v>31.3</v>
      </c>
      <c r="L82" s="3">
        <f>424-K82</f>
        <v>392.7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s="1" customFormat="1" x14ac:dyDescent="0.2">
      <c r="B83" s="1" t="s">
        <v>100</v>
      </c>
      <c r="C83" s="3"/>
      <c r="D83" s="3"/>
      <c r="E83" s="3"/>
      <c r="F83" s="3"/>
      <c r="G83" s="3"/>
      <c r="H83" s="3"/>
      <c r="I83" s="3"/>
      <c r="J83" s="3"/>
      <c r="K83" s="3">
        <v>-52.2</v>
      </c>
      <c r="L83" s="3">
        <f>-477.6-K83</f>
        <v>-425.40000000000003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s="1" customFormat="1" x14ac:dyDescent="0.2">
      <c r="B84" s="1" t="s">
        <v>101</v>
      </c>
      <c r="C84" s="3"/>
      <c r="D84" s="3"/>
      <c r="E84" s="3"/>
      <c r="F84" s="3"/>
      <c r="G84" s="3"/>
      <c r="H84" s="3"/>
      <c r="I84" s="3"/>
      <c r="J84" s="3"/>
      <c r="K84" s="3">
        <v>-54.1</v>
      </c>
      <c r="L84" s="3">
        <f>-267.5-K84</f>
        <v>-213.4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s="1" customFormat="1" x14ac:dyDescent="0.2">
      <c r="B85" s="1" t="s">
        <v>87</v>
      </c>
      <c r="C85" s="3"/>
      <c r="D85" s="3"/>
      <c r="E85" s="3"/>
      <c r="F85" s="3"/>
      <c r="G85" s="3"/>
      <c r="H85" s="3"/>
      <c r="I85" s="3"/>
      <c r="J85" s="3"/>
      <c r="K85" s="3">
        <f>SUM(K66:K84)</f>
        <v>1218.5000000000005</v>
      </c>
      <c r="L85" s="3">
        <f>SUM(L66:L84)</f>
        <v>1382.5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s="1" customForma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s="1" customFormat="1" x14ac:dyDescent="0.2">
      <c r="B87" s="1" t="s">
        <v>84</v>
      </c>
      <c r="C87" s="3"/>
      <c r="D87" s="3"/>
      <c r="E87" s="3"/>
      <c r="F87" s="3"/>
      <c r="G87" s="3"/>
      <c r="H87" s="3"/>
      <c r="I87" s="3"/>
      <c r="J87" s="3"/>
      <c r="K87" s="3">
        <v>-84.9</v>
      </c>
      <c r="L87" s="3">
        <f>-182.8-K87</f>
        <v>-97.9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s="1" customFormat="1" x14ac:dyDescent="0.2">
      <c r="B88" s="1" t="s">
        <v>85</v>
      </c>
      <c r="C88" s="3"/>
      <c r="D88" s="3"/>
      <c r="E88" s="3"/>
      <c r="F88" s="3"/>
      <c r="G88" s="3"/>
      <c r="H88" s="3"/>
      <c r="I88" s="3"/>
      <c r="J88" s="3"/>
      <c r="K88" s="3">
        <v>19</v>
      </c>
      <c r="L88" s="3">
        <f>25.5-K88</f>
        <v>6.5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s="1" customFormat="1" x14ac:dyDescent="0.2">
      <c r="B89" s="1" t="s">
        <v>86</v>
      </c>
      <c r="C89" s="3"/>
      <c r="D89" s="3"/>
      <c r="E89" s="3"/>
      <c r="F89" s="3"/>
      <c r="G89" s="3"/>
      <c r="H89" s="3"/>
      <c r="I89" s="3"/>
      <c r="J89" s="3"/>
      <c r="K89" s="3">
        <v>12.1</v>
      </c>
      <c r="L89" s="3">
        <f>14.5-K89</f>
        <v>2.4000000000000004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s="1" customFormat="1" x14ac:dyDescent="0.2">
      <c r="B90" s="1" t="s">
        <v>83</v>
      </c>
      <c r="C90" s="3"/>
      <c r="D90" s="3"/>
      <c r="E90" s="3"/>
      <c r="F90" s="3"/>
      <c r="G90" s="3"/>
      <c r="H90" s="3"/>
      <c r="I90" s="3"/>
      <c r="J90" s="3"/>
      <c r="K90" s="3">
        <f>SUM(K87:K89)</f>
        <v>-53.800000000000004</v>
      </c>
      <c r="L90" s="3">
        <f>SUM(L87:L89)</f>
        <v>-89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s="1" customForma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s="1" customFormat="1" x14ac:dyDescent="0.2">
      <c r="B92" s="1" t="s">
        <v>76</v>
      </c>
      <c r="C92" s="3"/>
      <c r="D92" s="3"/>
      <c r="E92" s="3"/>
      <c r="F92" s="3"/>
      <c r="G92" s="3"/>
      <c r="H92" s="3"/>
      <c r="I92" s="3"/>
      <c r="J92" s="3"/>
      <c r="K92" s="3">
        <v>900</v>
      </c>
      <c r="L92" s="3">
        <f>900-K92</f>
        <v>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s="1" customFormat="1" x14ac:dyDescent="0.2">
      <c r="B93" s="1" t="s">
        <v>77</v>
      </c>
      <c r="C93" s="3"/>
      <c r="D93" s="3"/>
      <c r="E93" s="3"/>
      <c r="F93" s="3"/>
      <c r="G93" s="3"/>
      <c r="H93" s="3"/>
      <c r="I93" s="3"/>
      <c r="J93" s="3"/>
      <c r="K93" s="3">
        <v>-854.2</v>
      </c>
      <c r="L93" s="3">
        <f>-3835.6-K93</f>
        <v>-2981.3999999999996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s="1" customFormat="1" x14ac:dyDescent="0.2">
      <c r="B94" s="1" t="s">
        <v>78</v>
      </c>
      <c r="C94" s="3"/>
      <c r="D94" s="3"/>
      <c r="E94" s="3"/>
      <c r="F94" s="3"/>
      <c r="G94" s="3"/>
      <c r="H94" s="3"/>
      <c r="I94" s="3"/>
      <c r="J94" s="3"/>
      <c r="K94" s="3">
        <v>69.599999999999994</v>
      </c>
      <c r="L94" s="3">
        <f>107.3-K94</f>
        <v>37.700000000000003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s="1" customFormat="1" x14ac:dyDescent="0.2">
      <c r="B95" s="1" t="s">
        <v>79</v>
      </c>
      <c r="C95" s="3"/>
      <c r="D95" s="3"/>
      <c r="E95" s="3"/>
      <c r="F95" s="3"/>
      <c r="G95" s="3"/>
      <c r="H95" s="3"/>
      <c r="I95" s="3"/>
      <c r="J95" s="3"/>
      <c r="K95" s="3">
        <v>-32.299999999999997</v>
      </c>
      <c r="L95" s="3">
        <f>-63.8-K95</f>
        <v>-31.5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s="1" customFormat="1" x14ac:dyDescent="0.2">
      <c r="B96" s="1" t="s">
        <v>80</v>
      </c>
      <c r="C96" s="3"/>
      <c r="D96" s="3"/>
      <c r="E96" s="3"/>
      <c r="F96" s="3"/>
      <c r="G96" s="3"/>
      <c r="H96" s="3"/>
      <c r="I96" s="3"/>
      <c r="J96" s="3"/>
      <c r="K96" s="3">
        <v>-53.2</v>
      </c>
      <c r="L96" s="3">
        <f>-67.3-K96</f>
        <v>-14.099999999999994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s="1" customFormat="1" x14ac:dyDescent="0.2">
      <c r="B97" s="1" t="s">
        <v>81</v>
      </c>
      <c r="C97" s="3"/>
      <c r="D97" s="3"/>
      <c r="E97" s="3"/>
      <c r="F97" s="3"/>
      <c r="G97" s="3"/>
      <c r="H97" s="3"/>
      <c r="I97" s="3"/>
      <c r="J97" s="3"/>
      <c r="K97" s="3">
        <v>-69.599999999999994</v>
      </c>
      <c r="L97" s="3">
        <f>-139.2-K97</f>
        <v>-69.599999999999994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s="1" customFormat="1" x14ac:dyDescent="0.2">
      <c r="B98" s="1" t="s">
        <v>82</v>
      </c>
      <c r="C98" s="3"/>
      <c r="D98" s="3"/>
      <c r="E98" s="3"/>
      <c r="F98" s="3"/>
      <c r="G98" s="3"/>
      <c r="H98" s="3"/>
      <c r="I98" s="3"/>
      <c r="J98" s="3"/>
      <c r="K98" s="3">
        <v>34.6</v>
      </c>
      <c r="L98" s="3">
        <f>31.9-K98</f>
        <v>-2.7000000000000028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s="1" customFormat="1" x14ac:dyDescent="0.2">
      <c r="B99" s="1" t="s">
        <v>75</v>
      </c>
      <c r="C99" s="3"/>
      <c r="D99" s="3"/>
      <c r="E99" s="3"/>
      <c r="F99" s="3"/>
      <c r="G99" s="3"/>
      <c r="H99" s="3"/>
      <c r="I99" s="3"/>
      <c r="J99" s="3"/>
      <c r="K99" s="3">
        <f>SUM(K92:K98)</f>
        <v>-5.1000000000000441</v>
      </c>
      <c r="L99" s="3">
        <f>SUM(L92:L98)</f>
        <v>-3061.5999999999995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s="1" customFormat="1" x14ac:dyDescent="0.2">
      <c r="B100" s="1" t="s">
        <v>74</v>
      </c>
      <c r="C100" s="3"/>
      <c r="D100" s="3"/>
      <c r="E100" s="3"/>
      <c r="F100" s="3"/>
      <c r="G100" s="3"/>
      <c r="H100" s="3"/>
      <c r="I100" s="3"/>
      <c r="J100" s="3"/>
      <c r="K100" s="3">
        <v>5.2</v>
      </c>
      <c r="L100" s="3">
        <f>2-K100</f>
        <v>-3.2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s="1" customFormat="1" x14ac:dyDescent="0.2">
      <c r="B101" s="1" t="s">
        <v>73</v>
      </c>
      <c r="C101" s="3"/>
      <c r="D101" s="3"/>
      <c r="E101" s="3"/>
      <c r="F101" s="3"/>
      <c r="G101" s="3"/>
      <c r="H101" s="3"/>
      <c r="I101" s="3"/>
      <c r="J101" s="3"/>
      <c r="K101" s="3">
        <f>+K100+K99+K90+K85</f>
        <v>1164.8000000000004</v>
      </c>
      <c r="L101" s="3">
        <f>+L100+L99+L90+L85</f>
        <v>-1771.2999999999993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3" spans="2:32" x14ac:dyDescent="0.2">
      <c r="B103" s="1" t="s">
        <v>102</v>
      </c>
      <c r="K103" s="3">
        <f>K85+K87-K70</f>
        <v>1034.6000000000004</v>
      </c>
      <c r="L103" s="3">
        <f>L85+L87-L70</f>
        <v>1194.8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2016-05-13T18:09:11Z</dcterms:created>
  <dcterms:modified xsi:type="dcterms:W3CDTF">2016-10-08T01:44:42Z</dcterms:modified>
</cp:coreProperties>
</file>