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900" windowHeight="12150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" l="1"/>
  <c r="N23" i="2"/>
  <c r="M23" i="2"/>
  <c r="L23" i="2"/>
  <c r="K20" i="2"/>
  <c r="L20" i="2" s="1"/>
  <c r="M20" i="2" s="1"/>
  <c r="N20" i="2" s="1"/>
  <c r="N12" i="2"/>
  <c r="N25" i="2" s="1"/>
  <c r="M12" i="2"/>
  <c r="M25" i="2" s="1"/>
  <c r="L12" i="2"/>
  <c r="L25" i="2" s="1"/>
  <c r="K12" i="2"/>
  <c r="K25" i="2" s="1"/>
  <c r="N11" i="2"/>
  <c r="N24" i="2" s="1"/>
  <c r="M11" i="2"/>
  <c r="M24" i="2" s="1"/>
  <c r="L11" i="2"/>
  <c r="L24" i="2" s="1"/>
  <c r="N10" i="2"/>
  <c r="M10" i="2"/>
  <c r="L10" i="2"/>
  <c r="N4" i="2"/>
  <c r="N5" i="2" s="1"/>
  <c r="M4" i="2"/>
  <c r="M5" i="2" s="1"/>
  <c r="L4" i="2"/>
  <c r="L5" i="2" s="1"/>
  <c r="N3" i="2"/>
  <c r="N29" i="2" s="1"/>
  <c r="M3" i="2"/>
  <c r="M29" i="2" s="1"/>
  <c r="L3" i="2"/>
  <c r="L29" i="2" s="1"/>
  <c r="K4" i="2"/>
  <c r="K5" i="2" s="1"/>
  <c r="C20" i="2"/>
  <c r="C17" i="2"/>
  <c r="C12" i="2"/>
  <c r="C11" i="2"/>
  <c r="C10" i="2"/>
  <c r="C13" i="2" s="1"/>
  <c r="C7" i="2"/>
  <c r="C8" i="2" s="1"/>
  <c r="C6" i="2"/>
  <c r="C4" i="2"/>
  <c r="C5" i="2" s="1"/>
  <c r="G22" i="2" s="1"/>
  <c r="C3" i="2"/>
  <c r="C29" i="2" s="1"/>
  <c r="G20" i="2"/>
  <c r="G17" i="2"/>
  <c r="G12" i="2"/>
  <c r="G11" i="2"/>
  <c r="G24" i="2" s="1"/>
  <c r="G10" i="2"/>
  <c r="G23" i="2" s="1"/>
  <c r="G7" i="2"/>
  <c r="G8" i="2" s="1"/>
  <c r="G6" i="2"/>
  <c r="G29" i="2" s="1"/>
  <c r="G4" i="2"/>
  <c r="G5" i="2" s="1"/>
  <c r="G9" i="2" s="1"/>
  <c r="G28" i="2" s="1"/>
  <c r="G3" i="2"/>
  <c r="D29" i="2"/>
  <c r="D13" i="2"/>
  <c r="D8" i="2"/>
  <c r="D5" i="2"/>
  <c r="D9" i="2" s="1"/>
  <c r="D28" i="2" s="1"/>
  <c r="H29" i="2"/>
  <c r="H25" i="2"/>
  <c r="H24" i="2"/>
  <c r="H23" i="2"/>
  <c r="H15" i="2"/>
  <c r="H13" i="2"/>
  <c r="H8" i="2"/>
  <c r="H5" i="2"/>
  <c r="E29" i="2"/>
  <c r="E15" i="2"/>
  <c r="E13" i="2"/>
  <c r="E8" i="2"/>
  <c r="E5" i="2"/>
  <c r="I29" i="2"/>
  <c r="I25" i="2"/>
  <c r="I24" i="2"/>
  <c r="I23" i="2"/>
  <c r="I15" i="2"/>
  <c r="I13" i="2"/>
  <c r="I8" i="2"/>
  <c r="I5" i="2"/>
  <c r="J29" i="2"/>
  <c r="F29" i="2"/>
  <c r="J25" i="2"/>
  <c r="J24" i="2"/>
  <c r="J23" i="2"/>
  <c r="F15" i="2"/>
  <c r="J15" i="2"/>
  <c r="F13" i="2"/>
  <c r="F8" i="2"/>
  <c r="F5" i="2"/>
  <c r="J13" i="2"/>
  <c r="J8" i="2"/>
  <c r="J5" i="2"/>
  <c r="J22" i="2" s="1"/>
  <c r="T12" i="2"/>
  <c r="T25" i="2" s="1"/>
  <c r="T11" i="2"/>
  <c r="T24" i="2" s="1"/>
  <c r="S25" i="2"/>
  <c r="R25" i="2"/>
  <c r="S24" i="2"/>
  <c r="R24" i="2"/>
  <c r="T10" i="2"/>
  <c r="T23" i="2" s="1"/>
  <c r="S23" i="2"/>
  <c r="R23" i="2"/>
  <c r="T4" i="2"/>
  <c r="T3" i="2"/>
  <c r="T5" i="2" s="1"/>
  <c r="T9" i="2" s="1"/>
  <c r="T28" i="2" s="1"/>
  <c r="S29" i="2"/>
  <c r="R29" i="2"/>
  <c r="Q29" i="2"/>
  <c r="S15" i="2"/>
  <c r="G15" i="2" s="1"/>
  <c r="R15" i="2"/>
  <c r="C15" i="2" s="1"/>
  <c r="Q15" i="2"/>
  <c r="N22" i="2" l="1"/>
  <c r="N9" i="2"/>
  <c r="N28" i="2" s="1"/>
  <c r="K22" i="2"/>
  <c r="K9" i="2"/>
  <c r="K8" i="2"/>
  <c r="L9" i="2"/>
  <c r="L8" i="2" s="1"/>
  <c r="L22" i="2"/>
  <c r="C9" i="2"/>
  <c r="C28" i="2" s="1"/>
  <c r="M9" i="2"/>
  <c r="M28" i="2" s="1"/>
  <c r="M22" i="2"/>
  <c r="M8" i="2"/>
  <c r="L13" i="2"/>
  <c r="M13" i="2"/>
  <c r="G13" i="2"/>
  <c r="G14" i="2" s="1"/>
  <c r="G16" i="2" s="1"/>
  <c r="N13" i="2"/>
  <c r="N14" i="2" s="1"/>
  <c r="N16" i="2" s="1"/>
  <c r="K10" i="2"/>
  <c r="G25" i="2"/>
  <c r="K11" i="2"/>
  <c r="K24" i="2" s="1"/>
  <c r="T29" i="2"/>
  <c r="D14" i="2"/>
  <c r="D16" i="2" s="1"/>
  <c r="H22" i="2"/>
  <c r="H9" i="2"/>
  <c r="E9" i="2"/>
  <c r="I22" i="2"/>
  <c r="I9" i="2"/>
  <c r="J9" i="2"/>
  <c r="F9" i="2"/>
  <c r="T13" i="2"/>
  <c r="T14" i="2" s="1"/>
  <c r="T16" i="2" s="1"/>
  <c r="H14" i="2" l="1"/>
  <c r="H16" i="2" s="1"/>
  <c r="H28" i="2"/>
  <c r="J14" i="2"/>
  <c r="J28" i="2"/>
  <c r="N17" i="2"/>
  <c r="N30" i="2" s="1"/>
  <c r="N8" i="2"/>
  <c r="D18" i="2"/>
  <c r="D19" i="2" s="1"/>
  <c r="D30" i="2"/>
  <c r="L14" i="2"/>
  <c r="L16" i="2" s="1"/>
  <c r="L28" i="2"/>
  <c r="K23" i="2"/>
  <c r="K13" i="2"/>
  <c r="K14" i="2" s="1"/>
  <c r="K16" i="2" s="1"/>
  <c r="K28" i="2"/>
  <c r="F14" i="2"/>
  <c r="F16" i="2" s="1"/>
  <c r="F28" i="2"/>
  <c r="G18" i="2"/>
  <c r="G19" i="2" s="1"/>
  <c r="G30" i="2"/>
  <c r="I14" i="2"/>
  <c r="I16" i="2" s="1"/>
  <c r="I28" i="2"/>
  <c r="M14" i="2"/>
  <c r="M16" i="2" s="1"/>
  <c r="E14" i="2"/>
  <c r="E16" i="2" s="1"/>
  <c r="E28" i="2"/>
  <c r="C14" i="2"/>
  <c r="C16" i="2" s="1"/>
  <c r="J16" i="2"/>
  <c r="T17" i="2"/>
  <c r="T18" i="2" s="1"/>
  <c r="T19" i="2" s="1"/>
  <c r="K17" i="2" l="1"/>
  <c r="K30" i="2" s="1"/>
  <c r="J18" i="2"/>
  <c r="J30" i="2"/>
  <c r="M17" i="2"/>
  <c r="M30" i="2" s="1"/>
  <c r="F18" i="2"/>
  <c r="F19" i="2" s="1"/>
  <c r="F30" i="2"/>
  <c r="L17" i="2"/>
  <c r="L30" i="2" s="1"/>
  <c r="I18" i="2"/>
  <c r="I30" i="2"/>
  <c r="C18" i="2"/>
  <c r="C30" i="2"/>
  <c r="E18" i="2"/>
  <c r="E19" i="2" s="1"/>
  <c r="E30" i="2"/>
  <c r="N18" i="2"/>
  <c r="H18" i="2"/>
  <c r="H30" i="2"/>
  <c r="J19" i="2"/>
  <c r="S13" i="2"/>
  <c r="R13" i="2"/>
  <c r="Q13" i="2"/>
  <c r="S8" i="2"/>
  <c r="R8" i="2"/>
  <c r="R9" i="2" s="1"/>
  <c r="R28" i="2" s="1"/>
  <c r="Q8" i="2"/>
  <c r="Q9" i="2" s="1"/>
  <c r="S5" i="2"/>
  <c r="R5" i="2"/>
  <c r="Q5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K4" i="1"/>
  <c r="K7" i="1" s="1"/>
  <c r="Q28" i="2" l="1"/>
  <c r="Q14" i="2"/>
  <c r="Q16" i="2" s="1"/>
  <c r="Q18" i="2" s="1"/>
  <c r="Q19" i="2" s="1"/>
  <c r="S22" i="2"/>
  <c r="T22" i="2"/>
  <c r="I19" i="2"/>
  <c r="I26" i="2"/>
  <c r="L18" i="2"/>
  <c r="G26" i="2"/>
  <c r="C19" i="2"/>
  <c r="S9" i="2"/>
  <c r="S28" i="2" s="1"/>
  <c r="J26" i="2"/>
  <c r="M18" i="2"/>
  <c r="H19" i="2"/>
  <c r="H26" i="2"/>
  <c r="R22" i="2"/>
  <c r="N26" i="2"/>
  <c r="N19" i="2"/>
  <c r="K18" i="2"/>
  <c r="R14" i="2"/>
  <c r="R16" i="2" s="1"/>
  <c r="R18" i="2" s="1"/>
  <c r="R19" i="2" s="1"/>
  <c r="M26" i="2" l="1"/>
  <c r="M19" i="2"/>
  <c r="S14" i="2"/>
  <c r="S16" i="2" s="1"/>
  <c r="S18" i="2" s="1"/>
  <c r="S19" i="2" s="1"/>
  <c r="L26" i="2"/>
  <c r="L19" i="2"/>
  <c r="K26" i="2"/>
  <c r="K19" i="2"/>
</calcChain>
</file>

<file path=xl/sharedStrings.xml><?xml version="1.0" encoding="utf-8"?>
<sst xmlns="http://schemas.openxmlformats.org/spreadsheetml/2006/main" count="48" uniqueCount="42">
  <si>
    <t>Price</t>
  </si>
  <si>
    <t>Shares</t>
  </si>
  <si>
    <t>MC</t>
  </si>
  <si>
    <t>Cash</t>
  </si>
  <si>
    <t>Debt</t>
  </si>
  <si>
    <t>EV</t>
  </si>
  <si>
    <t>Q415</t>
  </si>
  <si>
    <t>Revenue</t>
  </si>
  <si>
    <t>SaaS</t>
  </si>
  <si>
    <t>Hardware</t>
  </si>
  <si>
    <t>SaaS COGS</t>
  </si>
  <si>
    <t>Hardware COGS</t>
  </si>
  <si>
    <t>COGS</t>
  </si>
  <si>
    <t>Gross Margin</t>
  </si>
  <si>
    <t>S&amp;M</t>
  </si>
  <si>
    <t>G&amp;A</t>
  </si>
  <si>
    <t>R&amp;D</t>
  </si>
  <si>
    <t>Operating Expenses</t>
  </si>
  <si>
    <t>Operating Income</t>
  </si>
  <si>
    <t>Main</t>
  </si>
  <si>
    <t>Interest Expense</t>
  </si>
  <si>
    <t>Pretax Income</t>
  </si>
  <si>
    <t>Taxes</t>
  </si>
  <si>
    <t>Net Income</t>
  </si>
  <si>
    <t>EPS</t>
  </si>
  <si>
    <t>Q114</t>
  </si>
  <si>
    <t>Q214</t>
  </si>
  <si>
    <t>Q314</t>
  </si>
  <si>
    <t>Q414</t>
  </si>
  <si>
    <t>Q115</t>
  </si>
  <si>
    <t>Q215</t>
  </si>
  <si>
    <t>Q315</t>
  </si>
  <si>
    <t>Revenue Y/Y</t>
  </si>
  <si>
    <t>SaaS GM</t>
  </si>
  <si>
    <t>S&amp;M Y/Y</t>
  </si>
  <si>
    <t>G&amp;A Y/Y</t>
  </si>
  <si>
    <t>R&amp;D Y/Y</t>
  </si>
  <si>
    <t>Q116</t>
  </si>
  <si>
    <t>Q216</t>
  </si>
  <si>
    <t>Q316</t>
  </si>
  <si>
    <t>Q416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</si>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</sst>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0" fontId="2" fillId="0" borderId="0" xfId="1"/>
    <xf numFmtId="0" fontId="1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Font="1"/>
    <xf numFmtId="9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</xdr:colOff>
      <xdr:row>0</xdr:row>
      <xdr:rowOff>95250</xdr:rowOff>
    </xdr:from>
    <xdr:to>
      <xdr:col>19</xdr:col>
      <xdr:colOff>47625</xdr:colOff>
      <xdr:row>47</xdr:row>
      <xdr:rowOff>66675</xdr:rowOff>
    </xdr:to>
    <xdr:cxnSp macro="">
      <xdr:nvCxnSpPr>
        <xdr:cNvPr id="3" name="Straight Connector 2"/>
        <xdr:cNvCxnSpPr/>
      </xdr:nvCxnSpPr>
      <xdr:spPr>
        <a:xfrm>
          <a:off x="8277225" y="95250"/>
          <a:ext cx="0" cy="6772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0</xdr:row>
      <xdr:rowOff>47625</xdr:rowOff>
    </xdr:from>
    <xdr:to>
      <xdr:col>10</xdr:col>
      <xdr:colOff>19050</xdr:colOff>
      <xdr:row>42</xdr:row>
      <xdr:rowOff>123825</xdr:rowOff>
    </xdr:to>
    <xdr:cxnSp macro="">
      <xdr:nvCxnSpPr>
        <xdr:cNvPr id="5" name="Straight Connector 4"/>
        <xdr:cNvCxnSpPr/>
      </xdr:nvCxnSpPr>
      <xdr:spPr>
        <a:xfrm>
          <a:off x="6438900" y="47625"/>
          <a:ext cx="0" cy="6877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L9"/>
  <sheetViews>
    <sheetView workbookViewId="0">
      <selection activeCell="K3" sqref="K3"/>
    </sheetView>
  </sheetViews>
  <sheetFormatPr defaultRowHeight="12.75" x14ac:dyDescent="0.2"/>
  <sheetData>
    <row r="2" spans="10:12" x14ac:dyDescent="0.2">
      <c r="J2" t="s">
        <v>0</v>
      </c>
      <c r="K2" s="1">
        <v>21</v>
      </c>
    </row>
    <row r="3" spans="10:12" x14ac:dyDescent="0.2">
      <c r="J3" t="s">
        <v>1</v>
      </c>
      <c r="K3" s="3">
        <v>45.582000000000001</v>
      </c>
      <c r="L3" s="2" t="s">
        <v>6</v>
      </c>
    </row>
    <row r="4" spans="10:12" x14ac:dyDescent="0.2">
      <c r="J4" t="s">
        <v>2</v>
      </c>
      <c r="K4" s="3">
        <f>+K3*K2</f>
        <v>957.22199999999998</v>
      </c>
    </row>
    <row r="5" spans="10:12" x14ac:dyDescent="0.2">
      <c r="J5" t="s">
        <v>3</v>
      </c>
      <c r="K5" s="3">
        <v>128.358</v>
      </c>
      <c r="L5" s="2" t="s">
        <v>6</v>
      </c>
    </row>
    <row r="6" spans="10:12" x14ac:dyDescent="0.2">
      <c r="J6" t="s">
        <v>4</v>
      </c>
      <c r="K6" s="3">
        <v>6.7</v>
      </c>
      <c r="L6" s="2" t="s">
        <v>6</v>
      </c>
    </row>
    <row r="7" spans="10:12" x14ac:dyDescent="0.2">
      <c r="J7" t="s">
        <v>5</v>
      </c>
      <c r="K7" s="3">
        <f>+K4-K5+K6</f>
        <v>835.56400000000008</v>
      </c>
    </row>
    <row r="8" spans="10:12" x14ac:dyDescent="0.2">
      <c r="K8" s="3"/>
    </row>
    <row r="9" spans="10:12" x14ac:dyDescent="0.2">
      <c r="K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J28" sqref="J28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2"/>
    <col min="19" max="19" width="8.85546875" style="2" customWidth="1"/>
    <col min="20" max="30" width="9.140625" style="2"/>
  </cols>
  <sheetData>
    <row r="1" spans="1:30" x14ac:dyDescent="0.2">
      <c r="A1" s="5" t="s">
        <v>19</v>
      </c>
    </row>
    <row r="2" spans="1:30" x14ac:dyDescent="0.2"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6</v>
      </c>
      <c r="K2" s="2" t="s">
        <v>37</v>
      </c>
      <c r="L2" s="2" t="s">
        <v>38</v>
      </c>
      <c r="M2" s="2" t="s">
        <v>39</v>
      </c>
      <c r="N2" s="2" t="s">
        <v>40</v>
      </c>
      <c r="P2" s="2">
        <v>2012</v>
      </c>
      <c r="Q2" s="2">
        <v>2013</v>
      </c>
      <c r="R2" s="2">
        <v>2014</v>
      </c>
      <c r="S2" s="2">
        <f>+R2+1</f>
        <v>2015</v>
      </c>
      <c r="T2" s="2">
        <f t="shared" ref="T2:AD2" si="0">+S2+1</f>
        <v>2016</v>
      </c>
      <c r="U2" s="2">
        <f t="shared" si="0"/>
        <v>2017</v>
      </c>
      <c r="V2" s="2">
        <f t="shared" si="0"/>
        <v>2018</v>
      </c>
      <c r="W2" s="2">
        <f t="shared" si="0"/>
        <v>2019</v>
      </c>
      <c r="X2" s="2">
        <f t="shared" si="0"/>
        <v>2020</v>
      </c>
      <c r="Y2" s="2">
        <f t="shared" si="0"/>
        <v>2021</v>
      </c>
      <c r="Z2" s="2">
        <f t="shared" si="0"/>
        <v>2022</v>
      </c>
      <c r="AA2" s="2">
        <f t="shared" si="0"/>
        <v>2023</v>
      </c>
      <c r="AB2" s="2">
        <f t="shared" si="0"/>
        <v>2024</v>
      </c>
      <c r="AC2" s="2">
        <f t="shared" si="0"/>
        <v>2025</v>
      </c>
      <c r="AD2" s="2">
        <f t="shared" si="0"/>
        <v>2026</v>
      </c>
    </row>
    <row r="3" spans="1:30" s="3" customFormat="1" x14ac:dyDescent="0.2">
      <c r="B3" s="3" t="s">
        <v>8</v>
      </c>
      <c r="C3" s="7">
        <f>R3-F3-E3-D3</f>
        <v>25.204000000000001</v>
      </c>
      <c r="D3" s="7">
        <v>26.975000000000001</v>
      </c>
      <c r="E3" s="7">
        <v>28.472999999999999</v>
      </c>
      <c r="F3" s="7">
        <v>30.863</v>
      </c>
      <c r="G3" s="7">
        <f>S3-J3-I3-H3</f>
        <v>31.955000000000013</v>
      </c>
      <c r="H3" s="7">
        <v>34.134</v>
      </c>
      <c r="I3" s="7">
        <v>36.158000000000001</v>
      </c>
      <c r="J3" s="7">
        <v>38.689</v>
      </c>
      <c r="K3" s="7">
        <v>39.4</v>
      </c>
      <c r="L3" s="7">
        <f>+H3*1.1</f>
        <v>37.547400000000003</v>
      </c>
      <c r="M3" s="7">
        <f t="shared" ref="M3:M4" si="1">+I3*1.1</f>
        <v>39.773800000000001</v>
      </c>
      <c r="N3" s="7">
        <f t="shared" ref="N3:N4" si="2">+J3*1.1</f>
        <v>42.557900000000004</v>
      </c>
      <c r="O3" s="7"/>
      <c r="P3" s="7"/>
      <c r="Q3" s="7">
        <v>82.62</v>
      </c>
      <c r="R3" s="7">
        <v>111.515</v>
      </c>
      <c r="S3" s="7">
        <v>140.93600000000001</v>
      </c>
      <c r="T3" s="7">
        <f>+S3*1.14</f>
        <v>160.66703999999999</v>
      </c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s="3" customFormat="1" x14ac:dyDescent="0.2">
      <c r="B4" s="3" t="s">
        <v>9</v>
      </c>
      <c r="C4" s="7">
        <f>R4-F4-E4-D4</f>
        <v>11.646999999999993</v>
      </c>
      <c r="D4" s="7">
        <v>15.103</v>
      </c>
      <c r="E4" s="7">
        <v>14.359</v>
      </c>
      <c r="F4" s="7">
        <v>14.688000000000001</v>
      </c>
      <c r="G4" s="7">
        <f t="shared" ref="G4:G7" si="3">S4-J4-I4-H4</f>
        <v>14.055999999999997</v>
      </c>
      <c r="H4" s="7">
        <v>17.815000000000001</v>
      </c>
      <c r="I4" s="7">
        <v>17.849</v>
      </c>
      <c r="J4" s="7">
        <v>18.231999999999999</v>
      </c>
      <c r="K4" s="7">
        <f>+J4</f>
        <v>18.231999999999999</v>
      </c>
      <c r="L4" s="7">
        <f t="shared" ref="L4" si="4">+H4*1.1</f>
        <v>19.596500000000002</v>
      </c>
      <c r="M4" s="7">
        <f t="shared" si="1"/>
        <v>19.633900000000001</v>
      </c>
      <c r="N4" s="7">
        <f t="shared" si="2"/>
        <v>20.055199999999999</v>
      </c>
      <c r="O4" s="7"/>
      <c r="P4" s="7"/>
      <c r="Q4" s="7">
        <v>47.601999999999997</v>
      </c>
      <c r="R4" s="7">
        <v>55.796999999999997</v>
      </c>
      <c r="S4" s="7">
        <v>67.951999999999998</v>
      </c>
      <c r="T4" s="7">
        <f>+S4*1.14</f>
        <v>77.465279999999993</v>
      </c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s="4" customFormat="1" x14ac:dyDescent="0.2">
      <c r="B5" s="4" t="s">
        <v>7</v>
      </c>
      <c r="C5" s="8">
        <f t="shared" ref="C5:K5" si="5">+C4+C3</f>
        <v>36.850999999999992</v>
      </c>
      <c r="D5" s="8">
        <f t="shared" si="5"/>
        <v>42.078000000000003</v>
      </c>
      <c r="E5" s="8">
        <f t="shared" si="5"/>
        <v>42.832000000000001</v>
      </c>
      <c r="F5" s="8">
        <f t="shared" si="5"/>
        <v>45.551000000000002</v>
      </c>
      <c r="G5" s="8">
        <f t="shared" si="5"/>
        <v>46.01100000000001</v>
      </c>
      <c r="H5" s="8">
        <f t="shared" si="5"/>
        <v>51.948999999999998</v>
      </c>
      <c r="I5" s="8">
        <f t="shared" si="5"/>
        <v>54.007000000000005</v>
      </c>
      <c r="J5" s="8">
        <f t="shared" si="5"/>
        <v>56.920999999999999</v>
      </c>
      <c r="K5" s="8">
        <f t="shared" si="5"/>
        <v>57.631999999999998</v>
      </c>
      <c r="L5" s="8">
        <f t="shared" ref="L5:N5" si="6">+L4+L3</f>
        <v>57.143900000000002</v>
      </c>
      <c r="M5" s="8">
        <f t="shared" si="6"/>
        <v>59.407700000000006</v>
      </c>
      <c r="N5" s="8">
        <f t="shared" si="6"/>
        <v>62.613100000000003</v>
      </c>
      <c r="O5" s="8"/>
      <c r="P5" s="8"/>
      <c r="Q5" s="8">
        <f>+Q3+Q4</f>
        <v>130.22200000000001</v>
      </c>
      <c r="R5" s="8">
        <f>+R3+R4</f>
        <v>167.31200000000001</v>
      </c>
      <c r="S5" s="8">
        <f>+S3+S4</f>
        <v>208.88800000000001</v>
      </c>
      <c r="T5" s="8">
        <f>+T3+T4</f>
        <v>238.13231999999999</v>
      </c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s="3" customFormat="1" x14ac:dyDescent="0.2">
      <c r="B6" s="3" t="s">
        <v>10</v>
      </c>
      <c r="C6" s="7">
        <f t="shared" ref="C6:C7" si="7">R6-F6-E6-D6</f>
        <v>5.0080000000000036</v>
      </c>
      <c r="D6" s="7">
        <v>5.6689999999999996</v>
      </c>
      <c r="E6" s="7">
        <v>6.0019999999999998</v>
      </c>
      <c r="F6" s="7">
        <v>6.3280000000000003</v>
      </c>
      <c r="G6" s="7">
        <f t="shared" si="3"/>
        <v>6.0330000000000021</v>
      </c>
      <c r="H6" s="7">
        <v>6.2969999999999997</v>
      </c>
      <c r="I6" s="7">
        <v>6.7640000000000002</v>
      </c>
      <c r="J6" s="7">
        <v>6.6280000000000001</v>
      </c>
      <c r="K6" s="7"/>
      <c r="L6" s="7"/>
      <c r="M6" s="7"/>
      <c r="N6" s="7"/>
      <c r="O6" s="7"/>
      <c r="P6" s="7"/>
      <c r="Q6" s="7">
        <v>16.475999999999999</v>
      </c>
      <c r="R6" s="7">
        <v>23.007000000000001</v>
      </c>
      <c r="S6" s="7">
        <v>25.722000000000001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s="3" customFormat="1" x14ac:dyDescent="0.2">
      <c r="B7" s="3" t="s">
        <v>11</v>
      </c>
      <c r="C7" s="7">
        <f t="shared" si="7"/>
        <v>8.9930000000000021</v>
      </c>
      <c r="D7" s="7">
        <v>12.353999999999999</v>
      </c>
      <c r="E7" s="7">
        <v>11.545999999999999</v>
      </c>
      <c r="F7" s="7">
        <v>11.279</v>
      </c>
      <c r="G7" s="7">
        <f t="shared" si="3"/>
        <v>10.776000000000002</v>
      </c>
      <c r="H7" s="7">
        <v>14.19</v>
      </c>
      <c r="I7" s="7">
        <v>13.205</v>
      </c>
      <c r="J7" s="7">
        <v>13.481</v>
      </c>
      <c r="K7" s="7"/>
      <c r="L7" s="7"/>
      <c r="M7" s="7"/>
      <c r="N7" s="7"/>
      <c r="O7" s="7"/>
      <c r="P7" s="7"/>
      <c r="Q7" s="7">
        <v>38.481999999999999</v>
      </c>
      <c r="R7" s="7">
        <v>44.171999999999997</v>
      </c>
      <c r="S7" s="7">
        <v>51.652000000000001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s="3" customFormat="1" x14ac:dyDescent="0.2">
      <c r="B8" s="3" t="s">
        <v>12</v>
      </c>
      <c r="C8" s="7">
        <f t="shared" ref="C8:J8" si="8">+C7+C6</f>
        <v>14.001000000000005</v>
      </c>
      <c r="D8" s="7">
        <f t="shared" si="8"/>
        <v>18.023</v>
      </c>
      <c r="E8" s="7">
        <f t="shared" si="8"/>
        <v>17.547999999999998</v>
      </c>
      <c r="F8" s="7">
        <f t="shared" si="8"/>
        <v>17.606999999999999</v>
      </c>
      <c r="G8" s="7">
        <f t="shared" si="8"/>
        <v>16.809000000000005</v>
      </c>
      <c r="H8" s="7">
        <f t="shared" si="8"/>
        <v>20.486999999999998</v>
      </c>
      <c r="I8" s="7">
        <f t="shared" si="8"/>
        <v>19.969000000000001</v>
      </c>
      <c r="J8" s="7">
        <f t="shared" si="8"/>
        <v>20.109000000000002</v>
      </c>
      <c r="K8" s="7">
        <f>+K5-K9</f>
        <v>20.171199999999999</v>
      </c>
      <c r="L8" s="7">
        <f t="shared" ref="L8:N8" si="9">+L5-L9</f>
        <v>20.000365000000002</v>
      </c>
      <c r="M8" s="7">
        <f t="shared" si="9"/>
        <v>20.792695000000002</v>
      </c>
      <c r="N8" s="7">
        <f t="shared" si="9"/>
        <v>21.914585000000002</v>
      </c>
      <c r="O8" s="7"/>
      <c r="P8" s="7"/>
      <c r="Q8" s="7">
        <f>+Q7+Q6</f>
        <v>54.957999999999998</v>
      </c>
      <c r="R8" s="7">
        <f t="shared" ref="R8:S8" si="10">+R7+R6</f>
        <v>67.179000000000002</v>
      </c>
      <c r="S8" s="7">
        <f t="shared" si="10"/>
        <v>77.373999999999995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s="3" customFormat="1" x14ac:dyDescent="0.2">
      <c r="B9" s="3" t="s">
        <v>13</v>
      </c>
      <c r="C9" s="7">
        <f t="shared" ref="C9:J9" si="11">+C5-C8</f>
        <v>22.849999999999987</v>
      </c>
      <c r="D9" s="7">
        <f t="shared" si="11"/>
        <v>24.055000000000003</v>
      </c>
      <c r="E9" s="7">
        <f t="shared" si="11"/>
        <v>25.284000000000002</v>
      </c>
      <c r="F9" s="7">
        <f t="shared" si="11"/>
        <v>27.944000000000003</v>
      </c>
      <c r="G9" s="7">
        <f t="shared" si="11"/>
        <v>29.202000000000005</v>
      </c>
      <c r="H9" s="7">
        <f t="shared" si="11"/>
        <v>31.462</v>
      </c>
      <c r="I9" s="7">
        <f t="shared" si="11"/>
        <v>34.038000000000004</v>
      </c>
      <c r="J9" s="7">
        <f t="shared" si="11"/>
        <v>36.811999999999998</v>
      </c>
      <c r="K9" s="7">
        <f>+K5*0.65</f>
        <v>37.460799999999999</v>
      </c>
      <c r="L9" s="7">
        <f t="shared" ref="L9:N9" si="12">+L5*0.65</f>
        <v>37.143535</v>
      </c>
      <c r="M9" s="7">
        <f t="shared" si="12"/>
        <v>38.615005000000004</v>
      </c>
      <c r="N9" s="7">
        <f t="shared" si="12"/>
        <v>40.698515</v>
      </c>
      <c r="O9" s="7"/>
      <c r="P9" s="7"/>
      <c r="Q9" s="7">
        <f>+Q5-Q8</f>
        <v>75.26400000000001</v>
      </c>
      <c r="R9" s="7">
        <f t="shared" ref="R9:S9" si="13">+R5-R8</f>
        <v>100.13300000000001</v>
      </c>
      <c r="S9" s="7">
        <f t="shared" si="13"/>
        <v>131.51400000000001</v>
      </c>
      <c r="T9" s="7">
        <f>+T5*0.64</f>
        <v>152.40468480000001</v>
      </c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s="3" customFormat="1" x14ac:dyDescent="0.2">
      <c r="B10" s="3" t="s">
        <v>14</v>
      </c>
      <c r="C10" s="7">
        <f t="shared" ref="C10:C12" si="14">R10-F10-E10-D10</f>
        <v>5.0959999999999983</v>
      </c>
      <c r="D10" s="7">
        <v>6.67</v>
      </c>
      <c r="E10" s="7">
        <v>8.1069999999999993</v>
      </c>
      <c r="F10" s="7">
        <v>5.9630000000000001</v>
      </c>
      <c r="G10" s="7">
        <f t="shared" ref="G10:G12" si="15">S10-J10-I10-H10</f>
        <v>7.9160000000000004</v>
      </c>
      <c r="H10" s="7">
        <v>8.0640000000000001</v>
      </c>
      <c r="I10" s="7">
        <v>8.4250000000000007</v>
      </c>
      <c r="J10" s="7">
        <v>7.835</v>
      </c>
      <c r="K10" s="7">
        <f>+G10*1.05</f>
        <v>8.3117999999999999</v>
      </c>
      <c r="L10" s="7">
        <f t="shared" ref="L10:L12" si="16">+H10*1.05</f>
        <v>8.4672000000000001</v>
      </c>
      <c r="M10" s="7">
        <f t="shared" ref="M10:M12" si="17">+I10*1.05</f>
        <v>8.8462500000000013</v>
      </c>
      <c r="N10" s="7">
        <f t="shared" ref="N10:N12" si="18">+J10*1.05</f>
        <v>8.2267500000000009</v>
      </c>
      <c r="O10" s="7"/>
      <c r="P10" s="7"/>
      <c r="Q10" s="7">
        <v>21.466999999999999</v>
      </c>
      <c r="R10" s="7">
        <v>25.835999999999999</v>
      </c>
      <c r="S10" s="7">
        <v>32.24</v>
      </c>
      <c r="T10" s="7">
        <f>+S10*1.1</f>
        <v>35.464000000000006</v>
      </c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s="3" customFormat="1" x14ac:dyDescent="0.2">
      <c r="B11" s="3" t="s">
        <v>15</v>
      </c>
      <c r="C11" s="7">
        <f t="shared" si="14"/>
        <v>5.2200000000000006</v>
      </c>
      <c r="D11" s="7">
        <v>7.2089999999999996</v>
      </c>
      <c r="E11" s="7">
        <v>6.7460000000000004</v>
      </c>
      <c r="F11" s="7">
        <v>6.9379999999999997</v>
      </c>
      <c r="G11" s="7">
        <f t="shared" si="15"/>
        <v>7.5500000000000007</v>
      </c>
      <c r="H11" s="7">
        <v>8.5139999999999993</v>
      </c>
      <c r="I11" s="7">
        <v>9.9320000000000004</v>
      </c>
      <c r="J11" s="7">
        <v>9.4770000000000003</v>
      </c>
      <c r="K11" s="7">
        <f t="shared" ref="K11:K12" si="19">+G11*1.05</f>
        <v>7.9275000000000011</v>
      </c>
      <c r="L11" s="7">
        <f t="shared" si="16"/>
        <v>8.9397000000000002</v>
      </c>
      <c r="M11" s="7">
        <f t="shared" si="17"/>
        <v>10.428600000000001</v>
      </c>
      <c r="N11" s="7">
        <f t="shared" si="18"/>
        <v>9.9508500000000009</v>
      </c>
      <c r="O11" s="7"/>
      <c r="P11" s="7"/>
      <c r="Q11" s="7">
        <v>29.928000000000001</v>
      </c>
      <c r="R11" s="7">
        <v>26.113</v>
      </c>
      <c r="S11" s="7">
        <v>35.472999999999999</v>
      </c>
      <c r="T11" s="7">
        <f>+S11*1.05</f>
        <v>37.246650000000002</v>
      </c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s="3" customFormat="1" x14ac:dyDescent="0.2">
      <c r="B12" s="3" t="s">
        <v>16</v>
      </c>
      <c r="C12" s="7">
        <f t="shared" si="14"/>
        <v>4.6100000000000021</v>
      </c>
      <c r="D12" s="7">
        <v>5.7640000000000002</v>
      </c>
      <c r="E12" s="7">
        <v>6.0940000000000003</v>
      </c>
      <c r="F12" s="7">
        <v>6.7249999999999996</v>
      </c>
      <c r="G12" s="7">
        <f t="shared" si="15"/>
        <v>7.7520000000000024</v>
      </c>
      <c r="H12" s="7">
        <v>9.0790000000000006</v>
      </c>
      <c r="I12" s="7">
        <v>9.8360000000000003</v>
      </c>
      <c r="J12" s="7">
        <v>13.335000000000001</v>
      </c>
      <c r="K12" s="7">
        <f t="shared" si="19"/>
        <v>8.1396000000000033</v>
      </c>
      <c r="L12" s="7">
        <f t="shared" si="16"/>
        <v>9.5329500000000014</v>
      </c>
      <c r="M12" s="7">
        <f t="shared" si="17"/>
        <v>10.3278</v>
      </c>
      <c r="N12" s="7">
        <f t="shared" si="18"/>
        <v>14.001750000000001</v>
      </c>
      <c r="O12" s="7"/>
      <c r="P12" s="7"/>
      <c r="Q12" s="7">
        <v>13.085000000000001</v>
      </c>
      <c r="R12" s="7">
        <v>23.193000000000001</v>
      </c>
      <c r="S12" s="7">
        <v>40.002000000000002</v>
      </c>
      <c r="T12" s="7">
        <f>+S12*1.01</f>
        <v>40.40202</v>
      </c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s="3" customFormat="1" x14ac:dyDescent="0.2">
      <c r="B13" s="3" t="s">
        <v>17</v>
      </c>
      <c r="C13" s="7">
        <f t="shared" ref="C13:J13" si="20">SUM(C10:C12)</f>
        <v>14.926000000000002</v>
      </c>
      <c r="D13" s="7">
        <f t="shared" si="20"/>
        <v>19.643000000000001</v>
      </c>
      <c r="E13" s="7">
        <f t="shared" si="20"/>
        <v>20.946999999999999</v>
      </c>
      <c r="F13" s="7">
        <f t="shared" si="20"/>
        <v>19.625999999999998</v>
      </c>
      <c r="G13" s="7">
        <f t="shared" si="20"/>
        <v>23.218000000000004</v>
      </c>
      <c r="H13" s="7">
        <f t="shared" si="20"/>
        <v>25.657</v>
      </c>
      <c r="I13" s="7">
        <f t="shared" si="20"/>
        <v>28.192999999999998</v>
      </c>
      <c r="J13" s="7">
        <f t="shared" si="20"/>
        <v>30.647000000000002</v>
      </c>
      <c r="K13" s="7">
        <f t="shared" ref="K13:N13" si="21">SUM(K10:K12)</f>
        <v>24.378900000000002</v>
      </c>
      <c r="L13" s="7">
        <f t="shared" si="21"/>
        <v>26.93985</v>
      </c>
      <c r="M13" s="7">
        <f t="shared" si="21"/>
        <v>29.602650000000001</v>
      </c>
      <c r="N13" s="7">
        <f t="shared" si="21"/>
        <v>32.179349999999999</v>
      </c>
      <c r="O13" s="7"/>
      <c r="P13" s="7"/>
      <c r="Q13" s="7">
        <f>SUM(Q10:Q12)</f>
        <v>64.47999999999999</v>
      </c>
      <c r="R13" s="7">
        <f t="shared" ref="R13:S13" si="22">SUM(R10:R12)</f>
        <v>75.141999999999996</v>
      </c>
      <c r="S13" s="7">
        <f t="shared" si="22"/>
        <v>107.715</v>
      </c>
      <c r="T13" s="7">
        <f t="shared" ref="T13" si="23">SUM(T10:T12)</f>
        <v>113.11267000000001</v>
      </c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s="3" customFormat="1" x14ac:dyDescent="0.2">
      <c r="B14" s="3" t="s">
        <v>18</v>
      </c>
      <c r="C14" s="7">
        <f t="shared" ref="C14:J14" si="24">C9-C13</f>
        <v>7.9239999999999853</v>
      </c>
      <c r="D14" s="7">
        <f t="shared" si="24"/>
        <v>4.4120000000000026</v>
      </c>
      <c r="E14" s="7">
        <f t="shared" si="24"/>
        <v>4.3370000000000033</v>
      </c>
      <c r="F14" s="7">
        <f t="shared" si="24"/>
        <v>8.3180000000000049</v>
      </c>
      <c r="G14" s="7">
        <f t="shared" si="24"/>
        <v>5.9840000000000018</v>
      </c>
      <c r="H14" s="7">
        <f t="shared" si="24"/>
        <v>5.8049999999999997</v>
      </c>
      <c r="I14" s="7">
        <f t="shared" si="24"/>
        <v>5.845000000000006</v>
      </c>
      <c r="J14" s="7">
        <f t="shared" si="24"/>
        <v>6.1649999999999956</v>
      </c>
      <c r="K14" s="7">
        <f t="shared" ref="K14:N14" si="25">K9-K13</f>
        <v>13.081899999999997</v>
      </c>
      <c r="L14" s="7">
        <f t="shared" si="25"/>
        <v>10.203685</v>
      </c>
      <c r="M14" s="7">
        <f t="shared" si="25"/>
        <v>9.012355000000003</v>
      </c>
      <c r="N14" s="7">
        <f t="shared" si="25"/>
        <v>8.519165000000001</v>
      </c>
      <c r="O14" s="7"/>
      <c r="P14" s="7"/>
      <c r="Q14" s="7">
        <f>Q9-Q13</f>
        <v>10.78400000000002</v>
      </c>
      <c r="R14" s="7">
        <f t="shared" ref="R14:S14" si="26">R9-R13</f>
        <v>24.991000000000014</v>
      </c>
      <c r="S14" s="7">
        <f t="shared" si="26"/>
        <v>23.799000000000007</v>
      </c>
      <c r="T14" s="7">
        <f t="shared" ref="T14" si="27">T9-T13</f>
        <v>39.292014800000004</v>
      </c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s="3" customFormat="1" x14ac:dyDescent="0.2">
      <c r="B15" s="3" t="s">
        <v>20</v>
      </c>
      <c r="C15" s="7">
        <f t="shared" ref="C15:C17" si="28">R15-F15-E15-D15</f>
        <v>-4.8000000000000091E-2</v>
      </c>
      <c r="D15" s="7">
        <v>-5.5E-2</v>
      </c>
      <c r="E15" s="7">
        <f>-0.04-0.08</f>
        <v>-0.12</v>
      </c>
      <c r="F15" s="7">
        <f>-0.043-0.415</f>
        <v>-0.45799999999999996</v>
      </c>
      <c r="G15" s="7">
        <f t="shared" ref="G15:G17" si="29">S15-J15-I15-H15</f>
        <v>-3.5000000000000059E-2</v>
      </c>
      <c r="H15" s="7">
        <f>-0.042-0.062</f>
        <v>-0.10400000000000001</v>
      </c>
      <c r="I15" s="7">
        <f>-0.044-0.007</f>
        <v>-5.0999999999999997E-2</v>
      </c>
      <c r="J15" s="7">
        <f>-0.05-0.286</f>
        <v>-0.33599999999999997</v>
      </c>
      <c r="K15" s="7">
        <v>0</v>
      </c>
      <c r="L15" s="7">
        <v>0</v>
      </c>
      <c r="M15" s="7">
        <v>0</v>
      </c>
      <c r="N15" s="7">
        <v>0</v>
      </c>
      <c r="O15" s="7"/>
      <c r="P15" s="7"/>
      <c r="Q15" s="7">
        <f>-0.269+0.057</f>
        <v>-0.21200000000000002</v>
      </c>
      <c r="R15" s="7">
        <f>-0.196-0.485</f>
        <v>-0.68100000000000005</v>
      </c>
      <c r="S15" s="7">
        <f>-0.178-0.348</f>
        <v>-0.52600000000000002</v>
      </c>
      <c r="T15" s="7"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s="3" customFormat="1" x14ac:dyDescent="0.2">
      <c r="B16" s="3" t="s">
        <v>21</v>
      </c>
      <c r="C16" s="7">
        <f t="shared" ref="C16:J16" si="30">+C14+C15</f>
        <v>7.8759999999999852</v>
      </c>
      <c r="D16" s="7">
        <f t="shared" si="30"/>
        <v>4.3570000000000029</v>
      </c>
      <c r="E16" s="7">
        <f t="shared" si="30"/>
        <v>4.2170000000000032</v>
      </c>
      <c r="F16" s="7">
        <f t="shared" si="30"/>
        <v>7.8600000000000048</v>
      </c>
      <c r="G16" s="7">
        <f t="shared" si="30"/>
        <v>5.9490000000000016</v>
      </c>
      <c r="H16" s="7">
        <f t="shared" si="30"/>
        <v>5.7009999999999996</v>
      </c>
      <c r="I16" s="7">
        <f t="shared" si="30"/>
        <v>5.7940000000000058</v>
      </c>
      <c r="J16" s="7">
        <f t="shared" si="30"/>
        <v>5.8289999999999953</v>
      </c>
      <c r="K16" s="7">
        <f t="shared" ref="K16" si="31">+K14+K15</f>
        <v>13.081899999999997</v>
      </c>
      <c r="L16" s="7">
        <f t="shared" ref="L16" si="32">+L14+L15</f>
        <v>10.203685</v>
      </c>
      <c r="M16" s="7">
        <f t="shared" ref="M16" si="33">+M14+M15</f>
        <v>9.012355000000003</v>
      </c>
      <c r="N16" s="7">
        <f t="shared" ref="N16" si="34">+N14+N15</f>
        <v>8.519165000000001</v>
      </c>
      <c r="O16" s="7"/>
      <c r="P16" s="7"/>
      <c r="Q16" s="7">
        <f>+Q14+Q15</f>
        <v>10.57200000000002</v>
      </c>
      <c r="R16" s="7">
        <f>+R14+R15</f>
        <v>24.310000000000013</v>
      </c>
      <c r="S16" s="7">
        <f>+S14+S15</f>
        <v>23.273000000000007</v>
      </c>
      <c r="T16" s="7">
        <f>+T14+T15</f>
        <v>39.292014800000004</v>
      </c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s="3" customFormat="1" x14ac:dyDescent="0.2">
      <c r="B17" s="3" t="s">
        <v>22</v>
      </c>
      <c r="C17" s="7">
        <f t="shared" si="28"/>
        <v>2.7970000000000006</v>
      </c>
      <c r="D17" s="7">
        <v>1.431</v>
      </c>
      <c r="E17" s="7">
        <v>0.49199999999999999</v>
      </c>
      <c r="F17" s="7">
        <v>2.097</v>
      </c>
      <c r="G17" s="7">
        <f t="shared" si="29"/>
        <v>1.8559999999999997</v>
      </c>
      <c r="H17" s="7">
        <v>1.6639999999999999</v>
      </c>
      <c r="I17" s="7">
        <v>1.0609999999999999</v>
      </c>
      <c r="J17" s="7">
        <v>1.1160000000000001</v>
      </c>
      <c r="K17" s="7">
        <f>+K16*0.35</f>
        <v>4.5786649999999991</v>
      </c>
      <c r="L17" s="7">
        <f t="shared" ref="L17:N17" si="35">+L16*0.35</f>
        <v>3.5712897499999996</v>
      </c>
      <c r="M17" s="7">
        <f t="shared" si="35"/>
        <v>3.1543242500000011</v>
      </c>
      <c r="N17" s="7">
        <f t="shared" si="35"/>
        <v>2.98170775</v>
      </c>
      <c r="O17" s="7"/>
      <c r="P17" s="7"/>
      <c r="Q17" s="7">
        <v>2.6880000000000002</v>
      </c>
      <c r="R17" s="7">
        <v>6.8170000000000002</v>
      </c>
      <c r="S17" s="7">
        <v>5.6970000000000001</v>
      </c>
      <c r="T17" s="7">
        <f>+T16*0.3</f>
        <v>11.787604440000001</v>
      </c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s="4" customFormat="1" x14ac:dyDescent="0.2">
      <c r="B18" s="4" t="s">
        <v>23</v>
      </c>
      <c r="C18" s="8">
        <f t="shared" ref="C18:J18" si="36">+C16-C17</f>
        <v>5.0789999999999846</v>
      </c>
      <c r="D18" s="8">
        <f t="shared" si="36"/>
        <v>2.9260000000000028</v>
      </c>
      <c r="E18" s="8">
        <f t="shared" si="36"/>
        <v>3.7250000000000032</v>
      </c>
      <c r="F18" s="8">
        <f t="shared" si="36"/>
        <v>5.7630000000000052</v>
      </c>
      <c r="G18" s="8">
        <f t="shared" si="36"/>
        <v>4.0930000000000017</v>
      </c>
      <c r="H18" s="8">
        <f t="shared" si="36"/>
        <v>4.0369999999999999</v>
      </c>
      <c r="I18" s="8">
        <f t="shared" si="36"/>
        <v>4.7330000000000059</v>
      </c>
      <c r="J18" s="8">
        <f t="shared" si="36"/>
        <v>4.7129999999999956</v>
      </c>
      <c r="K18" s="8">
        <f t="shared" ref="K18:N18" si="37">+K16-K17</f>
        <v>8.5032349999999983</v>
      </c>
      <c r="L18" s="8">
        <f t="shared" si="37"/>
        <v>6.6323952500000001</v>
      </c>
      <c r="M18" s="8">
        <f t="shared" si="37"/>
        <v>5.858030750000002</v>
      </c>
      <c r="N18" s="8">
        <f t="shared" si="37"/>
        <v>5.537457250000001</v>
      </c>
      <c r="O18" s="8"/>
      <c r="P18" s="8"/>
      <c r="Q18" s="8">
        <f>+Q16-Q17</f>
        <v>7.8840000000000199</v>
      </c>
      <c r="R18" s="8">
        <f>+R16-R17</f>
        <v>17.493000000000013</v>
      </c>
      <c r="S18" s="8">
        <f>+S16-S17</f>
        <v>17.576000000000008</v>
      </c>
      <c r="T18" s="8">
        <f>+T16-T17</f>
        <v>27.504410360000001</v>
      </c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2:30" x14ac:dyDescent="0.2">
      <c r="B19" s="3" t="s">
        <v>1</v>
      </c>
      <c r="C19" s="9">
        <f t="shared" ref="C19:J19" si="38">C18/C20</f>
        <v>1.3658953754800358</v>
      </c>
      <c r="D19" s="9">
        <f t="shared" si="38"/>
        <v>0.78688912554727319</v>
      </c>
      <c r="E19" s="9">
        <f t="shared" si="38"/>
        <v>0.85717211440774088</v>
      </c>
      <c r="F19" s="9">
        <f t="shared" si="38"/>
        <v>1.3976628496703631</v>
      </c>
      <c r="G19" s="9">
        <f t="shared" si="38"/>
        <v>0.99264862809314491</v>
      </c>
      <c r="H19" s="9">
        <f t="shared" si="38"/>
        <v>1.4916665096296919</v>
      </c>
      <c r="I19" s="9">
        <f t="shared" si="38"/>
        <v>0.10106334525779749</v>
      </c>
      <c r="J19" s="9">
        <f t="shared" si="38"/>
        <v>9.952838160663971E-2</v>
      </c>
      <c r="K19" s="9">
        <f t="shared" ref="K19:N19" si="39">K18/K20</f>
        <v>0.17956995925544997</v>
      </c>
      <c r="L19" s="9">
        <f t="shared" si="39"/>
        <v>0.14006186407979318</v>
      </c>
      <c r="M19" s="9">
        <f t="shared" si="39"/>
        <v>0.12370895818999163</v>
      </c>
      <c r="N19" s="9">
        <f t="shared" si="39"/>
        <v>0.11693913819402808</v>
      </c>
      <c r="Q19" s="9">
        <f>Q18/Q20</f>
        <v>2.8207513416815813</v>
      </c>
      <c r="R19" s="9">
        <f t="shared" ref="R19:T19" si="40">R18/R20</f>
        <v>4.4969151670951186</v>
      </c>
      <c r="S19" s="9">
        <f t="shared" si="40"/>
        <v>0.72905259664841582</v>
      </c>
      <c r="T19" s="9">
        <f t="shared" si="40"/>
        <v>0.61120911911111109</v>
      </c>
    </row>
    <row r="20" spans="2:30" s="3" customFormat="1" x14ac:dyDescent="0.2">
      <c r="B20" s="3" t="s">
        <v>24</v>
      </c>
      <c r="C20" s="7">
        <f>+D20</f>
        <v>3.7184400000000002</v>
      </c>
      <c r="D20" s="7">
        <v>3.7184400000000002</v>
      </c>
      <c r="E20" s="7">
        <v>4.3456849999999996</v>
      </c>
      <c r="F20" s="7">
        <v>4.1233120000000003</v>
      </c>
      <c r="G20" s="7">
        <f>F20</f>
        <v>4.1233120000000003</v>
      </c>
      <c r="H20" s="7">
        <v>2.706369</v>
      </c>
      <c r="I20" s="7">
        <v>46.832014000000001</v>
      </c>
      <c r="J20" s="7">
        <v>47.353327</v>
      </c>
      <c r="K20" s="7">
        <f>+J20</f>
        <v>47.353327</v>
      </c>
      <c r="L20" s="7">
        <f t="shared" ref="L20:N20" si="41">+K20</f>
        <v>47.353327</v>
      </c>
      <c r="M20" s="7">
        <f t="shared" si="41"/>
        <v>47.353327</v>
      </c>
      <c r="N20" s="7">
        <f t="shared" si="41"/>
        <v>47.353327</v>
      </c>
      <c r="O20" s="7"/>
      <c r="P20" s="7"/>
      <c r="Q20" s="7">
        <v>2.7949999999999999</v>
      </c>
      <c r="R20" s="7">
        <v>3.89</v>
      </c>
      <c r="S20" s="7">
        <v>24.108000000000001</v>
      </c>
      <c r="T20" s="7">
        <v>45</v>
      </c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2" spans="2:30" s="6" customFormat="1" x14ac:dyDescent="0.2">
      <c r="B22" s="4" t="s">
        <v>32</v>
      </c>
      <c r="C22" s="10"/>
      <c r="D22" s="10"/>
      <c r="E22" s="10"/>
      <c r="F22" s="10"/>
      <c r="G22" s="11">
        <f>G5/C5-1</f>
        <v>0.24856855987625903</v>
      </c>
      <c r="H22" s="11">
        <f>H5/D5-1</f>
        <v>0.23458814582442122</v>
      </c>
      <c r="I22" s="11">
        <f>I5/E5-1</f>
        <v>0.26090306313036993</v>
      </c>
      <c r="J22" s="11">
        <f>J5/F5-1</f>
        <v>0.24961032688634721</v>
      </c>
      <c r="K22" s="11">
        <f t="shared" ref="K22:N22" si="42">K5/G5-1</f>
        <v>0.2525700375997042</v>
      </c>
      <c r="L22" s="11">
        <f t="shared" si="42"/>
        <v>0.10000000000000009</v>
      </c>
      <c r="M22" s="11">
        <f t="shared" si="42"/>
        <v>0.10000000000000009</v>
      </c>
      <c r="N22" s="11">
        <f t="shared" si="42"/>
        <v>0.10000000000000009</v>
      </c>
      <c r="O22" s="10"/>
      <c r="P22" s="10"/>
      <c r="Q22" s="10"/>
      <c r="R22" s="11">
        <f>R5/Q5-1</f>
        <v>0.28482130515581083</v>
      </c>
      <c r="S22" s="11">
        <f t="shared" ref="S22:T22" si="43">S5/R5-1</f>
        <v>0.24849383188294927</v>
      </c>
      <c r="T22" s="11">
        <f t="shared" si="43"/>
        <v>0.1399999999999999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2:30" s="6" customFormat="1" x14ac:dyDescent="0.2">
      <c r="B23" s="13" t="s">
        <v>34</v>
      </c>
      <c r="C23" s="10"/>
      <c r="D23" s="10"/>
      <c r="E23" s="10"/>
      <c r="F23" s="10"/>
      <c r="G23" s="14">
        <f t="shared" ref="G23:J25" si="44">G10/C10-1</f>
        <v>0.55337519623233966</v>
      </c>
      <c r="H23" s="14">
        <f t="shared" si="44"/>
        <v>0.20899550224887564</v>
      </c>
      <c r="I23" s="14">
        <f t="shared" si="44"/>
        <v>3.9225360799309383E-2</v>
      </c>
      <c r="J23" s="14">
        <f t="shared" si="44"/>
        <v>0.31393593828609756</v>
      </c>
      <c r="K23" s="14">
        <f t="shared" ref="K23:N23" si="45">K10/G10-1</f>
        <v>4.9999999999999822E-2</v>
      </c>
      <c r="L23" s="14">
        <f t="shared" si="45"/>
        <v>5.0000000000000044E-2</v>
      </c>
      <c r="M23" s="14">
        <f t="shared" si="45"/>
        <v>5.0000000000000044E-2</v>
      </c>
      <c r="N23" s="14">
        <f t="shared" si="45"/>
        <v>5.0000000000000044E-2</v>
      </c>
      <c r="O23" s="10"/>
      <c r="P23" s="10"/>
      <c r="Q23" s="10"/>
      <c r="R23" s="14">
        <f>R10/Q10-1</f>
        <v>0.2035216844458938</v>
      </c>
      <c r="S23" s="14">
        <f t="shared" ref="S23:T23" si="46">S10/R10-1</f>
        <v>0.24787118749032366</v>
      </c>
      <c r="T23" s="14">
        <f t="shared" si="46"/>
        <v>0.10000000000000009</v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2:30" s="6" customFormat="1" x14ac:dyDescent="0.2">
      <c r="B24" s="13" t="s">
        <v>35</v>
      </c>
      <c r="C24" s="10"/>
      <c r="D24" s="10"/>
      <c r="E24" s="10"/>
      <c r="F24" s="10"/>
      <c r="G24" s="14">
        <f t="shared" si="44"/>
        <v>0.44636015325670497</v>
      </c>
      <c r="H24" s="14">
        <f t="shared" si="44"/>
        <v>0.18102372034956304</v>
      </c>
      <c r="I24" s="14">
        <f t="shared" si="44"/>
        <v>0.47227986955232737</v>
      </c>
      <c r="J24" s="14">
        <f t="shared" si="44"/>
        <v>0.36595560680311334</v>
      </c>
      <c r="K24" s="14">
        <f t="shared" ref="K24:N24" si="47">K11/G11-1</f>
        <v>5.0000000000000044E-2</v>
      </c>
      <c r="L24" s="14">
        <f t="shared" si="47"/>
        <v>5.0000000000000044E-2</v>
      </c>
      <c r="M24" s="14">
        <f t="shared" si="47"/>
        <v>5.0000000000000044E-2</v>
      </c>
      <c r="N24" s="14">
        <f t="shared" si="47"/>
        <v>5.0000000000000044E-2</v>
      </c>
      <c r="O24" s="10"/>
      <c r="P24" s="10"/>
      <c r="Q24" s="10"/>
      <c r="R24" s="14">
        <f t="shared" ref="R24:T24" si="48">R11/Q11-1</f>
        <v>-0.12747260090884793</v>
      </c>
      <c r="S24" s="14">
        <f t="shared" si="48"/>
        <v>0.35844215524834366</v>
      </c>
      <c r="T24" s="14">
        <f t="shared" si="48"/>
        <v>5.0000000000000044E-2</v>
      </c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s="6" customFormat="1" x14ac:dyDescent="0.2">
      <c r="B25" s="13" t="s">
        <v>36</v>
      </c>
      <c r="C25" s="10"/>
      <c r="D25" s="10"/>
      <c r="E25" s="10"/>
      <c r="F25" s="10"/>
      <c r="G25" s="14">
        <f t="shared" si="44"/>
        <v>0.68156182212581329</v>
      </c>
      <c r="H25" s="14">
        <f t="shared" si="44"/>
        <v>0.57512144344205418</v>
      </c>
      <c r="I25" s="14">
        <f t="shared" si="44"/>
        <v>0.61404660321627835</v>
      </c>
      <c r="J25" s="14">
        <f t="shared" si="44"/>
        <v>0.98289962825278843</v>
      </c>
      <c r="K25" s="14">
        <f t="shared" ref="K25:N25" si="49">K12/G12-1</f>
        <v>5.0000000000000044E-2</v>
      </c>
      <c r="L25" s="14">
        <f t="shared" si="49"/>
        <v>5.0000000000000044E-2</v>
      </c>
      <c r="M25" s="14">
        <f t="shared" si="49"/>
        <v>5.0000000000000044E-2</v>
      </c>
      <c r="N25" s="14">
        <f t="shared" si="49"/>
        <v>5.0000000000000044E-2</v>
      </c>
      <c r="O25" s="10"/>
      <c r="P25" s="10"/>
      <c r="Q25" s="10"/>
      <c r="R25" s="14">
        <f>R12/Q12-1</f>
        <v>0.77248758119984706</v>
      </c>
      <c r="S25" s="14">
        <f>S12/R12-1</f>
        <v>0.72474453498900537</v>
      </c>
      <c r="T25" s="14">
        <f>T12/S12-1</f>
        <v>1.0000000000000009E-2</v>
      </c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s="6" customFormat="1" x14ac:dyDescent="0.2">
      <c r="B26" s="13" t="s">
        <v>23</v>
      </c>
      <c r="C26" s="10"/>
      <c r="D26" s="10"/>
      <c r="E26" s="10"/>
      <c r="F26" s="10"/>
      <c r="G26" s="11">
        <f>G18/C18-1</f>
        <v>-0.19413270328804599</v>
      </c>
      <c r="H26" s="11">
        <f>H18/D18-1</f>
        <v>0.37969924812029943</v>
      </c>
      <c r="I26" s="11">
        <f>I18/E18-1</f>
        <v>0.270604026845638</v>
      </c>
      <c r="J26" s="11">
        <f>J18/F18-1</f>
        <v>-0.18219677251431698</v>
      </c>
      <c r="K26" s="11">
        <f t="shared" ref="K26:N26" si="50">K18/G18-1</f>
        <v>1.0775067187881735</v>
      </c>
      <c r="L26" s="11">
        <f t="shared" si="50"/>
        <v>0.64290196928412202</v>
      </c>
      <c r="M26" s="11">
        <f t="shared" si="50"/>
        <v>0.23769929220367514</v>
      </c>
      <c r="N26" s="11">
        <f t="shared" si="50"/>
        <v>0.1749325800976036</v>
      </c>
      <c r="O26" s="10"/>
      <c r="P26" s="10"/>
      <c r="Q26" s="10"/>
      <c r="R26" s="14"/>
      <c r="S26" s="14"/>
      <c r="T26" s="14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2:30" s="6" customFormat="1" x14ac:dyDescent="0.2">
      <c r="B27" s="4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4"/>
      <c r="S27" s="14"/>
      <c r="T27" s="14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x14ac:dyDescent="0.2">
      <c r="B28" s="3" t="s">
        <v>13</v>
      </c>
      <c r="C28" s="12">
        <f t="shared" ref="C28:J28" si="51">C9/C5</f>
        <v>0.62006458440747858</v>
      </c>
      <c r="D28" s="12">
        <f t="shared" si="51"/>
        <v>0.5716764104757831</v>
      </c>
      <c r="E28" s="12">
        <f t="shared" si="51"/>
        <v>0.59030631303698178</v>
      </c>
      <c r="F28" s="12">
        <f t="shared" si="51"/>
        <v>0.61346622467124767</v>
      </c>
      <c r="G28" s="12">
        <f t="shared" si="51"/>
        <v>0.63467431701114951</v>
      </c>
      <c r="H28" s="12">
        <f t="shared" si="51"/>
        <v>0.60563244720783849</v>
      </c>
      <c r="I28" s="12">
        <f t="shared" si="51"/>
        <v>0.63025163404743834</v>
      </c>
      <c r="J28" s="12">
        <f t="shared" si="51"/>
        <v>0.64672089387045195</v>
      </c>
      <c r="K28" s="12">
        <f t="shared" ref="K28:N28" si="52">K9/K5</f>
        <v>0.65</v>
      </c>
      <c r="L28" s="12">
        <f t="shared" si="52"/>
        <v>0.65</v>
      </c>
      <c r="M28" s="12">
        <f t="shared" si="52"/>
        <v>0.65</v>
      </c>
      <c r="N28" s="12">
        <f t="shared" si="52"/>
        <v>0.65</v>
      </c>
      <c r="Q28" s="12">
        <f>Q9/Q5</f>
        <v>0.57796685659873148</v>
      </c>
      <c r="R28" s="12">
        <f>R9/R5</f>
        <v>0.59848068279621303</v>
      </c>
      <c r="S28" s="12">
        <f>S9/S5</f>
        <v>0.6295909769828808</v>
      </c>
      <c r="T28" s="12">
        <f>T9/T5</f>
        <v>0.64000000000000012</v>
      </c>
    </row>
    <row r="29" spans="2:30" x14ac:dyDescent="0.2">
      <c r="B29" s="3" t="s">
        <v>33</v>
      </c>
      <c r="C29" s="12">
        <f t="shared" ref="C29:J29" si="53">(C3-C6)/C3</f>
        <v>0.80130138073321688</v>
      </c>
      <c r="D29" s="12">
        <f t="shared" si="53"/>
        <v>0.78984244670991655</v>
      </c>
      <c r="E29" s="12">
        <f t="shared" si="53"/>
        <v>0.78920380711551297</v>
      </c>
      <c r="F29" s="12">
        <f t="shared" si="53"/>
        <v>0.79496484463597195</v>
      </c>
      <c r="G29" s="12">
        <f t="shared" si="53"/>
        <v>0.81120325457674858</v>
      </c>
      <c r="H29" s="12">
        <f t="shared" si="53"/>
        <v>0.81552118122692918</v>
      </c>
      <c r="I29" s="12">
        <f t="shared" si="53"/>
        <v>0.81293213120194707</v>
      </c>
      <c r="J29" s="12">
        <f t="shared" si="53"/>
        <v>0.82868515598748993</v>
      </c>
      <c r="K29" s="12">
        <f t="shared" ref="K29:N29" si="54">(K3-K6)/K3</f>
        <v>1</v>
      </c>
      <c r="L29" s="12">
        <f t="shared" si="54"/>
        <v>1</v>
      </c>
      <c r="M29" s="12">
        <f t="shared" si="54"/>
        <v>1</v>
      </c>
      <c r="N29" s="12">
        <f t="shared" si="54"/>
        <v>1</v>
      </c>
      <c r="Q29" s="12">
        <f>(Q3-Q6)/Q3</f>
        <v>0.80058097312999277</v>
      </c>
      <c r="R29" s="12">
        <f t="shared" ref="R29:S29" si="55">(R3-R6)/R3</f>
        <v>0.79368694794422268</v>
      </c>
      <c r="S29" s="12">
        <f t="shared" si="55"/>
        <v>0.81749162740534709</v>
      </c>
      <c r="T29" s="12">
        <f t="shared" ref="T29" si="56">(T3-T6)/T3</f>
        <v>1</v>
      </c>
    </row>
    <row r="30" spans="2:30" x14ac:dyDescent="0.2">
      <c r="B30" s="3" t="s">
        <v>41</v>
      </c>
      <c r="C30" s="12">
        <f>C17/C16</f>
        <v>0.355129507364145</v>
      </c>
      <c r="D30" s="12">
        <f t="shared" ref="D30:J30" si="57">D17/D16</f>
        <v>0.32843699793435832</v>
      </c>
      <c r="E30" s="12">
        <f t="shared" si="57"/>
        <v>0.11667061892340518</v>
      </c>
      <c r="F30" s="12">
        <f t="shared" si="57"/>
        <v>0.26679389312977081</v>
      </c>
      <c r="G30" s="12">
        <f t="shared" si="57"/>
        <v>0.31198520759791548</v>
      </c>
      <c r="H30" s="12">
        <f t="shared" si="57"/>
        <v>0.29187861778635327</v>
      </c>
      <c r="I30" s="12">
        <f t="shared" si="57"/>
        <v>0.18312046945115618</v>
      </c>
      <c r="J30" s="12">
        <f t="shared" si="57"/>
        <v>0.19145651055069499</v>
      </c>
      <c r="K30" s="12">
        <f t="shared" ref="K30:N30" si="58">K17/K16</f>
        <v>0.35</v>
      </c>
      <c r="L30" s="12">
        <f t="shared" si="58"/>
        <v>0.35</v>
      </c>
      <c r="M30" s="12">
        <f t="shared" si="58"/>
        <v>0.35</v>
      </c>
      <c r="N30" s="12">
        <f t="shared" si="58"/>
        <v>0.35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2016-03-06T00:15:15Z</dcterms:created>
  <dcterms:modified xsi:type="dcterms:W3CDTF">2016-09-11T21:30:12Z</dcterms:modified>
</cp:coreProperties>
</file>