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esktop\Investing Class\"/>
    </mc:Choice>
  </mc:AlternateContent>
  <bookViews>
    <workbookView xWindow="0" yWindow="0" windowWidth="21360" windowHeight="12225" activeTab="1"/>
  </bookViews>
  <sheets>
    <sheet name="Main" sheetId="1" r:id="rId1"/>
    <sheet name="Model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1" i="2" l="1"/>
  <c r="W13" i="2"/>
  <c r="W11" i="2"/>
  <c r="W5" i="2"/>
  <c r="W4" i="2"/>
  <c r="W6" i="2"/>
  <c r="W8" i="2" s="1"/>
  <c r="W12" i="2" s="1"/>
  <c r="W14" i="2" s="1"/>
  <c r="W16" i="2" s="1"/>
  <c r="W17" i="2" s="1"/>
  <c r="Y21" i="2"/>
  <c r="X13" i="2"/>
  <c r="X11" i="2"/>
  <c r="X8" i="2"/>
  <c r="K74" i="2"/>
  <c r="K72" i="2"/>
  <c r="K69" i="2"/>
  <c r="K66" i="2"/>
  <c r="K63" i="2"/>
  <c r="K61" i="2"/>
  <c r="X12" i="2" l="1"/>
  <c r="X14" i="2" s="1"/>
  <c r="X16" i="2" s="1"/>
  <c r="X17" i="2" s="1"/>
  <c r="K43" i="2"/>
  <c r="K36" i="2"/>
  <c r="K34" i="2"/>
  <c r="K32" i="2"/>
  <c r="K30" i="2"/>
  <c r="K25" i="2"/>
  <c r="K24" i="2" s="1"/>
  <c r="G20" i="2"/>
  <c r="H20" i="2"/>
  <c r="I20" i="2"/>
  <c r="J20" i="2"/>
  <c r="O18" i="2"/>
  <c r="P18" i="2" s="1"/>
  <c r="Q18" i="2" s="1"/>
  <c r="R18" i="2" s="1"/>
  <c r="R16" i="2"/>
  <c r="Q16" i="2"/>
  <c r="Q17" i="2" s="1"/>
  <c r="P16" i="2"/>
  <c r="P17" i="2" s="1"/>
  <c r="R15" i="2"/>
  <c r="Q15" i="2"/>
  <c r="P15" i="2"/>
  <c r="R14" i="2"/>
  <c r="Q14" i="2"/>
  <c r="P14" i="2"/>
  <c r="R11" i="2"/>
  <c r="R12" i="2" s="1"/>
  <c r="Q11" i="2"/>
  <c r="Q12" i="2" s="1"/>
  <c r="P11" i="2"/>
  <c r="P12" i="2" s="1"/>
  <c r="O11" i="2"/>
  <c r="N11" i="2"/>
  <c r="N12" i="2" s="1"/>
  <c r="Q10" i="2"/>
  <c r="P10" i="2"/>
  <c r="O10" i="2"/>
  <c r="N10" i="2"/>
  <c r="R10" i="2" s="1"/>
  <c r="M10" i="2"/>
  <c r="R7" i="2"/>
  <c r="Q7" i="2"/>
  <c r="P7" i="2"/>
  <c r="R8" i="2"/>
  <c r="Q8" i="2"/>
  <c r="P8" i="2"/>
  <c r="R20" i="2"/>
  <c r="Q20" i="2"/>
  <c r="P20" i="2"/>
  <c r="N20" i="2"/>
  <c r="M20" i="2"/>
  <c r="L20" i="2"/>
  <c r="R21" i="2"/>
  <c r="Q21" i="2"/>
  <c r="P21" i="2"/>
  <c r="R6" i="2"/>
  <c r="R22" i="2" s="1"/>
  <c r="Q6" i="2"/>
  <c r="Q22" i="2" s="1"/>
  <c r="P6" i="2"/>
  <c r="O5" i="2"/>
  <c r="P5" i="2" s="1"/>
  <c r="Q5" i="2" s="1"/>
  <c r="R5" i="2" s="1"/>
  <c r="O4" i="2"/>
  <c r="P4" i="2" s="1"/>
  <c r="Q4" i="2" s="1"/>
  <c r="R4" i="2" s="1"/>
  <c r="R3" i="2"/>
  <c r="Q3" i="2"/>
  <c r="P3" i="2"/>
  <c r="O3" i="2"/>
  <c r="O21" i="2" s="1"/>
  <c r="L21" i="2"/>
  <c r="L24" i="2"/>
  <c r="L43" i="2"/>
  <c r="L36" i="2"/>
  <c r="L32" i="2"/>
  <c r="L30" i="2"/>
  <c r="L25" i="2"/>
  <c r="L13" i="2"/>
  <c r="L8" i="2"/>
  <c r="L6" i="2"/>
  <c r="O6" i="2" l="1"/>
  <c r="R17" i="2"/>
  <c r="P22" i="2"/>
  <c r="N3" i="2"/>
  <c r="M3" i="2"/>
  <c r="N21" i="2"/>
  <c r="M21" i="2"/>
  <c r="J21" i="2"/>
  <c r="I21" i="2"/>
  <c r="H21" i="2"/>
  <c r="G21" i="2"/>
  <c r="K21" i="2"/>
  <c r="M5" i="2"/>
  <c r="N5" i="2" s="1"/>
  <c r="AL2" i="2"/>
  <c r="AM2" i="2" s="1"/>
  <c r="AN2" i="2" s="1"/>
  <c r="Y18" i="2"/>
  <c r="Y15" i="2"/>
  <c r="Y13" i="2"/>
  <c r="Y10" i="2"/>
  <c r="Y11" i="2" s="1"/>
  <c r="Z9" i="2"/>
  <c r="Y9" i="2"/>
  <c r="Y7" i="2"/>
  <c r="Y5" i="2"/>
  <c r="X5" i="2"/>
  <c r="Y4" i="2"/>
  <c r="Y6" i="2" s="1"/>
  <c r="Y8" i="2" s="1"/>
  <c r="X4" i="2"/>
  <c r="X6" i="2" s="1"/>
  <c r="Y3" i="2"/>
  <c r="X3" i="2"/>
  <c r="V2" i="2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U2" i="2"/>
  <c r="M18" i="2"/>
  <c r="N18" i="2" s="1"/>
  <c r="M13" i="2"/>
  <c r="N13" i="2" s="1"/>
  <c r="M11" i="2"/>
  <c r="L11" i="2"/>
  <c r="Z10" i="2"/>
  <c r="J22" i="2"/>
  <c r="I22" i="2"/>
  <c r="H22" i="2"/>
  <c r="G22" i="2"/>
  <c r="M4" i="2"/>
  <c r="N4" i="2" s="1"/>
  <c r="C6" i="2"/>
  <c r="G11" i="2"/>
  <c r="G8" i="2"/>
  <c r="G6" i="2"/>
  <c r="F6" i="2"/>
  <c r="E6" i="2"/>
  <c r="D6" i="2"/>
  <c r="H6" i="2"/>
  <c r="H11" i="2"/>
  <c r="H8" i="2"/>
  <c r="I13" i="2"/>
  <c r="I11" i="2"/>
  <c r="I8" i="2"/>
  <c r="I12" i="2" s="1"/>
  <c r="I14" i="2" s="1"/>
  <c r="I16" i="2" s="1"/>
  <c r="I17" i="2" s="1"/>
  <c r="I6" i="2"/>
  <c r="J13" i="2"/>
  <c r="J11" i="2"/>
  <c r="J8" i="2"/>
  <c r="J12" i="2" s="1"/>
  <c r="J14" i="2" s="1"/>
  <c r="J16" i="2" s="1"/>
  <c r="J17" i="2" s="1"/>
  <c r="J6" i="2"/>
  <c r="K15" i="2"/>
  <c r="K13" i="2"/>
  <c r="K11" i="2"/>
  <c r="K6" i="2"/>
  <c r="K20" i="2" s="1"/>
  <c r="K8" i="2" l="1"/>
  <c r="O8" i="2"/>
  <c r="O7" i="2"/>
  <c r="O20" i="2"/>
  <c r="Y12" i="2"/>
  <c r="Y14" i="2" s="1"/>
  <c r="Y16" i="2" s="1"/>
  <c r="Y17" i="2" s="1"/>
  <c r="Z11" i="2"/>
  <c r="AA10" i="2"/>
  <c r="Z13" i="2"/>
  <c r="Z4" i="2"/>
  <c r="AA4" i="2" s="1"/>
  <c r="AB4" i="2" s="1"/>
  <c r="AC4" i="2" s="1"/>
  <c r="AD4" i="2" s="1"/>
  <c r="AE4" i="2" s="1"/>
  <c r="AF4" i="2" s="1"/>
  <c r="AG4" i="2" s="1"/>
  <c r="AH4" i="2" s="1"/>
  <c r="AI4" i="2" s="1"/>
  <c r="AJ4" i="2" s="1"/>
  <c r="AK4" i="2" s="1"/>
  <c r="AL4" i="2" s="1"/>
  <c r="AM4" i="2" s="1"/>
  <c r="AN4" i="2" s="1"/>
  <c r="Z18" i="2"/>
  <c r="AA18" i="2" s="1"/>
  <c r="AB18" i="2" s="1"/>
  <c r="AC18" i="2" s="1"/>
  <c r="AD18" i="2" s="1"/>
  <c r="AE18" i="2" s="1"/>
  <c r="Z3" i="2"/>
  <c r="AA3" i="2" s="1"/>
  <c r="AB3" i="2" s="1"/>
  <c r="AC3" i="2" s="1"/>
  <c r="AD3" i="2" s="1"/>
  <c r="N6" i="2"/>
  <c r="M6" i="2"/>
  <c r="G12" i="2"/>
  <c r="G14" i="2" s="1"/>
  <c r="G16" i="2" s="1"/>
  <c r="G17" i="2" s="1"/>
  <c r="H12" i="2"/>
  <c r="H14" i="2" s="1"/>
  <c r="H16" i="2" s="1"/>
  <c r="H17" i="2" s="1"/>
  <c r="L6" i="1"/>
  <c r="L5" i="1"/>
  <c r="L4" i="1"/>
  <c r="L7" i="1" s="1"/>
  <c r="L3" i="1"/>
  <c r="O12" i="2" l="1"/>
  <c r="O14" i="2" s="1"/>
  <c r="O22" i="2"/>
  <c r="K12" i="2"/>
  <c r="K14" i="2" s="1"/>
  <c r="K16" i="2" s="1"/>
  <c r="K22" i="2"/>
  <c r="AA11" i="2"/>
  <c r="AB10" i="2"/>
  <c r="Z21" i="2"/>
  <c r="AF18" i="2"/>
  <c r="N8" i="2"/>
  <c r="M8" i="2"/>
  <c r="Z5" i="2"/>
  <c r="K17" i="2" l="1"/>
  <c r="K45" i="2"/>
  <c r="O15" i="2"/>
  <c r="O16" i="2"/>
  <c r="O17" i="2" s="1"/>
  <c r="Z6" i="2"/>
  <c r="AA5" i="2"/>
  <c r="AB5" i="2" s="1"/>
  <c r="AC5" i="2" s="1"/>
  <c r="AD5" i="2" s="1"/>
  <c r="AE5" i="2" s="1"/>
  <c r="AF5" i="2" s="1"/>
  <c r="AG5" i="2" s="1"/>
  <c r="AH5" i="2" s="1"/>
  <c r="AI5" i="2" s="1"/>
  <c r="AJ5" i="2" s="1"/>
  <c r="AK5" i="2" s="1"/>
  <c r="AL5" i="2" s="1"/>
  <c r="AM5" i="2" s="1"/>
  <c r="AN5" i="2" s="1"/>
  <c r="AB11" i="2"/>
  <c r="AC10" i="2"/>
  <c r="AA21" i="2"/>
  <c r="AA6" i="2"/>
  <c r="AB21" i="2"/>
  <c r="AC21" i="2"/>
  <c r="AB6" i="2"/>
  <c r="AB7" i="2" s="1"/>
  <c r="AB8" i="2" s="1"/>
  <c r="AB12" i="2" s="1"/>
  <c r="AD21" i="2"/>
  <c r="AE3" i="2"/>
  <c r="AE21" i="2" s="1"/>
  <c r="AC6" i="2"/>
  <c r="AC7" i="2" s="1"/>
  <c r="AC8" i="2" s="1"/>
  <c r="AG18" i="2"/>
  <c r="L22" i="2"/>
  <c r="L12" i="2"/>
  <c r="L14" i="2" s="1"/>
  <c r="N22" i="2"/>
  <c r="N14" i="2"/>
  <c r="M22" i="2"/>
  <c r="M12" i="2"/>
  <c r="M14" i="2" s="1"/>
  <c r="M7" i="2"/>
  <c r="N7" i="2"/>
  <c r="AD10" i="2" l="1"/>
  <c r="AC11" i="2"/>
  <c r="AC12" i="2" s="1"/>
  <c r="AA7" i="2"/>
  <c r="AA8" i="2" s="1"/>
  <c r="AA12" i="2" s="1"/>
  <c r="AD6" i="2"/>
  <c r="AD7" i="2" s="1"/>
  <c r="AD8" i="2" s="1"/>
  <c r="AH18" i="2"/>
  <c r="Z7" i="2"/>
  <c r="Z8" i="2" s="1"/>
  <c r="Z12" i="2" s="1"/>
  <c r="Z14" i="2" s="1"/>
  <c r="M15" i="2"/>
  <c r="M16" i="2" s="1"/>
  <c r="N15" i="2"/>
  <c r="N16" i="2" s="1"/>
  <c r="M17" i="2" l="1"/>
  <c r="M24" i="2"/>
  <c r="N17" i="2"/>
  <c r="N24" i="2"/>
  <c r="AE10" i="2"/>
  <c r="AD11" i="2"/>
  <c r="AD12" i="2" s="1"/>
  <c r="AF3" i="2"/>
  <c r="AF21" i="2" s="1"/>
  <c r="AE6" i="2"/>
  <c r="AE7" i="2" s="1"/>
  <c r="AE8" i="2" s="1"/>
  <c r="AI18" i="2"/>
  <c r="Z15" i="2"/>
  <c r="Z16" i="2" s="1"/>
  <c r="Z17" i="2" s="1"/>
  <c r="L16" i="2"/>
  <c r="Z24" i="2" l="1"/>
  <c r="O24" i="2"/>
  <c r="P24" i="2" s="1"/>
  <c r="Q24" i="2" s="1"/>
  <c r="R24" i="2" s="1"/>
  <c r="AF10" i="2"/>
  <c r="AE11" i="2"/>
  <c r="AE12" i="2" s="1"/>
  <c r="L17" i="2"/>
  <c r="AG3" i="2"/>
  <c r="AG21" i="2" s="1"/>
  <c r="AF6" i="2"/>
  <c r="AF7" i="2" s="1"/>
  <c r="AF8" i="2" s="1"/>
  <c r="AJ18" i="2"/>
  <c r="AG10" i="2" l="1"/>
  <c r="AF11" i="2"/>
  <c r="AF12" i="2" s="1"/>
  <c r="AA13" i="2"/>
  <c r="AA14" i="2" s="1"/>
  <c r="AA15" i="2" s="1"/>
  <c r="AA16" i="2" s="1"/>
  <c r="AG6" i="2"/>
  <c r="AH3" i="2"/>
  <c r="AH21" i="2" s="1"/>
  <c r="AK18" i="2"/>
  <c r="AA17" i="2" l="1"/>
  <c r="AA24" i="2"/>
  <c r="AH10" i="2"/>
  <c r="AG11" i="2"/>
  <c r="AI3" i="2"/>
  <c r="AI21" i="2" s="1"/>
  <c r="AH6" i="2"/>
  <c r="AH7" i="2" s="1"/>
  <c r="AH8" i="2" s="1"/>
  <c r="AG7" i="2"/>
  <c r="AG8" i="2" s="1"/>
  <c r="AG12" i="2" s="1"/>
  <c r="AL18" i="2"/>
  <c r="AI10" i="2" l="1"/>
  <c r="AH11" i="2"/>
  <c r="AH12" i="2" s="1"/>
  <c r="AB13" i="2"/>
  <c r="AB14" i="2" s="1"/>
  <c r="AB15" i="2" s="1"/>
  <c r="AB16" i="2" s="1"/>
  <c r="AB17" i="2" s="1"/>
  <c r="AI6" i="2"/>
  <c r="AI7" i="2" s="1"/>
  <c r="AI8" i="2" s="1"/>
  <c r="AJ3" i="2"/>
  <c r="AJ21" i="2" s="1"/>
  <c r="AM18" i="2"/>
  <c r="AJ10" i="2" l="1"/>
  <c r="AI11" i="2"/>
  <c r="AI12" i="2" s="1"/>
  <c r="AB24" i="2"/>
  <c r="AK3" i="2"/>
  <c r="AK21" i="2" s="1"/>
  <c r="AJ6" i="2"/>
  <c r="AJ7" i="2" s="1"/>
  <c r="AJ8" i="2" s="1"/>
  <c r="AN18" i="2"/>
  <c r="AK10" i="2" l="1"/>
  <c r="AJ11" i="2"/>
  <c r="AJ12" i="2" s="1"/>
  <c r="AC13" i="2"/>
  <c r="AC14" i="2" s="1"/>
  <c r="AC15" i="2" s="1"/>
  <c r="AC16" i="2" s="1"/>
  <c r="AC17" i="2" s="1"/>
  <c r="AL3" i="2"/>
  <c r="AL21" i="2" s="1"/>
  <c r="AK6" i="2"/>
  <c r="AK7" i="2" s="1"/>
  <c r="AK8" i="2" s="1"/>
  <c r="AL10" i="2" l="1"/>
  <c r="AK11" i="2"/>
  <c r="AK12" i="2" s="1"/>
  <c r="AC24" i="2"/>
  <c r="AL6" i="2"/>
  <c r="AL7" i="2" s="1"/>
  <c r="AL8" i="2" s="1"/>
  <c r="AM3" i="2"/>
  <c r="AM21" i="2" s="1"/>
  <c r="AM10" i="2" l="1"/>
  <c r="AL11" i="2"/>
  <c r="AL12" i="2" s="1"/>
  <c r="AD13" i="2"/>
  <c r="AD14" i="2" s="1"/>
  <c r="AD15" i="2" s="1"/>
  <c r="AD16" i="2" s="1"/>
  <c r="AD17" i="2" s="1"/>
  <c r="AN3" i="2"/>
  <c r="AM6" i="2"/>
  <c r="AM7" i="2" s="1"/>
  <c r="AM8" i="2" s="1"/>
  <c r="AN10" i="2" l="1"/>
  <c r="AN11" i="2" s="1"/>
  <c r="AM11" i="2"/>
  <c r="AM12" i="2" s="1"/>
  <c r="AD24" i="2"/>
  <c r="AN6" i="2"/>
  <c r="AN7" i="2" s="1"/>
  <c r="AN8" i="2" s="1"/>
  <c r="AN12" i="2" s="1"/>
  <c r="AN21" i="2"/>
  <c r="AE13" i="2" l="1"/>
  <c r="AE14" i="2" s="1"/>
  <c r="AE15" i="2" s="1"/>
  <c r="AE16" i="2" s="1"/>
  <c r="AE17" i="2" s="1"/>
  <c r="AE24" i="2" l="1"/>
  <c r="AF13" i="2" l="1"/>
  <c r="AF14" i="2" s="1"/>
  <c r="AF15" i="2" s="1"/>
  <c r="AF16" i="2" s="1"/>
  <c r="AF17" i="2" s="1"/>
  <c r="AF24" i="2" l="1"/>
  <c r="AG13" i="2" l="1"/>
  <c r="AG14" i="2" s="1"/>
  <c r="AG15" i="2" s="1"/>
  <c r="AG16" i="2" s="1"/>
  <c r="AG17" i="2" s="1"/>
  <c r="AG24" i="2" l="1"/>
  <c r="AH13" i="2" l="1"/>
  <c r="AH14" i="2" s="1"/>
  <c r="AH15" i="2" s="1"/>
  <c r="AH16" i="2" s="1"/>
  <c r="AH17" i="2" s="1"/>
  <c r="AH24" i="2" l="1"/>
  <c r="AI13" i="2" l="1"/>
  <c r="AI14" i="2" s="1"/>
  <c r="AI15" i="2" s="1"/>
  <c r="AI16" i="2" s="1"/>
  <c r="AI17" i="2" s="1"/>
  <c r="AI24" i="2" l="1"/>
  <c r="AJ13" i="2" l="1"/>
  <c r="AJ14" i="2" s="1"/>
  <c r="AJ15" i="2" s="1"/>
  <c r="AJ16" i="2" s="1"/>
  <c r="AJ17" i="2" s="1"/>
  <c r="AJ24" i="2" l="1"/>
  <c r="AK13" i="2" s="1"/>
  <c r="AK14" i="2" s="1"/>
  <c r="AK15" i="2" s="1"/>
  <c r="AK16" i="2" s="1"/>
  <c r="AK17" i="2" s="1"/>
  <c r="AK24" i="2" l="1"/>
  <c r="AL13" i="2" s="1"/>
  <c r="AL14" i="2" s="1"/>
  <c r="AL15" i="2" l="1"/>
  <c r="AL16" i="2" s="1"/>
  <c r="AL17" i="2" l="1"/>
  <c r="AL24" i="2"/>
  <c r="AM13" i="2" l="1"/>
  <c r="AM14" i="2" s="1"/>
  <c r="AM15" i="2" l="1"/>
  <c r="AM16" i="2" s="1"/>
  <c r="AM17" i="2" l="1"/>
  <c r="AM24" i="2"/>
  <c r="AN13" i="2" l="1"/>
  <c r="AN14" i="2" s="1"/>
  <c r="AN15" i="2" l="1"/>
  <c r="AN16" i="2" s="1"/>
  <c r="AO16" i="2" l="1"/>
  <c r="AP16" i="2" s="1"/>
  <c r="AQ16" i="2" s="1"/>
  <c r="AR16" i="2" s="1"/>
  <c r="AS16" i="2" s="1"/>
  <c r="AT16" i="2" s="1"/>
  <c r="AU16" i="2" s="1"/>
  <c r="AV16" i="2" s="1"/>
  <c r="AW16" i="2" s="1"/>
  <c r="AX16" i="2" s="1"/>
  <c r="AY16" i="2" s="1"/>
  <c r="AZ16" i="2" s="1"/>
  <c r="BA16" i="2" s="1"/>
  <c r="BB16" i="2" s="1"/>
  <c r="BC16" i="2" s="1"/>
  <c r="BD16" i="2" s="1"/>
  <c r="BE16" i="2" s="1"/>
  <c r="BF16" i="2" s="1"/>
  <c r="BG16" i="2" s="1"/>
  <c r="BH16" i="2" s="1"/>
  <c r="BI16" i="2" s="1"/>
  <c r="BJ16" i="2" s="1"/>
  <c r="BK16" i="2" s="1"/>
  <c r="BL16" i="2" s="1"/>
  <c r="BM16" i="2" s="1"/>
  <c r="BN16" i="2" s="1"/>
  <c r="BO16" i="2" s="1"/>
  <c r="BP16" i="2" s="1"/>
  <c r="BQ16" i="2" s="1"/>
  <c r="BR16" i="2" s="1"/>
  <c r="BS16" i="2" s="1"/>
  <c r="BT16" i="2" s="1"/>
  <c r="BU16" i="2" s="1"/>
  <c r="BV16" i="2" s="1"/>
  <c r="BW16" i="2" s="1"/>
  <c r="BX16" i="2" s="1"/>
  <c r="BY16" i="2" s="1"/>
  <c r="BZ16" i="2" s="1"/>
  <c r="CA16" i="2" s="1"/>
  <c r="CB16" i="2" s="1"/>
  <c r="CC16" i="2" s="1"/>
  <c r="CD16" i="2" s="1"/>
  <c r="CE16" i="2" s="1"/>
  <c r="CF16" i="2" s="1"/>
  <c r="CG16" i="2" s="1"/>
  <c r="CH16" i="2" s="1"/>
  <c r="CI16" i="2" s="1"/>
  <c r="CJ16" i="2" s="1"/>
  <c r="CK16" i="2" s="1"/>
  <c r="CL16" i="2" s="1"/>
  <c r="CM16" i="2" s="1"/>
  <c r="CN16" i="2" s="1"/>
  <c r="CO16" i="2" s="1"/>
  <c r="CP16" i="2" s="1"/>
  <c r="CQ16" i="2" s="1"/>
  <c r="CR16" i="2" s="1"/>
  <c r="CS16" i="2" s="1"/>
  <c r="CT16" i="2" s="1"/>
  <c r="CU16" i="2" s="1"/>
  <c r="CV16" i="2" s="1"/>
  <c r="CW16" i="2" s="1"/>
  <c r="CX16" i="2" s="1"/>
  <c r="CY16" i="2" s="1"/>
  <c r="CZ16" i="2" s="1"/>
  <c r="DA16" i="2" s="1"/>
  <c r="DB16" i="2" s="1"/>
  <c r="DC16" i="2" s="1"/>
  <c r="DD16" i="2" s="1"/>
  <c r="DE16" i="2" s="1"/>
  <c r="DF16" i="2" s="1"/>
  <c r="DG16" i="2" s="1"/>
  <c r="DH16" i="2" s="1"/>
  <c r="DI16" i="2" s="1"/>
  <c r="DJ16" i="2" s="1"/>
  <c r="DK16" i="2" s="1"/>
  <c r="DL16" i="2" s="1"/>
  <c r="DM16" i="2" s="1"/>
  <c r="DN16" i="2" s="1"/>
  <c r="DO16" i="2" s="1"/>
  <c r="DP16" i="2" s="1"/>
  <c r="DQ16" i="2" s="1"/>
  <c r="DR16" i="2" s="1"/>
  <c r="DS16" i="2" s="1"/>
  <c r="DT16" i="2" s="1"/>
  <c r="DU16" i="2" s="1"/>
  <c r="DV16" i="2" s="1"/>
  <c r="DW16" i="2" s="1"/>
  <c r="DX16" i="2" s="1"/>
  <c r="DY16" i="2" s="1"/>
  <c r="DZ16" i="2" s="1"/>
  <c r="EA16" i="2" s="1"/>
  <c r="EB16" i="2" s="1"/>
  <c r="EC16" i="2" s="1"/>
  <c r="ED16" i="2" s="1"/>
  <c r="EE16" i="2" s="1"/>
  <c r="EF16" i="2" s="1"/>
  <c r="EG16" i="2" s="1"/>
  <c r="EH16" i="2" s="1"/>
  <c r="EI16" i="2" s="1"/>
  <c r="EJ16" i="2" s="1"/>
  <c r="EK16" i="2" s="1"/>
  <c r="EL16" i="2" s="1"/>
  <c r="EM16" i="2" s="1"/>
  <c r="EN16" i="2" s="1"/>
  <c r="EO16" i="2" s="1"/>
  <c r="EP16" i="2" s="1"/>
  <c r="EQ16" i="2" s="1"/>
  <c r="ER16" i="2" s="1"/>
  <c r="ES16" i="2" s="1"/>
  <c r="ET16" i="2" s="1"/>
  <c r="EU16" i="2" s="1"/>
  <c r="AQ24" i="2" s="1"/>
  <c r="AQ25" i="2" s="1"/>
  <c r="AN17" i="2"/>
  <c r="AN24" i="2"/>
</calcChain>
</file>

<file path=xl/sharedStrings.xml><?xml version="1.0" encoding="utf-8"?>
<sst xmlns="http://schemas.openxmlformats.org/spreadsheetml/2006/main" count="133" uniqueCount="112">
  <si>
    <t>Price</t>
  </si>
  <si>
    <t>Shares</t>
  </si>
  <si>
    <t>MC</t>
  </si>
  <si>
    <t>Cash</t>
  </si>
  <si>
    <t>Debt</t>
  </si>
  <si>
    <t>EV</t>
  </si>
  <si>
    <t>Q116</t>
  </si>
  <si>
    <t>Brand</t>
  </si>
  <si>
    <t>Generic</t>
  </si>
  <si>
    <t>Soliris</t>
  </si>
  <si>
    <t>eculizumab</t>
  </si>
  <si>
    <t>Kanuma</t>
  </si>
  <si>
    <t>sebelipase</t>
  </si>
  <si>
    <t>Strensiq</t>
  </si>
  <si>
    <t>asfotase</t>
  </si>
  <si>
    <t>Indication</t>
  </si>
  <si>
    <t>PNH</t>
  </si>
  <si>
    <t>Approved</t>
  </si>
  <si>
    <t>LAL</t>
  </si>
  <si>
    <t>Hypophosphotasia</t>
  </si>
  <si>
    <t>Main</t>
  </si>
  <si>
    <t>Q114</t>
  </si>
  <si>
    <t>Q214</t>
  </si>
  <si>
    <t>Q314</t>
  </si>
  <si>
    <t>Q414</t>
  </si>
  <si>
    <t>Q115</t>
  </si>
  <si>
    <t>Q215</t>
  </si>
  <si>
    <t>Q315</t>
  </si>
  <si>
    <t>Q415</t>
  </si>
  <si>
    <t>Q216</t>
  </si>
  <si>
    <t>Q316</t>
  </si>
  <si>
    <t>Q416</t>
  </si>
  <si>
    <t>Revenue</t>
  </si>
  <si>
    <t>Synageva</t>
  </si>
  <si>
    <t>Enobia</t>
  </si>
  <si>
    <t>COGS</t>
  </si>
  <si>
    <t>Gross Profit</t>
  </si>
  <si>
    <t>R&amp;D</t>
  </si>
  <si>
    <t>SG&amp;A</t>
  </si>
  <si>
    <t>Operating Expenses</t>
  </si>
  <si>
    <t>Operating Income</t>
  </si>
  <si>
    <t>Interest Income</t>
  </si>
  <si>
    <t>Pretax Income</t>
  </si>
  <si>
    <t>Taxes</t>
  </si>
  <si>
    <t>Net Income</t>
  </si>
  <si>
    <t>EPS</t>
  </si>
  <si>
    <t>ALXN1210</t>
  </si>
  <si>
    <t>ALXN1007</t>
  </si>
  <si>
    <t>SBC-103</t>
  </si>
  <si>
    <t>ALXN1101</t>
  </si>
  <si>
    <t>Phase III "REGAIN" trial of Soliris in myasthenia gravis trial fails.</t>
  </si>
  <si>
    <t>Gross Margin</t>
  </si>
  <si>
    <t>Maturity</t>
  </si>
  <si>
    <t>Discount</t>
  </si>
  <si>
    <t>NPV</t>
  </si>
  <si>
    <t>ROIC</t>
  </si>
  <si>
    <t>Share</t>
  </si>
  <si>
    <t>Soliris Growth</t>
  </si>
  <si>
    <t>rhNAGLU</t>
  </si>
  <si>
    <t>MPS IIIB</t>
  </si>
  <si>
    <t>PNH, GvHD</t>
  </si>
  <si>
    <t>MOA</t>
  </si>
  <si>
    <t>Complement</t>
  </si>
  <si>
    <t>ENPP1</t>
  </si>
  <si>
    <t>GACI</t>
  </si>
  <si>
    <t>ALXN1540</t>
  </si>
  <si>
    <t>CN-1</t>
  </si>
  <si>
    <t>Moderna</t>
  </si>
  <si>
    <t>Economics</t>
  </si>
  <si>
    <t>Phase III NMO?</t>
  </si>
  <si>
    <t>Phase III "PROTECT" in n=286 DGF study 2H16</t>
  </si>
  <si>
    <t>Competition</t>
  </si>
  <si>
    <t xml:space="preserve">Apellis, </t>
  </si>
  <si>
    <t>Q117</t>
  </si>
  <si>
    <t>Q217</t>
  </si>
  <si>
    <t>Q317</t>
  </si>
  <si>
    <t>Q417</t>
  </si>
  <si>
    <t>Net Cash</t>
  </si>
  <si>
    <t>Assets</t>
  </si>
  <si>
    <t>OA</t>
  </si>
  <si>
    <t>Goodwill</t>
  </si>
  <si>
    <t>PP&amp;E</t>
  </si>
  <si>
    <t>Prepaids</t>
  </si>
  <si>
    <t>Inventories</t>
  </si>
  <si>
    <t>AR</t>
  </si>
  <si>
    <t>L+SE</t>
  </si>
  <si>
    <t>SE</t>
  </si>
  <si>
    <t>OL</t>
  </si>
  <si>
    <t>DT</t>
  </si>
  <si>
    <t>CoCo</t>
  </si>
  <si>
    <t>Lease</t>
  </si>
  <si>
    <t>OCL</t>
  </si>
  <si>
    <t>DR</t>
  </si>
  <si>
    <t>AP</t>
  </si>
  <si>
    <t>Revenue Growth</t>
  </si>
  <si>
    <t>Reported NI</t>
  </si>
  <si>
    <t>Model NI</t>
  </si>
  <si>
    <t>CFFO</t>
  </si>
  <si>
    <t>Inventory</t>
  </si>
  <si>
    <t>Other</t>
  </si>
  <si>
    <t>Forwards</t>
  </si>
  <si>
    <t>FX</t>
  </si>
  <si>
    <t>SBC ETB</t>
  </si>
  <si>
    <t>Amortization</t>
  </si>
  <si>
    <t>D&amp;A</t>
  </si>
  <si>
    <t>CFFI</t>
  </si>
  <si>
    <t>CapEx</t>
  </si>
  <si>
    <t>Investments</t>
  </si>
  <si>
    <t>CFFF</t>
  </si>
  <si>
    <t>Term Loan</t>
  </si>
  <si>
    <t>Buyback</t>
  </si>
  <si>
    <t>CIC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</si>
</sst>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2" fillId="0" borderId="0" xfId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3" fontId="0" fillId="0" borderId="0" xfId="0" applyNumberFormat="1" applyFont="1" applyAlignment="1">
      <alignment horizontal="right"/>
    </xf>
    <xf numFmtId="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0</xdr:row>
      <xdr:rowOff>0</xdr:rowOff>
    </xdr:from>
    <xdr:to>
      <xdr:col>12</xdr:col>
      <xdr:colOff>28575</xdr:colOff>
      <xdr:row>66</xdr:row>
      <xdr:rowOff>142875</xdr:rowOff>
    </xdr:to>
    <xdr:cxnSp macro="">
      <xdr:nvCxnSpPr>
        <xdr:cNvPr id="3" name="Straight Connector 2"/>
        <xdr:cNvCxnSpPr/>
      </xdr:nvCxnSpPr>
      <xdr:spPr>
        <a:xfrm>
          <a:off x="7667625" y="0"/>
          <a:ext cx="0" cy="10829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38100</xdr:colOff>
      <xdr:row>0</xdr:row>
      <xdr:rowOff>0</xdr:rowOff>
    </xdr:from>
    <xdr:to>
      <xdr:col>25</xdr:col>
      <xdr:colOff>38100</xdr:colOff>
      <xdr:row>50</xdr:row>
      <xdr:rowOff>142875</xdr:rowOff>
    </xdr:to>
    <xdr:cxnSp macro="">
      <xdr:nvCxnSpPr>
        <xdr:cNvPr id="4" name="Straight Connector 3"/>
        <xdr:cNvCxnSpPr/>
      </xdr:nvCxnSpPr>
      <xdr:spPr>
        <a:xfrm>
          <a:off x="13163550" y="0"/>
          <a:ext cx="0" cy="807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workbookViewId="0">
      <selection activeCell="D7" sqref="D7"/>
    </sheetView>
  </sheetViews>
  <sheetFormatPr defaultRowHeight="12.75" x14ac:dyDescent="0.2"/>
  <cols>
    <col min="1" max="1" width="4.5703125" customWidth="1"/>
    <col min="2" max="2" width="10.42578125" customWidth="1"/>
    <col min="3" max="3" width="11.5703125" customWidth="1"/>
    <col min="4" max="4" width="16.42578125" bestFit="1" customWidth="1"/>
    <col min="6" max="6" width="11.42578125" bestFit="1" customWidth="1"/>
    <col min="7" max="7" width="10.28515625" bestFit="1" customWidth="1"/>
    <col min="8" max="8" width="10.85546875" bestFit="1" customWidth="1"/>
  </cols>
  <sheetData>
    <row r="2" spans="2:13" x14ac:dyDescent="0.2">
      <c r="B2" s="10" t="s">
        <v>7</v>
      </c>
      <c r="C2" s="11" t="s">
        <v>8</v>
      </c>
      <c r="D2" s="11" t="s">
        <v>15</v>
      </c>
      <c r="E2" s="11" t="s">
        <v>17</v>
      </c>
      <c r="F2" s="11" t="s">
        <v>61</v>
      </c>
      <c r="G2" s="11" t="s">
        <v>68</v>
      </c>
      <c r="H2" s="11" t="s">
        <v>71</v>
      </c>
      <c r="I2" s="12"/>
      <c r="K2" t="s">
        <v>0</v>
      </c>
      <c r="L2" s="1">
        <v>122.54</v>
      </c>
    </row>
    <row r="3" spans="2:13" x14ac:dyDescent="0.2">
      <c r="B3" s="4" t="s">
        <v>9</v>
      </c>
      <c r="C3" s="5" t="s">
        <v>10</v>
      </c>
      <c r="D3" s="5" t="s">
        <v>16</v>
      </c>
      <c r="E3" s="5"/>
      <c r="F3" s="5"/>
      <c r="G3" s="5"/>
      <c r="H3" s="5" t="s">
        <v>72</v>
      </c>
      <c r="I3" s="6"/>
      <c r="K3" t="s">
        <v>1</v>
      </c>
      <c r="L3" s="2">
        <f>231.136-6.934</f>
        <v>224.202</v>
      </c>
      <c r="M3" s="3" t="s">
        <v>6</v>
      </c>
    </row>
    <row r="4" spans="2:13" x14ac:dyDescent="0.2">
      <c r="B4" s="4" t="s">
        <v>11</v>
      </c>
      <c r="C4" s="5" t="s">
        <v>12</v>
      </c>
      <c r="D4" s="5" t="s">
        <v>18</v>
      </c>
      <c r="E4" s="5"/>
      <c r="F4" s="5"/>
      <c r="G4" s="5"/>
      <c r="H4" s="5"/>
      <c r="I4" s="6"/>
      <c r="K4" t="s">
        <v>2</v>
      </c>
      <c r="L4" s="2">
        <f>+L3*L2</f>
        <v>27473.713080000001</v>
      </c>
      <c r="M4" s="3"/>
    </row>
    <row r="5" spans="2:13" x14ac:dyDescent="0.2">
      <c r="B5" s="4" t="s">
        <v>13</v>
      </c>
      <c r="C5" s="13" t="s">
        <v>14</v>
      </c>
      <c r="D5" s="13" t="s">
        <v>19</v>
      </c>
      <c r="E5" s="5"/>
      <c r="F5" s="5"/>
      <c r="G5" s="5"/>
      <c r="H5" s="5"/>
      <c r="I5" s="6"/>
      <c r="K5" t="s">
        <v>3</v>
      </c>
      <c r="L5" s="2">
        <f>710.198+317.354</f>
        <v>1027.5519999999999</v>
      </c>
      <c r="M5" s="3" t="s">
        <v>6</v>
      </c>
    </row>
    <row r="6" spans="2:13" x14ac:dyDescent="0.2">
      <c r="B6" s="10"/>
      <c r="C6" s="11"/>
      <c r="D6" s="11"/>
      <c r="E6" s="11"/>
      <c r="F6" s="11"/>
      <c r="G6" s="11"/>
      <c r="H6" s="11"/>
      <c r="I6" s="12"/>
      <c r="K6" t="s">
        <v>4</v>
      </c>
      <c r="L6" s="2">
        <f>3212.772+35.358</f>
        <v>3248.13</v>
      </c>
      <c r="M6" s="3" t="s">
        <v>6</v>
      </c>
    </row>
    <row r="7" spans="2:13" x14ac:dyDescent="0.2">
      <c r="B7" s="4" t="s">
        <v>46</v>
      </c>
      <c r="C7" s="5"/>
      <c r="D7" s="13" t="s">
        <v>60</v>
      </c>
      <c r="E7" s="5"/>
      <c r="F7" s="5" t="s">
        <v>62</v>
      </c>
      <c r="G7" s="5"/>
      <c r="H7" s="5"/>
      <c r="I7" s="6"/>
      <c r="K7" t="s">
        <v>5</v>
      </c>
      <c r="L7" s="2">
        <f>+L4-L5+L6</f>
        <v>29694.291080000003</v>
      </c>
    </row>
    <row r="8" spans="2:13" x14ac:dyDescent="0.2">
      <c r="B8" s="4" t="s">
        <v>47</v>
      </c>
      <c r="C8" s="5"/>
      <c r="D8" s="5"/>
      <c r="E8" s="5"/>
      <c r="F8" s="5" t="s">
        <v>62</v>
      </c>
      <c r="G8" s="5"/>
      <c r="H8" s="5"/>
      <c r="I8" s="6"/>
    </row>
    <row r="9" spans="2:13" x14ac:dyDescent="0.2">
      <c r="B9" s="4" t="s">
        <v>48</v>
      </c>
      <c r="C9" s="5" t="s">
        <v>58</v>
      </c>
      <c r="D9" s="5" t="s">
        <v>59</v>
      </c>
      <c r="E9" s="5"/>
      <c r="F9" s="5"/>
      <c r="G9" s="5"/>
      <c r="H9" s="5"/>
      <c r="I9" s="6"/>
    </row>
    <row r="10" spans="2:13" x14ac:dyDescent="0.2">
      <c r="B10" s="4" t="s">
        <v>49</v>
      </c>
      <c r="C10" s="5"/>
      <c r="D10" s="5"/>
      <c r="E10" s="5"/>
      <c r="F10" s="5"/>
      <c r="G10" s="5"/>
      <c r="H10" s="5"/>
      <c r="I10" s="6"/>
    </row>
    <row r="11" spans="2:13" x14ac:dyDescent="0.2">
      <c r="B11" s="4" t="s">
        <v>63</v>
      </c>
      <c r="C11" s="5"/>
      <c r="D11" s="5" t="s">
        <v>64</v>
      </c>
      <c r="E11" s="5"/>
      <c r="F11" s="5"/>
      <c r="G11" s="5"/>
      <c r="H11" s="5"/>
      <c r="I11" s="6"/>
    </row>
    <row r="12" spans="2:13" x14ac:dyDescent="0.2">
      <c r="B12" s="4" t="s">
        <v>65</v>
      </c>
      <c r="C12" s="5" t="s">
        <v>66</v>
      </c>
      <c r="D12" s="5"/>
      <c r="E12" s="5"/>
      <c r="F12" s="5"/>
      <c r="G12" s="5" t="s">
        <v>67</v>
      </c>
      <c r="H12" s="5"/>
      <c r="I12" s="6"/>
    </row>
    <row r="13" spans="2:13" x14ac:dyDescent="0.2">
      <c r="B13" s="4"/>
      <c r="C13" s="5"/>
      <c r="D13" s="5"/>
      <c r="E13" s="5"/>
      <c r="F13" s="5"/>
      <c r="G13" s="5"/>
      <c r="H13" s="5"/>
      <c r="I13" s="6"/>
    </row>
    <row r="14" spans="2:13" x14ac:dyDescent="0.2">
      <c r="B14" s="4"/>
      <c r="C14" s="5"/>
      <c r="D14" s="5"/>
      <c r="E14" s="5"/>
      <c r="F14" s="5"/>
      <c r="G14" s="5"/>
      <c r="H14" s="5"/>
      <c r="I14" s="6"/>
    </row>
    <row r="15" spans="2:13" x14ac:dyDescent="0.2">
      <c r="B15" s="4"/>
      <c r="C15" s="5"/>
      <c r="D15" s="5"/>
      <c r="E15" s="5"/>
      <c r="F15" s="5"/>
      <c r="G15" s="5"/>
      <c r="H15" s="5"/>
      <c r="I15" s="6"/>
    </row>
    <row r="16" spans="2:13" x14ac:dyDescent="0.2">
      <c r="B16" s="4"/>
      <c r="C16" s="5"/>
      <c r="D16" s="5"/>
      <c r="E16" s="5"/>
      <c r="F16" s="5"/>
      <c r="G16" s="5"/>
      <c r="H16" s="5"/>
      <c r="I16" s="6"/>
    </row>
    <row r="17" spans="2:9" x14ac:dyDescent="0.2">
      <c r="B17" s="7"/>
      <c r="C17" s="8"/>
      <c r="D17" s="8"/>
      <c r="E17" s="8"/>
      <c r="F17" s="8"/>
      <c r="G17" s="8"/>
      <c r="H17" s="8"/>
      <c r="I17" s="9"/>
    </row>
    <row r="19" spans="2:9" x14ac:dyDescent="0.2">
      <c r="B19" t="s">
        <v>70</v>
      </c>
    </row>
    <row r="20" spans="2:9" x14ac:dyDescent="0.2">
      <c r="B20" t="s">
        <v>69</v>
      </c>
    </row>
    <row r="21" spans="2:9" x14ac:dyDescent="0.2">
      <c r="B21" t="s">
        <v>50</v>
      </c>
    </row>
    <row r="22" spans="2:9" x14ac:dyDescent="0.2">
      <c r="B22" t="s">
        <v>33</v>
      </c>
    </row>
    <row r="23" spans="2:9" x14ac:dyDescent="0.2">
      <c r="B23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74"/>
  <sheetViews>
    <sheetView tabSelected="1" workbookViewId="0">
      <pane xSplit="2" ySplit="2" topLeftCell="U3" activePane="bottomRight" state="frozen"/>
      <selection pane="topRight" activeCell="C1" sqref="C1"/>
      <selection pane="bottomLeft" activeCell="A3" sqref="A3"/>
      <selection pane="bottomRight" activeCell="W18" sqref="W18"/>
    </sheetView>
  </sheetViews>
  <sheetFormatPr defaultRowHeight="12.75" x14ac:dyDescent="0.2"/>
  <cols>
    <col min="1" max="1" width="5" bestFit="1" customWidth="1"/>
    <col min="2" max="2" width="18.140625" bestFit="1" customWidth="1"/>
    <col min="3" max="18" width="9.140625" style="3"/>
    <col min="43" max="43" width="10" customWidth="1"/>
  </cols>
  <sheetData>
    <row r="1" spans="1:151" x14ac:dyDescent="0.2">
      <c r="A1" s="14" t="s">
        <v>20</v>
      </c>
    </row>
    <row r="2" spans="1:151" x14ac:dyDescent="0.2"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6</v>
      </c>
      <c r="L2" s="3" t="s">
        <v>29</v>
      </c>
      <c r="M2" s="3" t="s">
        <v>30</v>
      </c>
      <c r="N2" s="3" t="s">
        <v>31</v>
      </c>
      <c r="O2" s="3" t="s">
        <v>73</v>
      </c>
      <c r="P2" s="3" t="s">
        <v>74</v>
      </c>
      <c r="Q2" s="3" t="s">
        <v>75</v>
      </c>
      <c r="R2" s="3" t="s">
        <v>76</v>
      </c>
      <c r="T2">
        <v>2010</v>
      </c>
      <c r="U2">
        <f>+T2+1</f>
        <v>2011</v>
      </c>
      <c r="V2">
        <f t="shared" ref="V2:AN2" si="0">+U2+1</f>
        <v>2012</v>
      </c>
      <c r="W2">
        <f t="shared" si="0"/>
        <v>2013</v>
      </c>
      <c r="X2">
        <f t="shared" si="0"/>
        <v>2014</v>
      </c>
      <c r="Y2">
        <f t="shared" si="0"/>
        <v>2015</v>
      </c>
      <c r="Z2">
        <f t="shared" si="0"/>
        <v>2016</v>
      </c>
      <c r="AA2">
        <f t="shared" si="0"/>
        <v>2017</v>
      </c>
      <c r="AB2">
        <f t="shared" si="0"/>
        <v>2018</v>
      </c>
      <c r="AC2">
        <f t="shared" si="0"/>
        <v>2019</v>
      </c>
      <c r="AD2">
        <f t="shared" si="0"/>
        <v>2020</v>
      </c>
      <c r="AE2">
        <f t="shared" si="0"/>
        <v>2021</v>
      </c>
      <c r="AF2">
        <f t="shared" si="0"/>
        <v>2022</v>
      </c>
      <c r="AG2">
        <f t="shared" si="0"/>
        <v>2023</v>
      </c>
      <c r="AH2">
        <f t="shared" si="0"/>
        <v>2024</v>
      </c>
      <c r="AI2">
        <f t="shared" si="0"/>
        <v>2025</v>
      </c>
      <c r="AJ2">
        <f t="shared" si="0"/>
        <v>2026</v>
      </c>
      <c r="AK2">
        <f t="shared" si="0"/>
        <v>2027</v>
      </c>
      <c r="AL2">
        <f t="shared" si="0"/>
        <v>2028</v>
      </c>
      <c r="AM2">
        <f t="shared" si="0"/>
        <v>2029</v>
      </c>
      <c r="AN2">
        <f t="shared" si="0"/>
        <v>2030</v>
      </c>
    </row>
    <row r="3" spans="1:151" s="2" customFormat="1" x14ac:dyDescent="0.2">
      <c r="B3" s="2" t="s">
        <v>9</v>
      </c>
      <c r="C3" s="15">
        <v>566.61599999999999</v>
      </c>
      <c r="D3" s="15">
        <v>512.495</v>
      </c>
      <c r="E3" s="15">
        <v>555.14599999999996</v>
      </c>
      <c r="F3" s="15">
        <v>600</v>
      </c>
      <c r="G3" s="15">
        <v>600.33299999999997</v>
      </c>
      <c r="H3" s="15">
        <v>635.98299999999995</v>
      </c>
      <c r="I3" s="15">
        <v>665.404</v>
      </c>
      <c r="J3" s="15">
        <v>689</v>
      </c>
      <c r="K3" s="15">
        <v>664.65499999999997</v>
      </c>
      <c r="L3" s="15">
        <v>701.00900000000001</v>
      </c>
      <c r="M3" s="15">
        <f>+I3*1.1</f>
        <v>731.94440000000009</v>
      </c>
      <c r="N3" s="15">
        <f>+J3*1.1</f>
        <v>757.90000000000009</v>
      </c>
      <c r="O3" s="15">
        <f>+K3*1.08</f>
        <v>717.82740000000001</v>
      </c>
      <c r="P3" s="15">
        <f t="shared" ref="P3:R3" si="1">+L3*1.08</f>
        <v>757.08972000000006</v>
      </c>
      <c r="Q3" s="15">
        <f t="shared" si="1"/>
        <v>790.49995200000012</v>
      </c>
      <c r="R3" s="15">
        <f t="shared" si="1"/>
        <v>818.53200000000015</v>
      </c>
      <c r="W3" s="2">
        <v>1551.346</v>
      </c>
      <c r="X3" s="2">
        <f>SUM(C3:F3)</f>
        <v>2234.2569999999996</v>
      </c>
      <c r="Y3" s="2">
        <f>SUM(G3:J3)</f>
        <v>2590.7199999999998</v>
      </c>
      <c r="Z3" s="2">
        <f>SUM(K3:N3)</f>
        <v>2855.5084000000002</v>
      </c>
      <c r="AA3" s="2">
        <f>+Z3*1.1</f>
        <v>3141.0592400000005</v>
      </c>
      <c r="AB3" s="2">
        <f>+AA3*1.1</f>
        <v>3455.1651640000009</v>
      </c>
      <c r="AC3" s="2">
        <f t="shared" ref="AC3:AD3" si="2">+AB3*1.1</f>
        <v>3800.6816804000014</v>
      </c>
      <c r="AD3" s="2">
        <f t="shared" si="2"/>
        <v>4180.7498484400021</v>
      </c>
      <c r="AE3" s="2">
        <f>+AD3*1.01</f>
        <v>4222.5573469244018</v>
      </c>
      <c r="AF3" s="2">
        <f t="shared" ref="AF3:AN3" si="3">+AE3*1.01</f>
        <v>4264.7829203936462</v>
      </c>
      <c r="AG3" s="2">
        <f t="shared" si="3"/>
        <v>4307.4307495975827</v>
      </c>
      <c r="AH3" s="2">
        <f t="shared" si="3"/>
        <v>4350.5050570935582</v>
      </c>
      <c r="AI3" s="2">
        <f t="shared" si="3"/>
        <v>4394.0101076644942</v>
      </c>
      <c r="AJ3" s="2">
        <f t="shared" si="3"/>
        <v>4437.9502087411392</v>
      </c>
      <c r="AK3" s="2">
        <f t="shared" si="3"/>
        <v>4482.3297108285506</v>
      </c>
      <c r="AL3" s="2">
        <f t="shared" si="3"/>
        <v>4527.1530079368358</v>
      </c>
      <c r="AM3" s="2">
        <f t="shared" si="3"/>
        <v>4572.4245380162038</v>
      </c>
      <c r="AN3" s="2">
        <f t="shared" si="3"/>
        <v>4618.1487833963656</v>
      </c>
    </row>
    <row r="4" spans="1:151" s="2" customFormat="1" x14ac:dyDescent="0.2">
      <c r="B4" s="2" t="s">
        <v>13</v>
      </c>
      <c r="C4" s="15"/>
      <c r="D4" s="15"/>
      <c r="E4" s="15"/>
      <c r="F4" s="15"/>
      <c r="G4" s="15">
        <v>0</v>
      </c>
      <c r="H4" s="15">
        <v>0</v>
      </c>
      <c r="I4" s="15">
        <v>0.35699999999999998</v>
      </c>
      <c r="J4" s="15">
        <v>11.6</v>
      </c>
      <c r="K4" s="15">
        <v>33.241999999999997</v>
      </c>
      <c r="L4" s="15">
        <v>45.140999999999998</v>
      </c>
      <c r="M4" s="15">
        <f t="shared" ref="M4:N4" si="4">+L4+15</f>
        <v>60.140999999999998</v>
      </c>
      <c r="N4" s="15">
        <f t="shared" si="4"/>
        <v>75.140999999999991</v>
      </c>
      <c r="O4" s="15">
        <f t="shared" ref="O4" si="5">+N4+15</f>
        <v>90.140999999999991</v>
      </c>
      <c r="P4" s="15">
        <f t="shared" ref="P4" si="6">+O4+15</f>
        <v>105.14099999999999</v>
      </c>
      <c r="Q4" s="15">
        <f t="shared" ref="Q4" si="7">+P4+15</f>
        <v>120.14099999999999</v>
      </c>
      <c r="R4" s="15">
        <f t="shared" ref="R4" si="8">+Q4+15</f>
        <v>135.14099999999999</v>
      </c>
      <c r="W4" s="2">
        <f t="shared" ref="W4:X5" si="9">SUM(B4:E4)</f>
        <v>0</v>
      </c>
      <c r="X4" s="2">
        <f t="shared" si="9"/>
        <v>0</v>
      </c>
      <c r="Y4" s="2">
        <f t="shared" ref="Y4:Y5" si="10">SUM(G4:J4)</f>
        <v>11.956999999999999</v>
      </c>
      <c r="Z4" s="2">
        <f t="shared" ref="Z4:Z5" si="11">SUM(K4:N4)</f>
        <v>213.66499999999999</v>
      </c>
      <c r="AA4" s="2">
        <f>+Z4*1.3</f>
        <v>277.7645</v>
      </c>
      <c r="AB4" s="2">
        <f>+AA4*1.3</f>
        <v>361.09385000000003</v>
      </c>
      <c r="AC4" s="2">
        <f>+AB4*1.3</f>
        <v>469.42200500000007</v>
      </c>
      <c r="AD4" s="2">
        <f>+AC4*1.2</f>
        <v>563.30640600000004</v>
      </c>
      <c r="AE4" s="2">
        <f>+AD4*1.1</f>
        <v>619.63704660000008</v>
      </c>
      <c r="AF4" s="2">
        <f>+AE4*1.01</f>
        <v>625.83341706600004</v>
      </c>
      <c r="AG4" s="2">
        <f t="shared" ref="AG4:AN4" si="12">+AF4*1.01</f>
        <v>632.09175123666</v>
      </c>
      <c r="AH4" s="2">
        <f t="shared" si="12"/>
        <v>638.41266874902658</v>
      </c>
      <c r="AI4" s="2">
        <f t="shared" si="12"/>
        <v>644.79679543651685</v>
      </c>
      <c r="AJ4" s="2">
        <f t="shared" si="12"/>
        <v>651.24476339088199</v>
      </c>
      <c r="AK4" s="2">
        <f t="shared" si="12"/>
        <v>657.75721102479076</v>
      </c>
      <c r="AL4" s="2">
        <f t="shared" si="12"/>
        <v>664.33478313503872</v>
      </c>
      <c r="AM4" s="2">
        <f t="shared" si="12"/>
        <v>670.97813096638913</v>
      </c>
      <c r="AN4" s="2">
        <f t="shared" si="12"/>
        <v>677.687912276053</v>
      </c>
    </row>
    <row r="5" spans="1:151" s="2" customFormat="1" x14ac:dyDescent="0.2">
      <c r="B5" s="2" t="s">
        <v>11</v>
      </c>
      <c r="C5" s="15"/>
      <c r="D5" s="15"/>
      <c r="E5" s="15"/>
      <c r="F5" s="15"/>
      <c r="G5" s="15">
        <v>0</v>
      </c>
      <c r="H5" s="15">
        <v>0</v>
      </c>
      <c r="I5" s="15">
        <v>0.03</v>
      </c>
      <c r="J5" s="15">
        <v>0</v>
      </c>
      <c r="K5" s="15">
        <v>2.528</v>
      </c>
      <c r="L5" s="15">
        <v>6.3959999999999999</v>
      </c>
      <c r="M5" s="15">
        <f t="shared" ref="M5:N5" si="13">+L5+5</f>
        <v>11.396000000000001</v>
      </c>
      <c r="N5" s="15">
        <f t="shared" si="13"/>
        <v>16.396000000000001</v>
      </c>
      <c r="O5" s="15">
        <f t="shared" ref="O5" si="14">+N5+5</f>
        <v>21.396000000000001</v>
      </c>
      <c r="P5" s="15">
        <f t="shared" ref="P5" si="15">+O5+5</f>
        <v>26.396000000000001</v>
      </c>
      <c r="Q5" s="15">
        <f t="shared" ref="Q5" si="16">+P5+5</f>
        <v>31.396000000000001</v>
      </c>
      <c r="R5" s="15">
        <f t="shared" ref="R5" si="17">+Q5+5</f>
        <v>36.396000000000001</v>
      </c>
      <c r="W5" s="2">
        <f t="shared" si="9"/>
        <v>0</v>
      </c>
      <c r="X5" s="2">
        <f t="shared" si="9"/>
        <v>0</v>
      </c>
      <c r="Y5" s="2">
        <f t="shared" si="10"/>
        <v>0.03</v>
      </c>
      <c r="Z5" s="2">
        <f t="shared" si="11"/>
        <v>36.716000000000001</v>
      </c>
      <c r="AA5" s="2">
        <f>+Z5*1.5</f>
        <v>55.073999999999998</v>
      </c>
      <c r="AB5" s="2">
        <f>+AA5*1.2</f>
        <v>66.088799999999992</v>
      </c>
      <c r="AC5" s="2">
        <f t="shared" ref="AC5:AE5" si="18">+AB5*1.2</f>
        <v>79.30655999999999</v>
      </c>
      <c r="AD5" s="2">
        <f t="shared" si="18"/>
        <v>95.167871999999988</v>
      </c>
      <c r="AE5" s="2">
        <f t="shared" si="18"/>
        <v>114.20144639999998</v>
      </c>
      <c r="AF5" s="2">
        <f>+AE5*1.01</f>
        <v>115.34346086399998</v>
      </c>
      <c r="AG5" s="2">
        <f t="shared" ref="AG5:AN5" si="19">+AF5*1.01</f>
        <v>116.49689547263998</v>
      </c>
      <c r="AH5" s="2">
        <f t="shared" si="19"/>
        <v>117.66186442736638</v>
      </c>
      <c r="AI5" s="2">
        <f t="shared" si="19"/>
        <v>118.83848307164004</v>
      </c>
      <c r="AJ5" s="2">
        <f t="shared" si="19"/>
        <v>120.02686790235644</v>
      </c>
      <c r="AK5" s="2">
        <f t="shared" si="19"/>
        <v>121.22713658138001</v>
      </c>
      <c r="AL5" s="2">
        <f t="shared" si="19"/>
        <v>122.43940794719381</v>
      </c>
      <c r="AM5" s="2">
        <f t="shared" si="19"/>
        <v>123.66380202666575</v>
      </c>
      <c r="AN5" s="2">
        <f t="shared" si="19"/>
        <v>124.9004400469324</v>
      </c>
    </row>
    <row r="6" spans="1:151" s="16" customFormat="1" x14ac:dyDescent="0.2">
      <c r="B6" s="16" t="s">
        <v>32</v>
      </c>
      <c r="C6" s="17">
        <f t="shared" ref="C6:F6" si="20">SUM(C3:C5)+0.227</f>
        <v>566.84299999999996</v>
      </c>
      <c r="D6" s="17">
        <f t="shared" si="20"/>
        <v>512.72199999999998</v>
      </c>
      <c r="E6" s="17">
        <f t="shared" si="20"/>
        <v>555.37299999999993</v>
      </c>
      <c r="F6" s="17">
        <f t="shared" si="20"/>
        <v>600.22699999999998</v>
      </c>
      <c r="G6" s="17">
        <f>SUM(G3:G5)</f>
        <v>600.33299999999997</v>
      </c>
      <c r="H6" s="17">
        <f>SUM(H3:H5)+0.227</f>
        <v>636.20999999999992</v>
      </c>
      <c r="I6" s="17">
        <f>SUM(I3:I5)+0.846</f>
        <v>666.63699999999994</v>
      </c>
      <c r="J6" s="17">
        <f>SUM(J3:J5)+0.442</f>
        <v>701.04200000000003</v>
      </c>
      <c r="K6" s="17">
        <f>SUM(K3:K5)+0.613</f>
        <v>701.03800000000001</v>
      </c>
      <c r="L6" s="17">
        <f>SUM(L3:L5)+0.57</f>
        <v>753.11599999999999</v>
      </c>
      <c r="M6" s="17">
        <f t="shared" ref="M6:R6" si="21">SUM(M3:M5)+0.613</f>
        <v>804.09440000000006</v>
      </c>
      <c r="N6" s="17">
        <f t="shared" si="21"/>
        <v>850.05000000000007</v>
      </c>
      <c r="O6" s="17">
        <f t="shared" si="21"/>
        <v>829.97739999999999</v>
      </c>
      <c r="P6" s="17">
        <f t="shared" si="21"/>
        <v>889.23972000000003</v>
      </c>
      <c r="Q6" s="17">
        <f t="shared" si="21"/>
        <v>942.6499520000001</v>
      </c>
      <c r="R6" s="17">
        <f t="shared" si="21"/>
        <v>990.68200000000013</v>
      </c>
      <c r="S6" s="17"/>
      <c r="W6" s="17">
        <f>SUM(W3:W5)</f>
        <v>1551.346</v>
      </c>
      <c r="X6" s="17">
        <f>SUM(X3:X5)</f>
        <v>2234.2569999999996</v>
      </c>
      <c r="Y6" s="17">
        <f t="shared" ref="Y6:Z6" si="22">SUM(Y3:Y5)</f>
        <v>2602.7069999999999</v>
      </c>
      <c r="Z6" s="17">
        <f t="shared" si="22"/>
        <v>3105.8894</v>
      </c>
      <c r="AA6" s="17">
        <f t="shared" ref="AA6" si="23">SUM(AA3:AA5)</f>
        <v>3473.8977400000008</v>
      </c>
      <c r="AB6" s="17">
        <f t="shared" ref="AB6" si="24">SUM(AB3:AB5)</f>
        <v>3882.3478140000011</v>
      </c>
      <c r="AC6" s="17">
        <f t="shared" ref="AC6" si="25">SUM(AC3:AC5)</f>
        <v>4349.4102454000013</v>
      </c>
      <c r="AD6" s="17">
        <f t="shared" ref="AD6" si="26">SUM(AD3:AD5)</f>
        <v>4839.2241264400018</v>
      </c>
      <c r="AE6" s="17">
        <f t="shared" ref="AE6" si="27">SUM(AE3:AE5)</f>
        <v>4956.395839924402</v>
      </c>
      <c r="AF6" s="17">
        <f t="shared" ref="AF6" si="28">SUM(AF3:AF5)</f>
        <v>5005.9597983236463</v>
      </c>
      <c r="AG6" s="17">
        <f t="shared" ref="AG6" si="29">SUM(AG3:AG5)</f>
        <v>5056.0193963068823</v>
      </c>
      <c r="AH6" s="17">
        <f t="shared" ref="AH6" si="30">SUM(AH3:AH5)</f>
        <v>5106.579590269951</v>
      </c>
      <c r="AI6" s="17">
        <f t="shared" ref="AI6" si="31">SUM(AI3:AI5)</f>
        <v>5157.6453861726513</v>
      </c>
      <c r="AJ6" s="17">
        <f t="shared" ref="AJ6" si="32">SUM(AJ3:AJ5)</f>
        <v>5209.2218400343781</v>
      </c>
      <c r="AK6" s="17">
        <f t="shared" ref="AK6" si="33">SUM(AK3:AK5)</f>
        <v>5261.314058434722</v>
      </c>
      <c r="AL6" s="17">
        <f t="shared" ref="AL6" si="34">SUM(AL3:AL5)</f>
        <v>5313.9271990190682</v>
      </c>
      <c r="AM6" s="17">
        <f t="shared" ref="AM6" si="35">SUM(AM3:AM5)</f>
        <v>5367.0664710092587</v>
      </c>
      <c r="AN6" s="17">
        <f t="shared" ref="AN6" si="36">SUM(AN3:AN5)</f>
        <v>5420.7371357193506</v>
      </c>
    </row>
    <row r="7" spans="1:151" s="2" customFormat="1" x14ac:dyDescent="0.2">
      <c r="B7" s="2" t="s">
        <v>35</v>
      </c>
      <c r="C7" s="15"/>
      <c r="D7" s="15"/>
      <c r="E7" s="15"/>
      <c r="F7" s="15"/>
      <c r="G7" s="15">
        <v>69.399000000000001</v>
      </c>
      <c r="H7" s="15">
        <v>52.006999999999998</v>
      </c>
      <c r="I7" s="15">
        <v>54.057000000000002</v>
      </c>
      <c r="J7" s="15">
        <v>57.625999999999998</v>
      </c>
      <c r="K7" s="15">
        <v>58.985999999999997</v>
      </c>
      <c r="L7" s="15">
        <v>60.627000000000002</v>
      </c>
      <c r="M7" s="15">
        <f t="shared" ref="M7:N7" si="37">+M6-M8</f>
        <v>64.327551999999969</v>
      </c>
      <c r="N7" s="15">
        <f t="shared" si="37"/>
        <v>68.004000000000019</v>
      </c>
      <c r="O7" s="15">
        <f>+O6-O8</f>
        <v>66.398191999999995</v>
      </c>
      <c r="P7" s="15">
        <f t="shared" ref="P7:R7" si="38">+P6-P8</f>
        <v>71.139177599999925</v>
      </c>
      <c r="Q7" s="15">
        <f t="shared" si="38"/>
        <v>75.411996159999944</v>
      </c>
      <c r="R7" s="15">
        <f t="shared" si="38"/>
        <v>79.254559999999969</v>
      </c>
      <c r="W7" s="2">
        <v>163.375</v>
      </c>
      <c r="X7" s="2">
        <v>173.86199999999999</v>
      </c>
      <c r="Y7" s="2">
        <f t="shared" ref="Y7" si="39">SUM(G7:J7)</f>
        <v>233.08900000000003</v>
      </c>
      <c r="Z7" s="2">
        <f t="shared" ref="Z7" si="40">SUM(K7:N7)</f>
        <v>251.94455199999999</v>
      </c>
      <c r="AA7" s="2">
        <f>+AA6*0.08</f>
        <v>277.91181920000008</v>
      </c>
      <c r="AB7" s="2">
        <f t="shared" ref="AB7:AN7" si="41">+AB6*0.08</f>
        <v>310.5878251200001</v>
      </c>
      <c r="AC7" s="2">
        <f t="shared" si="41"/>
        <v>347.95281963200011</v>
      </c>
      <c r="AD7" s="2">
        <f t="shared" si="41"/>
        <v>387.13793011520016</v>
      </c>
      <c r="AE7" s="2">
        <f t="shared" si="41"/>
        <v>396.51166719395218</v>
      </c>
      <c r="AF7" s="2">
        <f t="shared" si="41"/>
        <v>400.47678386589172</v>
      </c>
      <c r="AG7" s="2">
        <f t="shared" si="41"/>
        <v>404.48155170455061</v>
      </c>
      <c r="AH7" s="2">
        <f t="shared" si="41"/>
        <v>408.5263672215961</v>
      </c>
      <c r="AI7" s="2">
        <f t="shared" si="41"/>
        <v>412.61163089381211</v>
      </c>
      <c r="AJ7" s="2">
        <f t="shared" si="41"/>
        <v>416.73774720275026</v>
      </c>
      <c r="AK7" s="2">
        <f t="shared" si="41"/>
        <v>420.90512467477777</v>
      </c>
      <c r="AL7" s="2">
        <f t="shared" si="41"/>
        <v>425.11417592152549</v>
      </c>
      <c r="AM7" s="2">
        <f t="shared" si="41"/>
        <v>429.3653176807407</v>
      </c>
      <c r="AN7" s="2">
        <f t="shared" si="41"/>
        <v>433.65897085754807</v>
      </c>
    </row>
    <row r="8" spans="1:151" s="2" customFormat="1" x14ac:dyDescent="0.2">
      <c r="B8" s="2" t="s">
        <v>36</v>
      </c>
      <c r="C8" s="15"/>
      <c r="D8" s="15"/>
      <c r="E8" s="15"/>
      <c r="F8" s="15"/>
      <c r="G8" s="15">
        <f t="shared" ref="G8:L8" si="42">+G6-G7</f>
        <v>530.93399999999997</v>
      </c>
      <c r="H8" s="15">
        <f t="shared" si="42"/>
        <v>584.20299999999997</v>
      </c>
      <c r="I8" s="15">
        <f t="shared" si="42"/>
        <v>612.57999999999993</v>
      </c>
      <c r="J8" s="15">
        <f t="shared" si="42"/>
        <v>643.41600000000005</v>
      </c>
      <c r="K8" s="15">
        <f t="shared" si="42"/>
        <v>642.05200000000002</v>
      </c>
      <c r="L8" s="15">
        <f t="shared" si="42"/>
        <v>692.48900000000003</v>
      </c>
      <c r="M8" s="15">
        <f t="shared" ref="M8:N8" si="43">+M6*0.92</f>
        <v>739.7668480000001</v>
      </c>
      <c r="N8" s="15">
        <f t="shared" si="43"/>
        <v>782.04600000000005</v>
      </c>
      <c r="O8" s="15">
        <f>+O6*0.92</f>
        <v>763.57920799999999</v>
      </c>
      <c r="P8" s="15">
        <f t="shared" ref="P8:R8" si="44">+P6*0.92</f>
        <v>818.10054240000011</v>
      </c>
      <c r="Q8" s="15">
        <f t="shared" si="44"/>
        <v>867.23795584000015</v>
      </c>
      <c r="R8" s="15">
        <f t="shared" si="44"/>
        <v>911.42744000000016</v>
      </c>
      <c r="W8" s="20">
        <f t="shared" ref="W8:X8" si="45">W6-W7</f>
        <v>1387.971</v>
      </c>
      <c r="X8" s="20">
        <f t="shared" si="45"/>
        <v>2060.3949999999995</v>
      </c>
      <c r="Y8" s="20">
        <f t="shared" ref="Y8:Z8" si="46">Y6-Y7</f>
        <v>2369.6179999999999</v>
      </c>
      <c r="Z8" s="20">
        <f t="shared" si="46"/>
        <v>2853.9448480000001</v>
      </c>
      <c r="AA8" s="20">
        <f t="shared" ref="AA8" si="47">AA6-AA7</f>
        <v>3195.9859208000007</v>
      </c>
      <c r="AB8" s="20">
        <f t="shared" ref="AB8" si="48">AB6-AB7</f>
        <v>3571.7599888800009</v>
      </c>
      <c r="AC8" s="20">
        <f t="shared" ref="AC8" si="49">AC6-AC7</f>
        <v>4001.457425768001</v>
      </c>
      <c r="AD8" s="20">
        <f t="shared" ref="AD8" si="50">AD6-AD7</f>
        <v>4452.0861963248017</v>
      </c>
      <c r="AE8" s="20">
        <f t="shared" ref="AE8" si="51">AE6-AE7</f>
        <v>4559.8841727304498</v>
      </c>
      <c r="AF8" s="20">
        <f t="shared" ref="AF8" si="52">AF6-AF7</f>
        <v>4605.4830144577545</v>
      </c>
      <c r="AG8" s="20">
        <f t="shared" ref="AG8" si="53">AG6-AG7</f>
        <v>4651.5378446023315</v>
      </c>
      <c r="AH8" s="20">
        <f t="shared" ref="AH8" si="54">AH6-AH7</f>
        <v>4698.053223048355</v>
      </c>
      <c r="AI8" s="20">
        <f t="shared" ref="AI8" si="55">AI6-AI7</f>
        <v>4745.0337552788396</v>
      </c>
      <c r="AJ8" s="20">
        <f t="shared" ref="AJ8" si="56">AJ6-AJ7</f>
        <v>4792.484092831628</v>
      </c>
      <c r="AK8" s="20">
        <f t="shared" ref="AK8" si="57">AK6-AK7</f>
        <v>4840.4089337599444</v>
      </c>
      <c r="AL8" s="20">
        <f t="shared" ref="AL8" si="58">AL6-AL7</f>
        <v>4888.813023097543</v>
      </c>
      <c r="AM8" s="20">
        <f t="shared" ref="AM8" si="59">AM6-AM7</f>
        <v>4937.7011533285176</v>
      </c>
      <c r="AN8" s="20">
        <f t="shared" ref="AN8" si="60">AN6-AN7</f>
        <v>4987.0781648618022</v>
      </c>
    </row>
    <row r="9" spans="1:151" s="2" customFormat="1" x14ac:dyDescent="0.2">
      <c r="B9" s="2" t="s">
        <v>37</v>
      </c>
      <c r="C9" s="15"/>
      <c r="D9" s="15"/>
      <c r="E9" s="15"/>
      <c r="F9" s="15"/>
      <c r="G9" s="15">
        <v>221.08</v>
      </c>
      <c r="H9" s="15">
        <v>131.69300000000001</v>
      </c>
      <c r="I9" s="15">
        <v>165.66399999999999</v>
      </c>
      <c r="J9" s="15">
        <v>191.035</v>
      </c>
      <c r="K9" s="15">
        <v>176.29</v>
      </c>
      <c r="L9" s="15">
        <v>179.31100000000001</v>
      </c>
      <c r="M9" s="15"/>
      <c r="N9" s="15"/>
      <c r="O9" s="15"/>
      <c r="P9" s="15"/>
      <c r="Q9" s="15"/>
      <c r="R9" s="15"/>
      <c r="W9" s="2">
        <v>317.09300000000002</v>
      </c>
      <c r="X9" s="2">
        <v>513.78200000000004</v>
      </c>
      <c r="Y9" s="2">
        <f t="shared" ref="X9:Y10" si="61">SUM(G9:J9)</f>
        <v>709.47199999999998</v>
      </c>
      <c r="Z9" s="2">
        <f t="shared" ref="Z9:Z10" si="62">SUM(K9:N9)</f>
        <v>355.601</v>
      </c>
    </row>
    <row r="10" spans="1:151" s="2" customFormat="1" x14ac:dyDescent="0.2">
      <c r="B10" s="2" t="s">
        <v>38</v>
      </c>
      <c r="C10" s="15"/>
      <c r="D10" s="15"/>
      <c r="E10" s="15"/>
      <c r="F10" s="15"/>
      <c r="G10" s="15">
        <v>187.11600000000001</v>
      </c>
      <c r="H10" s="15">
        <v>221.38300000000001</v>
      </c>
      <c r="I10" s="15">
        <v>212.52</v>
      </c>
      <c r="J10" s="15">
        <v>241.57599999999999</v>
      </c>
      <c r="K10" s="15">
        <v>232.56100000000001</v>
      </c>
      <c r="L10" s="15">
        <v>231.80199999999999</v>
      </c>
      <c r="M10" s="15">
        <f>+I10*1.05</f>
        <v>223.14600000000002</v>
      </c>
      <c r="N10" s="15">
        <f t="shared" ref="N10:R10" si="63">+J10*1.05</f>
        <v>253.65479999999999</v>
      </c>
      <c r="O10" s="15">
        <f t="shared" si="63"/>
        <v>244.18905000000001</v>
      </c>
      <c r="P10" s="15">
        <f t="shared" si="63"/>
        <v>243.3921</v>
      </c>
      <c r="Q10" s="15">
        <f t="shared" si="63"/>
        <v>234.30330000000004</v>
      </c>
      <c r="R10" s="15">
        <f t="shared" si="63"/>
        <v>266.33753999999999</v>
      </c>
      <c r="W10" s="2">
        <v>489.72</v>
      </c>
      <c r="X10" s="2">
        <v>630.20899999999995</v>
      </c>
      <c r="Y10" s="2">
        <f t="shared" si="61"/>
        <v>862.59500000000003</v>
      </c>
      <c r="Z10" s="2">
        <f t="shared" si="62"/>
        <v>941.16380000000004</v>
      </c>
      <c r="AA10" s="2">
        <f>+Z10*1.01</f>
        <v>950.57543800000008</v>
      </c>
      <c r="AB10" s="2">
        <f t="shared" ref="AB10:AN10" si="64">+AA10*1.01</f>
        <v>960.08119238000006</v>
      </c>
      <c r="AC10" s="2">
        <f t="shared" si="64"/>
        <v>969.68200430380011</v>
      </c>
      <c r="AD10" s="2">
        <f t="shared" si="64"/>
        <v>979.37882434683809</v>
      </c>
      <c r="AE10" s="2">
        <f t="shared" si="64"/>
        <v>989.17261259030647</v>
      </c>
      <c r="AF10" s="2">
        <f t="shared" si="64"/>
        <v>999.06433871620959</v>
      </c>
      <c r="AG10" s="2">
        <f t="shared" si="64"/>
        <v>1009.0549821033717</v>
      </c>
      <c r="AH10" s="2">
        <f t="shared" si="64"/>
        <v>1019.1455319244054</v>
      </c>
      <c r="AI10" s="2">
        <f t="shared" si="64"/>
        <v>1029.3369872436494</v>
      </c>
      <c r="AJ10" s="2">
        <f t="shared" si="64"/>
        <v>1039.6303571160859</v>
      </c>
      <c r="AK10" s="2">
        <f t="shared" si="64"/>
        <v>1050.0266606872467</v>
      </c>
      <c r="AL10" s="2">
        <f t="shared" si="64"/>
        <v>1060.5269272941191</v>
      </c>
      <c r="AM10" s="2">
        <f t="shared" si="64"/>
        <v>1071.1321965670604</v>
      </c>
      <c r="AN10" s="2">
        <f t="shared" si="64"/>
        <v>1081.843518532731</v>
      </c>
    </row>
    <row r="11" spans="1:151" s="2" customFormat="1" x14ac:dyDescent="0.2">
      <c r="B11" s="2" t="s">
        <v>39</v>
      </c>
      <c r="C11" s="15"/>
      <c r="D11" s="15"/>
      <c r="E11" s="15"/>
      <c r="F11" s="15"/>
      <c r="G11" s="15">
        <f>+G10+G9</f>
        <v>408.19600000000003</v>
      </c>
      <c r="H11" s="15">
        <f>+H10+H9</f>
        <v>353.07600000000002</v>
      </c>
      <c r="I11" s="15">
        <f>+I10+I9</f>
        <v>378.18399999999997</v>
      </c>
      <c r="J11" s="15">
        <f>+J10+J9</f>
        <v>432.61099999999999</v>
      </c>
      <c r="K11" s="15">
        <f>+K10+K9</f>
        <v>408.851</v>
      </c>
      <c r="L11" s="15">
        <f t="shared" ref="L11:M11" si="65">+L10+L9</f>
        <v>411.113</v>
      </c>
      <c r="M11" s="15">
        <f t="shared" si="65"/>
        <v>223.14600000000002</v>
      </c>
      <c r="N11" s="15">
        <f t="shared" ref="N11:R11" si="66">+N10+N9</f>
        <v>253.65479999999999</v>
      </c>
      <c r="O11" s="15">
        <f t="shared" si="66"/>
        <v>244.18905000000001</v>
      </c>
      <c r="P11" s="15">
        <f t="shared" si="66"/>
        <v>243.3921</v>
      </c>
      <c r="Q11" s="15">
        <f t="shared" si="66"/>
        <v>234.30330000000004</v>
      </c>
      <c r="R11" s="15">
        <f t="shared" si="66"/>
        <v>266.33753999999999</v>
      </c>
      <c r="W11" s="15">
        <f t="shared" ref="W11:X11" si="67">+W10+W9</f>
        <v>806.8130000000001</v>
      </c>
      <c r="X11" s="15">
        <f t="shared" si="67"/>
        <v>1143.991</v>
      </c>
      <c r="Y11" s="15">
        <f t="shared" ref="Y11:Z11" si="68">+Y10+Y9</f>
        <v>1572.067</v>
      </c>
      <c r="Z11" s="15">
        <f t="shared" si="68"/>
        <v>1296.7647999999999</v>
      </c>
      <c r="AA11" s="15">
        <f t="shared" ref="AA11" si="69">+AA10+AA9</f>
        <v>950.57543800000008</v>
      </c>
      <c r="AB11" s="15">
        <f t="shared" ref="AB11" si="70">+AB10+AB9</f>
        <v>960.08119238000006</v>
      </c>
      <c r="AC11" s="15">
        <f t="shared" ref="AC11" si="71">+AC10+AC9</f>
        <v>969.68200430380011</v>
      </c>
      <c r="AD11" s="15">
        <f t="shared" ref="AD11" si="72">+AD10+AD9</f>
        <v>979.37882434683809</v>
      </c>
      <c r="AE11" s="15">
        <f t="shared" ref="AE11" si="73">+AE10+AE9</f>
        <v>989.17261259030647</v>
      </c>
      <c r="AF11" s="15">
        <f t="shared" ref="AF11" si="74">+AF10+AF9</f>
        <v>999.06433871620959</v>
      </c>
      <c r="AG11" s="15">
        <f t="shared" ref="AG11" si="75">+AG10+AG9</f>
        <v>1009.0549821033717</v>
      </c>
      <c r="AH11" s="15">
        <f t="shared" ref="AH11" si="76">+AH10+AH9</f>
        <v>1019.1455319244054</v>
      </c>
      <c r="AI11" s="15">
        <f t="shared" ref="AI11" si="77">+AI10+AI9</f>
        <v>1029.3369872436494</v>
      </c>
      <c r="AJ11" s="15">
        <f t="shared" ref="AJ11" si="78">+AJ10+AJ9</f>
        <v>1039.6303571160859</v>
      </c>
      <c r="AK11" s="15">
        <f t="shared" ref="AK11" si="79">+AK10+AK9</f>
        <v>1050.0266606872467</v>
      </c>
      <c r="AL11" s="15">
        <f t="shared" ref="AL11" si="80">+AL10+AL9</f>
        <v>1060.5269272941191</v>
      </c>
      <c r="AM11" s="15">
        <f t="shared" ref="AM11" si="81">+AM10+AM9</f>
        <v>1071.1321965670604</v>
      </c>
      <c r="AN11" s="15">
        <f t="shared" ref="AN11" si="82">+AN10+AN9</f>
        <v>1081.843518532731</v>
      </c>
    </row>
    <row r="12" spans="1:151" s="2" customFormat="1" x14ac:dyDescent="0.2">
      <c r="B12" s="2" t="s">
        <v>40</v>
      </c>
      <c r="C12" s="15"/>
      <c r="D12" s="15"/>
      <c r="E12" s="15"/>
      <c r="F12" s="15"/>
      <c r="G12" s="15">
        <f>+G8-G11</f>
        <v>122.73799999999994</v>
      </c>
      <c r="H12" s="15">
        <f>+H8-H11</f>
        <v>231.12699999999995</v>
      </c>
      <c r="I12" s="15">
        <f>+I8-I11</f>
        <v>234.39599999999996</v>
      </c>
      <c r="J12" s="15">
        <f>+J8-J11</f>
        <v>210.80500000000006</v>
      </c>
      <c r="K12" s="15">
        <f>+K8-K11</f>
        <v>233.20100000000002</v>
      </c>
      <c r="L12" s="15">
        <f t="shared" ref="L12:M12" si="83">+L8-L11</f>
        <v>281.37600000000003</v>
      </c>
      <c r="M12" s="15">
        <f t="shared" si="83"/>
        <v>516.62084800000002</v>
      </c>
      <c r="N12" s="15">
        <f t="shared" ref="N12:R12" si="84">+N8-N11</f>
        <v>528.39120000000003</v>
      </c>
      <c r="O12" s="15">
        <f t="shared" si="84"/>
        <v>519.39015799999993</v>
      </c>
      <c r="P12" s="15">
        <f t="shared" si="84"/>
        <v>574.70844240000008</v>
      </c>
      <c r="Q12" s="15">
        <f t="shared" si="84"/>
        <v>632.93465584000012</v>
      </c>
      <c r="R12" s="15">
        <f t="shared" si="84"/>
        <v>645.08990000000017</v>
      </c>
      <c r="W12" s="15">
        <f t="shared" ref="W12:X12" si="85">+W8-W11</f>
        <v>581.1579999999999</v>
      </c>
      <c r="X12" s="15">
        <f t="shared" si="85"/>
        <v>916.40399999999954</v>
      </c>
      <c r="Y12" s="15">
        <f t="shared" ref="Y12:Z12" si="86">+Y8-Y11</f>
        <v>797.55099999999993</v>
      </c>
      <c r="Z12" s="15">
        <f t="shared" si="86"/>
        <v>1557.1800480000002</v>
      </c>
      <c r="AA12" s="15">
        <f t="shared" ref="AA12" si="87">+AA8-AA11</f>
        <v>2245.4104828000009</v>
      </c>
      <c r="AB12" s="15">
        <f t="shared" ref="AB12" si="88">+AB8-AB11</f>
        <v>2611.6787965000008</v>
      </c>
      <c r="AC12" s="15">
        <f t="shared" ref="AC12" si="89">+AC8-AC11</f>
        <v>3031.7754214642009</v>
      </c>
      <c r="AD12" s="15">
        <f t="shared" ref="AD12" si="90">+AD8-AD11</f>
        <v>3472.7073719779637</v>
      </c>
      <c r="AE12" s="15">
        <f t="shared" ref="AE12" si="91">+AE8-AE11</f>
        <v>3570.7115601401433</v>
      </c>
      <c r="AF12" s="15">
        <f t="shared" ref="AF12" si="92">+AF8-AF11</f>
        <v>3606.418675741545</v>
      </c>
      <c r="AG12" s="15">
        <f t="shared" ref="AG12" si="93">+AG8-AG11</f>
        <v>3642.4828624989595</v>
      </c>
      <c r="AH12" s="15">
        <f t="shared" ref="AH12" si="94">+AH8-AH11</f>
        <v>3678.9076911239495</v>
      </c>
      <c r="AI12" s="15">
        <f t="shared" ref="AI12" si="95">+AI8-AI11</f>
        <v>3715.69676803519</v>
      </c>
      <c r="AJ12" s="15">
        <f t="shared" ref="AJ12" si="96">+AJ8-AJ11</f>
        <v>3752.8537357155419</v>
      </c>
      <c r="AK12" s="15">
        <f t="shared" ref="AK12" si="97">+AK8-AK11</f>
        <v>3790.3822730726979</v>
      </c>
      <c r="AL12" s="15">
        <f t="shared" ref="AL12" si="98">+AL8-AL11</f>
        <v>3828.2860958034239</v>
      </c>
      <c r="AM12" s="15">
        <f t="shared" ref="AM12" si="99">+AM8-AM11</f>
        <v>3866.5689567614572</v>
      </c>
      <c r="AN12" s="15">
        <f t="shared" ref="AN12" si="100">+AN8-AN11</f>
        <v>3905.2346463290714</v>
      </c>
    </row>
    <row r="13" spans="1:151" s="2" customFormat="1" x14ac:dyDescent="0.2">
      <c r="B13" s="2" t="s">
        <v>41</v>
      </c>
      <c r="C13" s="15"/>
      <c r="D13" s="15"/>
      <c r="E13" s="15"/>
      <c r="F13" s="15"/>
      <c r="G13" s="15">
        <v>3.238</v>
      </c>
      <c r="H13" s="15">
        <v>-3.79</v>
      </c>
      <c r="I13" s="15">
        <f>1.967-19.971+2.795</f>
        <v>-15.209000000000001</v>
      </c>
      <c r="J13" s="15">
        <f>1.442-23.151-1.059</f>
        <v>-22.768000000000001</v>
      </c>
      <c r="K13" s="15">
        <f>1.551-23.89+0.091</f>
        <v>-22.248000000000001</v>
      </c>
      <c r="L13" s="15">
        <f>1.872-23.793-2.82</f>
        <v>-24.741</v>
      </c>
      <c r="M13" s="15">
        <f t="shared" ref="M13:N13" si="101">+L13</f>
        <v>-24.741</v>
      </c>
      <c r="N13" s="15">
        <f t="shared" si="101"/>
        <v>-24.741</v>
      </c>
      <c r="O13" s="15"/>
      <c r="P13" s="15"/>
      <c r="Q13" s="15"/>
      <c r="R13" s="15"/>
      <c r="W13" s="2">
        <f>3.346-4.112-0.975</f>
        <v>-1.7410000000000001</v>
      </c>
      <c r="X13" s="2">
        <f>8.373-2.982-1.99</f>
        <v>3.4009999999999989</v>
      </c>
      <c r="Y13" s="2">
        <f t="shared" ref="X13:Y13" si="102">SUM(G13:J13)</f>
        <v>-38.529000000000003</v>
      </c>
      <c r="Z13" s="2">
        <f t="shared" ref="Z13" si="103">SUM(K13:N13)</f>
        <v>-96.471000000000004</v>
      </c>
      <c r="AA13" s="2">
        <f>+Z24*$AQ$23</f>
        <v>-12.239764592000002</v>
      </c>
      <c r="AB13" s="2">
        <f t="shared" ref="AB13:AN13" si="104">+AA24*$AQ$23</f>
        <v>7.8587718718720065</v>
      </c>
      <c r="AC13" s="2">
        <f t="shared" si="104"/>
        <v>31.434609987218856</v>
      </c>
      <c r="AD13" s="2">
        <f t="shared" si="104"/>
        <v>59.003500270281627</v>
      </c>
      <c r="AE13" s="2">
        <f t="shared" si="104"/>
        <v>90.788898120515839</v>
      </c>
      <c r="AF13" s="2">
        <f t="shared" si="104"/>
        <v>123.74240224486176</v>
      </c>
      <c r="AG13" s="2">
        <f t="shared" si="104"/>
        <v>157.31385194673945</v>
      </c>
      <c r="AH13" s="2">
        <f t="shared" si="104"/>
        <v>191.51202237675074</v>
      </c>
      <c r="AI13" s="2">
        <f t="shared" si="104"/>
        <v>226.34579979825705</v>
      </c>
      <c r="AJ13" s="2">
        <f t="shared" si="104"/>
        <v>261.82418290875808</v>
      </c>
      <c r="AK13" s="2">
        <f t="shared" si="104"/>
        <v>297.95628417637676</v>
      </c>
      <c r="AL13" s="2">
        <f t="shared" si="104"/>
        <v>334.75133119161848</v>
      </c>
      <c r="AM13" s="2">
        <f t="shared" si="104"/>
        <v>372.21866803457385</v>
      </c>
      <c r="AN13" s="2">
        <f t="shared" si="104"/>
        <v>410.36775665773814</v>
      </c>
    </row>
    <row r="14" spans="1:151" s="2" customFormat="1" x14ac:dyDescent="0.2">
      <c r="B14" s="2" t="s">
        <v>42</v>
      </c>
      <c r="C14" s="15"/>
      <c r="D14" s="15"/>
      <c r="E14" s="15"/>
      <c r="F14" s="15"/>
      <c r="G14" s="15">
        <f>+G12+G13</f>
        <v>125.97599999999994</v>
      </c>
      <c r="H14" s="15">
        <f>+H12+H13</f>
        <v>227.33699999999996</v>
      </c>
      <c r="I14" s="15">
        <f>+I12+I13</f>
        <v>219.18699999999995</v>
      </c>
      <c r="J14" s="15">
        <f>+J12+J13</f>
        <v>188.03700000000006</v>
      </c>
      <c r="K14" s="15">
        <f>+K12+K13</f>
        <v>210.95300000000003</v>
      </c>
      <c r="L14" s="15">
        <f t="shared" ref="L14:R14" si="105">+L12+L13</f>
        <v>256.63500000000005</v>
      </c>
      <c r="M14" s="15">
        <f t="shared" si="105"/>
        <v>491.87984800000004</v>
      </c>
      <c r="N14" s="15">
        <f t="shared" si="105"/>
        <v>503.65020000000004</v>
      </c>
      <c r="O14" s="15">
        <f t="shared" si="105"/>
        <v>519.39015799999993</v>
      </c>
      <c r="P14" s="15">
        <f t="shared" si="105"/>
        <v>574.70844240000008</v>
      </c>
      <c r="Q14" s="15">
        <f t="shared" si="105"/>
        <v>632.93465584000012</v>
      </c>
      <c r="R14" s="15">
        <f t="shared" si="105"/>
        <v>645.08990000000017</v>
      </c>
      <c r="W14" s="2">
        <f>W12+W13</f>
        <v>579.41699999999992</v>
      </c>
      <c r="X14" s="2">
        <f>X12+X13</f>
        <v>919.8049999999995</v>
      </c>
      <c r="Y14" s="2">
        <f>Y12+Y13</f>
        <v>759.02199999999993</v>
      </c>
      <c r="Z14" s="2">
        <f t="shared" ref="Z14" si="106">Z12+Z13</f>
        <v>1460.7090480000002</v>
      </c>
      <c r="AA14" s="2">
        <f t="shared" ref="AA14" si="107">AA12+AA13</f>
        <v>2233.1707182080008</v>
      </c>
      <c r="AB14" s="2">
        <f t="shared" ref="AB14" si="108">AB12+AB13</f>
        <v>2619.5375683718726</v>
      </c>
      <c r="AC14" s="2">
        <f t="shared" ref="AC14" si="109">AC12+AC13</f>
        <v>3063.2100314514196</v>
      </c>
      <c r="AD14" s="2">
        <f t="shared" ref="AD14" si="110">AD12+AD13</f>
        <v>3531.7108722482453</v>
      </c>
      <c r="AE14" s="2">
        <f t="shared" ref="AE14" si="111">AE12+AE13</f>
        <v>3661.5004582606593</v>
      </c>
      <c r="AF14" s="2">
        <f t="shared" ref="AF14" si="112">AF12+AF13</f>
        <v>3730.1610779864068</v>
      </c>
      <c r="AG14" s="2">
        <f t="shared" ref="AG14" si="113">AG12+AG13</f>
        <v>3799.7967144456989</v>
      </c>
      <c r="AH14" s="2">
        <f t="shared" ref="AH14" si="114">AH12+AH13</f>
        <v>3870.4197135007003</v>
      </c>
      <c r="AI14" s="2">
        <f t="shared" ref="AI14" si="115">AI12+AI13</f>
        <v>3942.0425678334468</v>
      </c>
      <c r="AJ14" s="2">
        <f t="shared" ref="AJ14" si="116">AJ12+AJ13</f>
        <v>4014.6779186243002</v>
      </c>
      <c r="AK14" s="2">
        <f t="shared" ref="AK14" si="117">AK12+AK13</f>
        <v>4088.3385572490747</v>
      </c>
      <c r="AL14" s="2">
        <f t="shared" ref="AL14" si="118">AL12+AL13</f>
        <v>4163.0374269950426</v>
      </c>
      <c r="AM14" s="2">
        <f t="shared" ref="AM14" si="119">AM12+AM13</f>
        <v>4238.7876247960312</v>
      </c>
      <c r="AN14" s="2">
        <f t="shared" ref="AN14" si="120">AN12+AN13</f>
        <v>4315.6024029868095</v>
      </c>
    </row>
    <row r="15" spans="1:151" s="2" customFormat="1" x14ac:dyDescent="0.2">
      <c r="B15" s="2" t="s">
        <v>43</v>
      </c>
      <c r="C15" s="15"/>
      <c r="D15" s="15"/>
      <c r="E15" s="15"/>
      <c r="F15" s="15"/>
      <c r="G15" s="15">
        <v>15.622</v>
      </c>
      <c r="H15" s="15">
        <v>7.077</v>
      </c>
      <c r="I15" s="15">
        <v>0</v>
      </c>
      <c r="J15" s="15">
        <v>7.9420000000000002</v>
      </c>
      <c r="K15" s="15">
        <f>51.432-33.784</f>
        <v>17.648000000000003</v>
      </c>
      <c r="L15" s="15">
        <v>55.021999999999998</v>
      </c>
      <c r="M15" s="15">
        <f t="shared" ref="M15:N15" si="121">+M14*0.15</f>
        <v>73.7819772</v>
      </c>
      <c r="N15" s="15">
        <f t="shared" si="121"/>
        <v>75.547530000000009</v>
      </c>
      <c r="O15" s="15">
        <f>+O14*0.2</f>
        <v>103.87803159999999</v>
      </c>
      <c r="P15" s="15">
        <f t="shared" ref="P15:R15" si="122">+P14*0.2</f>
        <v>114.94168848000002</v>
      </c>
      <c r="Q15" s="15">
        <f t="shared" si="122"/>
        <v>126.58693116800004</v>
      </c>
      <c r="R15" s="15">
        <f t="shared" si="122"/>
        <v>129.01798000000005</v>
      </c>
      <c r="W15" s="2">
        <v>273.37400000000002</v>
      </c>
      <c r="X15" s="2">
        <v>215.19499999999999</v>
      </c>
      <c r="Y15" s="2">
        <f t="shared" ref="X15:Y15" si="123">SUM(G15:J15)</f>
        <v>30.640999999999998</v>
      </c>
      <c r="Z15" s="2">
        <f t="shared" ref="Z15" si="124">SUM(K15:N15)</f>
        <v>221.99950719999998</v>
      </c>
      <c r="AA15" s="2">
        <f>+AA14*0.1</f>
        <v>223.31707182080009</v>
      </c>
      <c r="AB15" s="2">
        <f t="shared" ref="AB15:AN15" si="125">+AB14*0.1</f>
        <v>261.95375683718726</v>
      </c>
      <c r="AC15" s="2">
        <f t="shared" si="125"/>
        <v>306.32100314514196</v>
      </c>
      <c r="AD15" s="2">
        <f t="shared" si="125"/>
        <v>353.17108722482453</v>
      </c>
      <c r="AE15" s="2">
        <f t="shared" si="125"/>
        <v>366.15004582606593</v>
      </c>
      <c r="AF15" s="2">
        <f t="shared" si="125"/>
        <v>373.01610779864069</v>
      </c>
      <c r="AG15" s="2">
        <f t="shared" si="125"/>
        <v>379.97967144456993</v>
      </c>
      <c r="AH15" s="2">
        <f t="shared" si="125"/>
        <v>387.04197135007007</v>
      </c>
      <c r="AI15" s="2">
        <f t="shared" si="125"/>
        <v>394.2042567833447</v>
      </c>
      <c r="AJ15" s="2">
        <f t="shared" si="125"/>
        <v>401.46779186243003</v>
      </c>
      <c r="AK15" s="2">
        <f t="shared" si="125"/>
        <v>408.83385572490749</v>
      </c>
      <c r="AL15" s="2">
        <f t="shared" si="125"/>
        <v>416.30374269950426</v>
      </c>
      <c r="AM15" s="2">
        <f t="shared" si="125"/>
        <v>423.87876247960315</v>
      </c>
      <c r="AN15" s="2">
        <f t="shared" si="125"/>
        <v>431.56024029868098</v>
      </c>
    </row>
    <row r="16" spans="1:151" s="2" customFormat="1" x14ac:dyDescent="0.2">
      <c r="B16" s="2" t="s">
        <v>44</v>
      </c>
      <c r="C16" s="15"/>
      <c r="D16" s="15"/>
      <c r="E16" s="15"/>
      <c r="F16" s="15"/>
      <c r="G16" s="15">
        <f>+G14-G15</f>
        <v>110.35399999999994</v>
      </c>
      <c r="H16" s="15">
        <f>+H14-H15</f>
        <v>220.25999999999996</v>
      </c>
      <c r="I16" s="15">
        <f>+I14-I15</f>
        <v>219.18699999999995</v>
      </c>
      <c r="J16" s="15">
        <f>+J14-J15</f>
        <v>180.09500000000006</v>
      </c>
      <c r="K16" s="15">
        <f>+K14-K15</f>
        <v>193.30500000000004</v>
      </c>
      <c r="L16" s="15">
        <f t="shared" ref="L16:N16" si="126">+L14-L15</f>
        <v>201.61300000000006</v>
      </c>
      <c r="M16" s="15">
        <f t="shared" si="126"/>
        <v>418.09787080000001</v>
      </c>
      <c r="N16" s="15">
        <f t="shared" si="126"/>
        <v>428.10267000000005</v>
      </c>
      <c r="O16" s="15">
        <f t="shared" ref="O16:R16" si="127">+O14-O15</f>
        <v>415.51212639999994</v>
      </c>
      <c r="P16" s="15">
        <f t="shared" si="127"/>
        <v>459.76675392000004</v>
      </c>
      <c r="Q16" s="15">
        <f t="shared" si="127"/>
        <v>506.34772467200008</v>
      </c>
      <c r="R16" s="15">
        <f t="shared" si="127"/>
        <v>516.07192000000009</v>
      </c>
      <c r="W16" s="2">
        <f>W14-W15</f>
        <v>306.04299999999989</v>
      </c>
      <c r="X16" s="2">
        <f>X14-X15</f>
        <v>704.60999999999945</v>
      </c>
      <c r="Y16" s="2">
        <f>Y14-Y15</f>
        <v>728.38099999999997</v>
      </c>
      <c r="Z16" s="2">
        <f t="shared" ref="Z16" si="128">Z14-Z15</f>
        <v>1238.7095408000002</v>
      </c>
      <c r="AA16" s="2">
        <f t="shared" ref="AA16" si="129">AA14-AA15</f>
        <v>2009.8536463872008</v>
      </c>
      <c r="AB16" s="2">
        <f t="shared" ref="AB16" si="130">AB14-AB15</f>
        <v>2357.5838115346851</v>
      </c>
      <c r="AC16" s="2">
        <f t="shared" ref="AC16" si="131">AC14-AC15</f>
        <v>2756.8890283062774</v>
      </c>
      <c r="AD16" s="2">
        <f t="shared" ref="AD16" si="132">AD14-AD15</f>
        <v>3178.5397850234208</v>
      </c>
      <c r="AE16" s="2">
        <f t="shared" ref="AE16" si="133">AE14-AE15</f>
        <v>3295.3504124345936</v>
      </c>
      <c r="AF16" s="2">
        <f t="shared" ref="AF16" si="134">AF14-AF15</f>
        <v>3357.1449701877659</v>
      </c>
      <c r="AG16" s="2">
        <f t="shared" ref="AG16" si="135">AG14-AG15</f>
        <v>3419.8170430011287</v>
      </c>
      <c r="AH16" s="2">
        <f t="shared" ref="AH16" si="136">AH14-AH15</f>
        <v>3483.3777421506302</v>
      </c>
      <c r="AI16" s="2">
        <f t="shared" ref="AI16" si="137">AI14-AI15</f>
        <v>3547.8383110501022</v>
      </c>
      <c r="AJ16" s="2">
        <f t="shared" ref="AJ16" si="138">AJ14-AJ15</f>
        <v>3613.21012676187</v>
      </c>
      <c r="AK16" s="2">
        <f t="shared" ref="AK16" si="139">AK14-AK15</f>
        <v>3679.5047015241671</v>
      </c>
      <c r="AL16" s="2">
        <f t="shared" ref="AL16" si="140">AL14-AL15</f>
        <v>3746.7336842955383</v>
      </c>
      <c r="AM16" s="2">
        <f t="shared" ref="AM16" si="141">AM14-AM15</f>
        <v>3814.908862316428</v>
      </c>
      <c r="AN16" s="2">
        <f t="shared" ref="AN16" si="142">AN14-AN15</f>
        <v>3884.0421626881284</v>
      </c>
      <c r="AO16" s="2">
        <f>AN16*(1+$AQ$21)</f>
        <v>3845.201741061247</v>
      </c>
      <c r="AP16" s="2">
        <f t="shared" ref="AP16:DA16" si="143">AO16*(1+$AQ$21)</f>
        <v>3806.7497236506347</v>
      </c>
      <c r="AQ16" s="2">
        <f t="shared" si="143"/>
        <v>3768.6822264141283</v>
      </c>
      <c r="AR16" s="2">
        <f t="shared" si="143"/>
        <v>3730.9954041499868</v>
      </c>
      <c r="AS16" s="2">
        <f t="shared" si="143"/>
        <v>3693.6854501084867</v>
      </c>
      <c r="AT16" s="2">
        <f t="shared" si="143"/>
        <v>3656.748595607402</v>
      </c>
      <c r="AU16" s="2">
        <f t="shared" si="143"/>
        <v>3620.1811096513279</v>
      </c>
      <c r="AV16" s="2">
        <f t="shared" si="143"/>
        <v>3583.9792985548147</v>
      </c>
      <c r="AW16" s="2">
        <f t="shared" si="143"/>
        <v>3548.1395055692665</v>
      </c>
      <c r="AX16" s="2">
        <f t="shared" si="143"/>
        <v>3512.6581105135738</v>
      </c>
      <c r="AY16" s="2">
        <f t="shared" si="143"/>
        <v>3477.531529408438</v>
      </c>
      <c r="AZ16" s="2">
        <f t="shared" si="143"/>
        <v>3442.7562141143535</v>
      </c>
      <c r="BA16" s="2">
        <f t="shared" si="143"/>
        <v>3408.3286519732101</v>
      </c>
      <c r="BB16" s="2">
        <f t="shared" si="143"/>
        <v>3374.2453654534779</v>
      </c>
      <c r="BC16" s="2">
        <f t="shared" si="143"/>
        <v>3340.5029117989429</v>
      </c>
      <c r="BD16" s="2">
        <f t="shared" si="143"/>
        <v>3307.0978826809533</v>
      </c>
      <c r="BE16" s="2">
        <f t="shared" si="143"/>
        <v>3274.0269038541437</v>
      </c>
      <c r="BF16" s="2">
        <f t="shared" si="143"/>
        <v>3241.2866348156022</v>
      </c>
      <c r="BG16" s="2">
        <f t="shared" si="143"/>
        <v>3208.8737684674461</v>
      </c>
      <c r="BH16" s="2">
        <f t="shared" si="143"/>
        <v>3176.7850307827716</v>
      </c>
      <c r="BI16" s="2">
        <f t="shared" si="143"/>
        <v>3145.0171804749439</v>
      </c>
      <c r="BJ16" s="2">
        <f t="shared" si="143"/>
        <v>3113.5670086701944</v>
      </c>
      <c r="BK16" s="2">
        <f t="shared" si="143"/>
        <v>3082.4313385834926</v>
      </c>
      <c r="BL16" s="2">
        <f t="shared" si="143"/>
        <v>3051.6070251976575</v>
      </c>
      <c r="BM16" s="2">
        <f t="shared" si="143"/>
        <v>3021.090954945681</v>
      </c>
      <c r="BN16" s="2">
        <f t="shared" si="143"/>
        <v>2990.880045396224</v>
      </c>
      <c r="BO16" s="2">
        <f t="shared" si="143"/>
        <v>2960.9712449422618</v>
      </c>
      <c r="BP16" s="2">
        <f t="shared" si="143"/>
        <v>2931.3615324928392</v>
      </c>
      <c r="BQ16" s="2">
        <f t="shared" si="143"/>
        <v>2902.0479171679108</v>
      </c>
      <c r="BR16" s="2">
        <f t="shared" si="143"/>
        <v>2873.0274379962316</v>
      </c>
      <c r="BS16" s="2">
        <f t="shared" si="143"/>
        <v>2844.2971636162692</v>
      </c>
      <c r="BT16" s="2">
        <f t="shared" si="143"/>
        <v>2815.8541919801064</v>
      </c>
      <c r="BU16" s="2">
        <f t="shared" si="143"/>
        <v>2787.6956500603055</v>
      </c>
      <c r="BV16" s="2">
        <f t="shared" si="143"/>
        <v>2759.8186935597023</v>
      </c>
      <c r="BW16" s="2">
        <f t="shared" si="143"/>
        <v>2732.2205066241054</v>
      </c>
      <c r="BX16" s="2">
        <f t="shared" si="143"/>
        <v>2704.8983015578642</v>
      </c>
      <c r="BY16" s="2">
        <f t="shared" si="143"/>
        <v>2677.8493185422853</v>
      </c>
      <c r="BZ16" s="2">
        <f t="shared" si="143"/>
        <v>2651.0708253568623</v>
      </c>
      <c r="CA16" s="2">
        <f t="shared" si="143"/>
        <v>2624.5601171032936</v>
      </c>
      <c r="CB16" s="2">
        <f t="shared" si="143"/>
        <v>2598.3145159322607</v>
      </c>
      <c r="CC16" s="2">
        <f t="shared" si="143"/>
        <v>2572.331370772938</v>
      </c>
      <c r="CD16" s="2">
        <f t="shared" si="143"/>
        <v>2546.6080570652084</v>
      </c>
      <c r="CE16" s="2">
        <f t="shared" si="143"/>
        <v>2521.1419764945563</v>
      </c>
      <c r="CF16" s="2">
        <f t="shared" si="143"/>
        <v>2495.9305567296105</v>
      </c>
      <c r="CG16" s="2">
        <f t="shared" si="143"/>
        <v>2470.9712511623143</v>
      </c>
      <c r="CH16" s="2">
        <f t="shared" si="143"/>
        <v>2446.2615386506909</v>
      </c>
      <c r="CI16" s="2">
        <f t="shared" si="143"/>
        <v>2421.7989232641839</v>
      </c>
      <c r="CJ16" s="2">
        <f t="shared" si="143"/>
        <v>2397.5809340315423</v>
      </c>
      <c r="CK16" s="2">
        <f t="shared" si="143"/>
        <v>2373.6051246912266</v>
      </c>
      <c r="CL16" s="2">
        <f t="shared" si="143"/>
        <v>2349.8690734443144</v>
      </c>
      <c r="CM16" s="2">
        <f t="shared" si="143"/>
        <v>2326.3703827098711</v>
      </c>
      <c r="CN16" s="2">
        <f t="shared" si="143"/>
        <v>2303.1066788827725</v>
      </c>
      <c r="CO16" s="2">
        <f t="shared" si="143"/>
        <v>2280.0756120939445</v>
      </c>
      <c r="CP16" s="2">
        <f t="shared" si="143"/>
        <v>2257.2748559730053</v>
      </c>
      <c r="CQ16" s="2">
        <f t="shared" si="143"/>
        <v>2234.7021074132754</v>
      </c>
      <c r="CR16" s="2">
        <f t="shared" si="143"/>
        <v>2212.3550863391424</v>
      </c>
      <c r="CS16" s="2">
        <f t="shared" si="143"/>
        <v>2190.2315354757511</v>
      </c>
      <c r="CT16" s="2">
        <f t="shared" si="143"/>
        <v>2168.3292201209938</v>
      </c>
      <c r="CU16" s="2">
        <f t="shared" si="143"/>
        <v>2146.6459279197838</v>
      </c>
      <c r="CV16" s="2">
        <f t="shared" si="143"/>
        <v>2125.179468640586</v>
      </c>
      <c r="CW16" s="2">
        <f t="shared" si="143"/>
        <v>2103.9276739541801</v>
      </c>
      <c r="CX16" s="2">
        <f t="shared" si="143"/>
        <v>2082.8883972146382</v>
      </c>
      <c r="CY16" s="2">
        <f t="shared" si="143"/>
        <v>2062.0595132424919</v>
      </c>
      <c r="CZ16" s="2">
        <f t="shared" si="143"/>
        <v>2041.4389181100669</v>
      </c>
      <c r="DA16" s="2">
        <f t="shared" si="143"/>
        <v>2021.0245289289662</v>
      </c>
      <c r="DB16" s="2">
        <f t="shared" ref="DB16:EU16" si="144">DA16*(1+$AQ$21)</f>
        <v>2000.8142836396764</v>
      </c>
      <c r="DC16" s="2">
        <f t="shared" si="144"/>
        <v>1980.8061408032797</v>
      </c>
      <c r="DD16" s="2">
        <f t="shared" si="144"/>
        <v>1960.9980793952468</v>
      </c>
      <c r="DE16" s="2">
        <f t="shared" si="144"/>
        <v>1941.3880986012944</v>
      </c>
      <c r="DF16" s="2">
        <f t="shared" si="144"/>
        <v>1921.9742176152813</v>
      </c>
      <c r="DG16" s="2">
        <f t="shared" si="144"/>
        <v>1902.7544754391286</v>
      </c>
      <c r="DH16" s="2">
        <f t="shared" si="144"/>
        <v>1883.7269306847372</v>
      </c>
      <c r="DI16" s="2">
        <f t="shared" si="144"/>
        <v>1864.8896613778898</v>
      </c>
      <c r="DJ16" s="2">
        <f t="shared" si="144"/>
        <v>1846.2407647641107</v>
      </c>
      <c r="DK16" s="2">
        <f t="shared" si="144"/>
        <v>1827.7783571164696</v>
      </c>
      <c r="DL16" s="2">
        <f t="shared" si="144"/>
        <v>1809.5005735453049</v>
      </c>
      <c r="DM16" s="2">
        <f t="shared" si="144"/>
        <v>1791.4055678098518</v>
      </c>
      <c r="DN16" s="2">
        <f t="shared" si="144"/>
        <v>1773.4915121317533</v>
      </c>
      <c r="DO16" s="2">
        <f t="shared" si="144"/>
        <v>1755.7565970104358</v>
      </c>
      <c r="DP16" s="2">
        <f t="shared" si="144"/>
        <v>1738.1990310403314</v>
      </c>
      <c r="DQ16" s="2">
        <f t="shared" si="144"/>
        <v>1720.8170407299281</v>
      </c>
      <c r="DR16" s="2">
        <f t="shared" si="144"/>
        <v>1703.6088703226287</v>
      </c>
      <c r="DS16" s="2">
        <f t="shared" si="144"/>
        <v>1686.5727816194023</v>
      </c>
      <c r="DT16" s="2">
        <f t="shared" si="144"/>
        <v>1669.7070538032083</v>
      </c>
      <c r="DU16" s="2">
        <f t="shared" si="144"/>
        <v>1653.0099832651763</v>
      </c>
      <c r="DV16" s="2">
        <f t="shared" si="144"/>
        <v>1636.4798834325245</v>
      </c>
      <c r="DW16" s="2">
        <f t="shared" si="144"/>
        <v>1620.1150845981992</v>
      </c>
      <c r="DX16" s="2">
        <f t="shared" si="144"/>
        <v>1603.9139337522172</v>
      </c>
      <c r="DY16" s="2">
        <f t="shared" si="144"/>
        <v>1587.8747944146951</v>
      </c>
      <c r="DZ16" s="2">
        <f t="shared" si="144"/>
        <v>1571.9960464705482</v>
      </c>
      <c r="EA16" s="2">
        <f t="shared" si="144"/>
        <v>1556.2760860058427</v>
      </c>
      <c r="EB16" s="2">
        <f t="shared" si="144"/>
        <v>1540.7133251457842</v>
      </c>
      <c r="EC16" s="2">
        <f t="shared" si="144"/>
        <v>1525.3061918943263</v>
      </c>
      <c r="ED16" s="2">
        <f t="shared" si="144"/>
        <v>1510.0531299753829</v>
      </c>
      <c r="EE16" s="2">
        <f t="shared" si="144"/>
        <v>1494.9525986756291</v>
      </c>
      <c r="EF16" s="2">
        <f t="shared" si="144"/>
        <v>1480.0030726888729</v>
      </c>
      <c r="EG16" s="2">
        <f t="shared" si="144"/>
        <v>1465.2030419619841</v>
      </c>
      <c r="EH16" s="2">
        <f t="shared" si="144"/>
        <v>1450.5510115423642</v>
      </c>
      <c r="EI16" s="2">
        <f t="shared" si="144"/>
        <v>1436.0455014269405</v>
      </c>
      <c r="EJ16" s="2">
        <f t="shared" si="144"/>
        <v>1421.685046412671</v>
      </c>
      <c r="EK16" s="2">
        <f t="shared" si="144"/>
        <v>1407.4681959485442</v>
      </c>
      <c r="EL16" s="2">
        <f t="shared" si="144"/>
        <v>1393.3935139890589</v>
      </c>
      <c r="EM16" s="2">
        <f t="shared" si="144"/>
        <v>1379.4595788491683</v>
      </c>
      <c r="EN16" s="2">
        <f t="shared" si="144"/>
        <v>1365.6649830606766</v>
      </c>
      <c r="EO16" s="2">
        <f t="shared" si="144"/>
        <v>1352.0083332300699</v>
      </c>
      <c r="EP16" s="2">
        <f t="shared" si="144"/>
        <v>1338.4882498977693</v>
      </c>
      <c r="EQ16" s="2">
        <f t="shared" si="144"/>
        <v>1325.1033673987915</v>
      </c>
      <c r="ER16" s="2">
        <f t="shared" si="144"/>
        <v>1311.8523337248037</v>
      </c>
      <c r="ES16" s="2">
        <f t="shared" si="144"/>
        <v>1298.7338103875556</v>
      </c>
      <c r="ET16" s="2">
        <f t="shared" si="144"/>
        <v>1285.7464722836801</v>
      </c>
      <c r="EU16" s="2">
        <f t="shared" si="144"/>
        <v>1272.8890075608433</v>
      </c>
    </row>
    <row r="17" spans="2:43" s="1" customFormat="1" x14ac:dyDescent="0.2">
      <c r="B17" s="1" t="s">
        <v>45</v>
      </c>
      <c r="C17" s="18"/>
      <c r="D17" s="18"/>
      <c r="E17" s="18"/>
      <c r="F17" s="18"/>
      <c r="G17" s="18">
        <f>G16/G18</f>
        <v>0.5462149935159426</v>
      </c>
      <c r="H17" s="18">
        <f>H16/H18</f>
        <v>1.0768237951365462</v>
      </c>
      <c r="I17" s="18">
        <f>I16/I18</f>
        <v>0.96887653164064547</v>
      </c>
      <c r="J17" s="18">
        <f>J16/J18</f>
        <v>0.79000469366180215</v>
      </c>
      <c r="K17" s="18">
        <f>K16/K18</f>
        <v>0.8520405689526741</v>
      </c>
      <c r="L17" s="18">
        <f t="shared" ref="L17:N17" si="145">L16/L18</f>
        <v>0.88344609398278817</v>
      </c>
      <c r="M17" s="18">
        <f t="shared" si="145"/>
        <v>1.8320590976811038</v>
      </c>
      <c r="N17" s="18">
        <f t="shared" si="145"/>
        <v>1.8758990324785729</v>
      </c>
      <c r="O17" s="18">
        <f t="shared" ref="O17:R17" si="146">O16/O18</f>
        <v>1.8207286488002381</v>
      </c>
      <c r="P17" s="18">
        <f t="shared" si="146"/>
        <v>2.0146475817222584</v>
      </c>
      <c r="Q17" s="18">
        <f t="shared" si="146"/>
        <v>2.2187602960054691</v>
      </c>
      <c r="R17" s="18">
        <f t="shared" si="146"/>
        <v>2.261370655355547</v>
      </c>
      <c r="W17" s="1">
        <f t="shared" ref="W17" si="147">W16/W18</f>
        <v>1.5324216872296101</v>
      </c>
      <c r="X17" s="1">
        <f t="shared" ref="X17:Y17" si="148">X16/X18</f>
        <v>3.4946905858954556</v>
      </c>
      <c r="Y17" s="1">
        <f t="shared" si="148"/>
        <v>3.3847683773343791</v>
      </c>
      <c r="Z17" s="1">
        <f>Z16/Z18</f>
        <v>5.4358631271879938</v>
      </c>
      <c r="AA17" s="1">
        <f>AA16/AA18</f>
        <v>8.8198960027260327</v>
      </c>
      <c r="AB17" s="1">
        <f t="shared" ref="AB17:AN17" si="149">AB16/AB18</f>
        <v>10.345849844750562</v>
      </c>
      <c r="AC17" s="1">
        <f t="shared" si="149"/>
        <v>12.098131903497507</v>
      </c>
      <c r="AD17" s="1">
        <f t="shared" si="149"/>
        <v>13.948473509415358</v>
      </c>
      <c r="AE17" s="1">
        <f t="shared" si="149"/>
        <v>14.461076796541093</v>
      </c>
      <c r="AF17" s="1">
        <f t="shared" si="149"/>
        <v>14.732251552920557</v>
      </c>
      <c r="AG17" s="1">
        <f t="shared" si="149"/>
        <v>15.007277132759539</v>
      </c>
      <c r="AH17" s="1">
        <f t="shared" si="149"/>
        <v>15.286202295975707</v>
      </c>
      <c r="AI17" s="1">
        <f t="shared" si="149"/>
        <v>15.569076382351033</v>
      </c>
      <c r="AJ17" s="1">
        <f t="shared" si="149"/>
        <v>15.855949318160851</v>
      </c>
      <c r="AK17" s="1">
        <f t="shared" si="149"/>
        <v>16.146871622876645</v>
      </c>
      <c r="AL17" s="1">
        <f t="shared" si="149"/>
        <v>16.441894415943402</v>
      </c>
      <c r="AM17" s="1">
        <f t="shared" si="149"/>
        <v>16.741069423632364</v>
      </c>
      <c r="AN17" s="1">
        <f t="shared" si="149"/>
        <v>17.044448985969982</v>
      </c>
    </row>
    <row r="18" spans="2:43" s="2" customFormat="1" x14ac:dyDescent="0.2">
      <c r="B18" s="2" t="s">
        <v>1</v>
      </c>
      <c r="C18" s="15"/>
      <c r="D18" s="15"/>
      <c r="E18" s="15"/>
      <c r="F18" s="15"/>
      <c r="G18" s="15">
        <v>202.03399999999999</v>
      </c>
      <c r="H18" s="15">
        <v>204.54599999999999</v>
      </c>
      <c r="I18" s="15">
        <v>226.22800000000001</v>
      </c>
      <c r="J18" s="15">
        <v>227.96700000000001</v>
      </c>
      <c r="K18" s="15">
        <v>226.87299999999999</v>
      </c>
      <c r="L18" s="15">
        <v>228.21199999999999</v>
      </c>
      <c r="M18" s="15">
        <f t="shared" ref="M18:N18" si="150">+L18</f>
        <v>228.21199999999999</v>
      </c>
      <c r="N18" s="15">
        <f t="shared" si="150"/>
        <v>228.21199999999999</v>
      </c>
      <c r="O18" s="15">
        <f t="shared" ref="O18" si="151">+N18</f>
        <v>228.21199999999999</v>
      </c>
      <c r="P18" s="15">
        <f t="shared" ref="P18" si="152">+O18</f>
        <v>228.21199999999999</v>
      </c>
      <c r="Q18" s="15">
        <f t="shared" ref="Q18" si="153">+P18</f>
        <v>228.21199999999999</v>
      </c>
      <c r="R18" s="15">
        <f t="shared" ref="R18" si="154">+Q18</f>
        <v>228.21199999999999</v>
      </c>
      <c r="W18" s="2">
        <v>199.71199999999999</v>
      </c>
      <c r="X18" s="2">
        <v>201.62299999999999</v>
      </c>
      <c r="Y18" s="2">
        <f>AVERAGE(G18:J18)</f>
        <v>215.19374999999999</v>
      </c>
      <c r="Z18" s="2">
        <f>AVERAGE(K18:N18)</f>
        <v>227.87725</v>
      </c>
      <c r="AA18" s="2">
        <f>+Z18</f>
        <v>227.87725</v>
      </c>
      <c r="AB18" s="2">
        <f t="shared" ref="AB18:AN18" si="155">+AA18</f>
        <v>227.87725</v>
      </c>
      <c r="AC18" s="2">
        <f t="shared" si="155"/>
        <v>227.87725</v>
      </c>
      <c r="AD18" s="2">
        <f t="shared" si="155"/>
        <v>227.87725</v>
      </c>
      <c r="AE18" s="2">
        <f t="shared" si="155"/>
        <v>227.87725</v>
      </c>
      <c r="AF18" s="2">
        <f t="shared" si="155"/>
        <v>227.87725</v>
      </c>
      <c r="AG18" s="2">
        <f t="shared" si="155"/>
        <v>227.87725</v>
      </c>
      <c r="AH18" s="2">
        <f t="shared" si="155"/>
        <v>227.87725</v>
      </c>
      <c r="AI18" s="2">
        <f t="shared" si="155"/>
        <v>227.87725</v>
      </c>
      <c r="AJ18" s="2">
        <f t="shared" si="155"/>
        <v>227.87725</v>
      </c>
      <c r="AK18" s="2">
        <f t="shared" si="155"/>
        <v>227.87725</v>
      </c>
      <c r="AL18" s="2">
        <f t="shared" si="155"/>
        <v>227.87725</v>
      </c>
      <c r="AM18" s="2">
        <f t="shared" si="155"/>
        <v>227.87725</v>
      </c>
      <c r="AN18" s="2">
        <f t="shared" si="155"/>
        <v>227.87725</v>
      </c>
    </row>
    <row r="20" spans="2:43" s="22" customFormat="1" x14ac:dyDescent="0.2">
      <c r="B20" s="16" t="s">
        <v>94</v>
      </c>
      <c r="C20" s="23"/>
      <c r="D20" s="23"/>
      <c r="E20" s="23"/>
      <c r="F20" s="23"/>
      <c r="G20" s="24">
        <f t="shared" ref="G20" si="156">G6/C6-1</f>
        <v>5.9081615191508119E-2</v>
      </c>
      <c r="H20" s="24">
        <f t="shared" ref="H20" si="157">H6/D6-1</f>
        <v>0.24084786687522652</v>
      </c>
      <c r="I20" s="24">
        <f t="shared" ref="I20:J20" si="158">I6/E6-1</f>
        <v>0.20034103206313603</v>
      </c>
      <c r="J20" s="24">
        <f t="shared" si="158"/>
        <v>0.16796145458301615</v>
      </c>
      <c r="K20" s="24">
        <f>K6/G6-1</f>
        <v>0.16774856621241896</v>
      </c>
      <c r="L20" s="24">
        <f>L6/H6-1</f>
        <v>0.18375379198692277</v>
      </c>
      <c r="M20" s="24">
        <f t="shared" ref="M20:R20" si="159">M6/I6-1</f>
        <v>0.20619527568976848</v>
      </c>
      <c r="N20" s="24">
        <f t="shared" si="159"/>
        <v>0.21255217233774881</v>
      </c>
      <c r="O20" s="24">
        <f t="shared" si="159"/>
        <v>0.18392640627184265</v>
      </c>
      <c r="P20" s="24">
        <f t="shared" si="159"/>
        <v>0.18074734835005501</v>
      </c>
      <c r="Q20" s="24">
        <f t="shared" si="159"/>
        <v>0.17231254439777222</v>
      </c>
      <c r="R20" s="24">
        <f t="shared" si="159"/>
        <v>0.16543968001882248</v>
      </c>
    </row>
    <row r="21" spans="2:43" x14ac:dyDescent="0.2">
      <c r="B21" s="2" t="s">
        <v>57</v>
      </c>
      <c r="G21" s="19">
        <f t="shared" ref="G21:J21" si="160">G3/C3-1</f>
        <v>5.9505908763607174E-2</v>
      </c>
      <c r="H21" s="19">
        <f t="shared" si="160"/>
        <v>0.24095454589800869</v>
      </c>
      <c r="I21" s="19">
        <f t="shared" si="160"/>
        <v>0.19861081589347673</v>
      </c>
      <c r="J21" s="19">
        <f t="shared" si="160"/>
        <v>0.14833333333333343</v>
      </c>
      <c r="K21" s="19">
        <f>K3/G3-1</f>
        <v>0.10714386848632351</v>
      </c>
      <c r="L21" s="19">
        <f>L3/H3-1</f>
        <v>0.10224487132517712</v>
      </c>
      <c r="M21" s="19">
        <f>M3/I3-1</f>
        <v>0.10000000000000009</v>
      </c>
      <c r="N21" s="19">
        <f>N3/J3-1</f>
        <v>0.10000000000000009</v>
      </c>
      <c r="O21" s="19">
        <f t="shared" ref="O21" si="161">O3/K3-1</f>
        <v>8.0000000000000071E-2</v>
      </c>
      <c r="P21" s="19">
        <f t="shared" ref="P21" si="162">P3/L3-1</f>
        <v>8.0000000000000071E-2</v>
      </c>
      <c r="Q21" s="19">
        <f t="shared" ref="Q21" si="163">Q3/M3-1</f>
        <v>8.0000000000000071E-2</v>
      </c>
      <c r="R21" s="19">
        <f t="shared" ref="R21" si="164">R3/N3-1</f>
        <v>8.0000000000000071E-2</v>
      </c>
      <c r="X21" s="21">
        <f>X3/W3-1</f>
        <v>0.44020547318264236</v>
      </c>
      <c r="Y21" s="21">
        <f>Y3/X3-1</f>
        <v>0.15954431383677004</v>
      </c>
      <c r="Z21" s="21">
        <f t="shared" ref="Z21:AN21" si="165">Z3/Y3-1</f>
        <v>0.10220649085968403</v>
      </c>
      <c r="AA21" s="21">
        <f t="shared" si="165"/>
        <v>0.10000000000000009</v>
      </c>
      <c r="AB21" s="21">
        <f t="shared" si="165"/>
        <v>0.10000000000000009</v>
      </c>
      <c r="AC21" s="21">
        <f t="shared" si="165"/>
        <v>0.10000000000000009</v>
      </c>
      <c r="AD21" s="21">
        <f t="shared" si="165"/>
        <v>0.10000000000000009</v>
      </c>
      <c r="AE21" s="21">
        <f t="shared" si="165"/>
        <v>1.0000000000000009E-2</v>
      </c>
      <c r="AF21" s="21">
        <f t="shared" si="165"/>
        <v>1.0000000000000009E-2</v>
      </c>
      <c r="AG21" s="21">
        <f t="shared" si="165"/>
        <v>1.0000000000000009E-2</v>
      </c>
      <c r="AH21" s="21">
        <f t="shared" si="165"/>
        <v>1.0000000000000009E-2</v>
      </c>
      <c r="AI21" s="21">
        <f t="shared" si="165"/>
        <v>1.0000000000000009E-2</v>
      </c>
      <c r="AJ21" s="21">
        <f t="shared" si="165"/>
        <v>1.0000000000000009E-2</v>
      </c>
      <c r="AK21" s="21">
        <f t="shared" si="165"/>
        <v>1.0000000000000009E-2</v>
      </c>
      <c r="AL21" s="21">
        <f t="shared" si="165"/>
        <v>1.0000000000000009E-2</v>
      </c>
      <c r="AM21" s="21">
        <f t="shared" si="165"/>
        <v>1.0000000000000009E-2</v>
      </c>
      <c r="AN21" s="21">
        <f t="shared" si="165"/>
        <v>1.0000000000000009E-2</v>
      </c>
      <c r="AP21" t="s">
        <v>52</v>
      </c>
      <c r="AQ21" s="21">
        <v>-0.01</v>
      </c>
    </row>
    <row r="22" spans="2:43" x14ac:dyDescent="0.2">
      <c r="B22" t="s">
        <v>51</v>
      </c>
      <c r="G22" s="19">
        <f t="shared" ref="G22:N22" si="166">G8/G6</f>
        <v>0.88439915846705075</v>
      </c>
      <c r="H22" s="19">
        <f t="shared" si="166"/>
        <v>0.91825497870200101</v>
      </c>
      <c r="I22" s="19">
        <f t="shared" si="166"/>
        <v>0.91891089153467331</v>
      </c>
      <c r="J22" s="19">
        <f t="shared" si="166"/>
        <v>0.91779950416665479</v>
      </c>
      <c r="K22" s="19">
        <f t="shared" si="166"/>
        <v>0.91585905471600682</v>
      </c>
      <c r="L22" s="19">
        <f t="shared" si="166"/>
        <v>0.91949845707699751</v>
      </c>
      <c r="M22" s="19">
        <f t="shared" si="166"/>
        <v>0.92</v>
      </c>
      <c r="N22" s="19">
        <f t="shared" si="166"/>
        <v>0.91999999999999993</v>
      </c>
      <c r="O22" s="19">
        <f t="shared" ref="O22:R22" si="167">O8/O6</f>
        <v>0.92</v>
      </c>
      <c r="P22" s="19">
        <f t="shared" si="167"/>
        <v>0.92</v>
      </c>
      <c r="Q22" s="19">
        <f t="shared" si="167"/>
        <v>0.92</v>
      </c>
      <c r="R22" s="19">
        <f t="shared" si="167"/>
        <v>0.92</v>
      </c>
      <c r="AP22" t="s">
        <v>53</v>
      </c>
      <c r="AQ22" s="21">
        <v>0.06</v>
      </c>
    </row>
    <row r="23" spans="2:43" x14ac:dyDescent="0.2">
      <c r="AP23" t="s">
        <v>55</v>
      </c>
      <c r="AQ23" s="21">
        <v>0.01</v>
      </c>
    </row>
    <row r="24" spans="2:43" x14ac:dyDescent="0.2">
      <c r="B24" t="s">
        <v>77</v>
      </c>
      <c r="K24" s="15">
        <f>K25-K36</f>
        <v>-2220.5780000000004</v>
      </c>
      <c r="L24" s="15">
        <f>L25-L36</f>
        <v>-2070.1770000000001</v>
      </c>
      <c r="M24" s="15">
        <f>+L24+M16</f>
        <v>-1652.0791292000001</v>
      </c>
      <c r="N24" s="15">
        <f t="shared" ref="N24:R24" si="168">+M24+N16</f>
        <v>-1223.9764592000001</v>
      </c>
      <c r="O24" s="15">
        <f t="shared" si="168"/>
        <v>-808.46433280000019</v>
      </c>
      <c r="P24" s="15">
        <f t="shared" si="168"/>
        <v>-348.69757888000015</v>
      </c>
      <c r="Q24" s="15">
        <f t="shared" si="168"/>
        <v>157.65014579199993</v>
      </c>
      <c r="R24" s="15">
        <f t="shared" si="168"/>
        <v>673.72206579199997</v>
      </c>
      <c r="Z24" s="2">
        <f>+N24</f>
        <v>-1223.9764592000001</v>
      </c>
      <c r="AA24" s="2">
        <f>+Z24+AA16</f>
        <v>785.87718718720066</v>
      </c>
      <c r="AB24" s="2">
        <f t="shared" ref="AB24:AN24" si="169">+AA24+AB16</f>
        <v>3143.4609987218855</v>
      </c>
      <c r="AC24" s="2">
        <f t="shared" si="169"/>
        <v>5900.3500270281629</v>
      </c>
      <c r="AD24" s="2">
        <f t="shared" si="169"/>
        <v>9078.8898120515842</v>
      </c>
      <c r="AE24" s="2">
        <f t="shared" si="169"/>
        <v>12374.240224486177</v>
      </c>
      <c r="AF24" s="2">
        <f t="shared" si="169"/>
        <v>15731.385194673943</v>
      </c>
      <c r="AG24" s="2">
        <f t="shared" si="169"/>
        <v>19151.202237675072</v>
      </c>
      <c r="AH24" s="2">
        <f t="shared" si="169"/>
        <v>22634.579979825703</v>
      </c>
      <c r="AI24" s="2">
        <f t="shared" si="169"/>
        <v>26182.418290875805</v>
      </c>
      <c r="AJ24" s="2">
        <f t="shared" si="169"/>
        <v>29795.628417637676</v>
      </c>
      <c r="AK24" s="2">
        <f t="shared" si="169"/>
        <v>33475.133119161845</v>
      </c>
      <c r="AL24" s="2">
        <f t="shared" si="169"/>
        <v>37221.866803457386</v>
      </c>
      <c r="AM24" s="2">
        <f t="shared" si="169"/>
        <v>41036.775665773814</v>
      </c>
      <c r="AN24" s="2">
        <f t="shared" si="169"/>
        <v>44920.817828461943</v>
      </c>
      <c r="AP24" t="s">
        <v>54</v>
      </c>
      <c r="AQ24" s="2">
        <f>NPV(AQ22,AA16:EU16)+Main!L5-Main!L6</f>
        <v>51603.463300287629</v>
      </c>
    </row>
    <row r="25" spans="2:43" s="2" customFormat="1" x14ac:dyDescent="0.2">
      <c r="B25" s="2" t="s">
        <v>3</v>
      </c>
      <c r="C25" s="15"/>
      <c r="D25" s="15"/>
      <c r="E25" s="15"/>
      <c r="F25" s="15"/>
      <c r="G25" s="15"/>
      <c r="H25" s="15"/>
      <c r="I25" s="15"/>
      <c r="J25" s="15"/>
      <c r="K25" s="15">
        <f>710.198+317.354</f>
        <v>1027.5519999999999</v>
      </c>
      <c r="L25" s="15">
        <f>597.55+582.501</f>
        <v>1180.0509999999999</v>
      </c>
      <c r="M25" s="15"/>
      <c r="N25" s="15"/>
      <c r="O25" s="15"/>
      <c r="P25" s="15"/>
      <c r="Q25" s="15"/>
      <c r="R25" s="15"/>
      <c r="AP25" s="2" t="s">
        <v>56</v>
      </c>
      <c r="AQ25" s="1">
        <f>AQ24/Main!$L$3</f>
        <v>230.16504447011013</v>
      </c>
    </row>
    <row r="26" spans="2:43" s="2" customFormat="1" x14ac:dyDescent="0.2">
      <c r="B26" s="2" t="s">
        <v>84</v>
      </c>
      <c r="C26" s="15"/>
      <c r="D26" s="15"/>
      <c r="E26" s="15"/>
      <c r="F26" s="15"/>
      <c r="G26" s="15"/>
      <c r="H26" s="15"/>
      <c r="I26" s="15"/>
      <c r="J26" s="15"/>
      <c r="K26" s="15">
        <v>586.24900000000002</v>
      </c>
      <c r="L26" s="15">
        <v>609.29700000000003</v>
      </c>
      <c r="M26" s="15"/>
      <c r="N26" s="15"/>
      <c r="O26" s="15"/>
      <c r="P26" s="15"/>
      <c r="Q26" s="15"/>
      <c r="R26" s="15"/>
    </row>
    <row r="27" spans="2:43" s="2" customFormat="1" x14ac:dyDescent="0.2">
      <c r="B27" s="2" t="s">
        <v>83</v>
      </c>
      <c r="C27" s="15"/>
      <c r="D27" s="15"/>
      <c r="E27" s="15"/>
      <c r="F27" s="15"/>
      <c r="G27" s="15"/>
      <c r="H27" s="15"/>
      <c r="I27" s="15"/>
      <c r="J27" s="15"/>
      <c r="K27" s="15">
        <v>293.96199999999999</v>
      </c>
      <c r="L27" s="15">
        <v>329.84699999999998</v>
      </c>
      <c r="M27" s="15"/>
      <c r="N27" s="15"/>
      <c r="O27" s="15"/>
      <c r="P27" s="15"/>
      <c r="Q27" s="15"/>
      <c r="R27" s="15"/>
    </row>
    <row r="28" spans="2:43" s="2" customFormat="1" x14ac:dyDescent="0.2">
      <c r="B28" s="2" t="s">
        <v>82</v>
      </c>
      <c r="C28" s="15"/>
      <c r="D28" s="15"/>
      <c r="E28" s="15"/>
      <c r="F28" s="15"/>
      <c r="G28" s="15"/>
      <c r="H28" s="15"/>
      <c r="I28" s="15"/>
      <c r="J28" s="15"/>
      <c r="K28" s="15">
        <v>219.74600000000001</v>
      </c>
      <c r="L28" s="15">
        <v>242.01400000000001</v>
      </c>
      <c r="M28" s="15"/>
      <c r="N28" s="15"/>
      <c r="O28" s="15"/>
      <c r="P28" s="15"/>
      <c r="Q28" s="15"/>
      <c r="R28" s="15"/>
    </row>
    <row r="29" spans="2:43" s="2" customFormat="1" x14ac:dyDescent="0.2">
      <c r="B29" s="2" t="s">
        <v>81</v>
      </c>
      <c r="C29" s="15"/>
      <c r="D29" s="15"/>
      <c r="E29" s="15"/>
      <c r="F29" s="15"/>
      <c r="G29" s="15"/>
      <c r="H29" s="15"/>
      <c r="I29" s="15"/>
      <c r="J29" s="15"/>
      <c r="K29" s="15">
        <v>749.29499999999996</v>
      </c>
      <c r="L29" s="15">
        <v>825.30100000000004</v>
      </c>
      <c r="M29" s="15"/>
      <c r="N29" s="15"/>
      <c r="O29" s="15"/>
      <c r="P29" s="15"/>
      <c r="Q29" s="15"/>
      <c r="R29" s="15"/>
    </row>
    <row r="30" spans="2:43" s="2" customFormat="1" x14ac:dyDescent="0.2">
      <c r="B30" s="2" t="s">
        <v>80</v>
      </c>
      <c r="C30" s="15"/>
      <c r="D30" s="15"/>
      <c r="E30" s="15"/>
      <c r="F30" s="15"/>
      <c r="G30" s="15"/>
      <c r="H30" s="15"/>
      <c r="I30" s="15"/>
      <c r="J30" s="15"/>
      <c r="K30" s="15">
        <f>4627.817+5049.321</f>
        <v>9677.137999999999</v>
      </c>
      <c r="L30" s="15">
        <f>4547.762+5037.444</f>
        <v>9585.2060000000001</v>
      </c>
      <c r="M30" s="15"/>
      <c r="N30" s="15"/>
      <c r="O30" s="15"/>
      <c r="P30" s="15"/>
      <c r="Q30" s="15"/>
      <c r="R30" s="15"/>
    </row>
    <row r="31" spans="2:43" s="2" customFormat="1" x14ac:dyDescent="0.2">
      <c r="B31" s="2" t="s">
        <v>79</v>
      </c>
      <c r="C31" s="15"/>
      <c r="D31" s="15"/>
      <c r="E31" s="15"/>
      <c r="F31" s="15"/>
      <c r="G31" s="15"/>
      <c r="H31" s="15"/>
      <c r="I31" s="15"/>
      <c r="J31" s="15"/>
      <c r="K31" s="15">
        <v>248.50299999999999</v>
      </c>
      <c r="L31" s="15">
        <v>257.63099999999997</v>
      </c>
      <c r="M31" s="15"/>
      <c r="N31" s="15"/>
      <c r="O31" s="15"/>
      <c r="P31" s="15"/>
      <c r="Q31" s="15"/>
      <c r="R31" s="15"/>
    </row>
    <row r="32" spans="2:43" s="2" customFormat="1" x14ac:dyDescent="0.2">
      <c r="B32" s="2" t="s">
        <v>78</v>
      </c>
      <c r="C32" s="15"/>
      <c r="D32" s="15"/>
      <c r="E32" s="15"/>
      <c r="F32" s="15"/>
      <c r="G32" s="15"/>
      <c r="H32" s="15"/>
      <c r="I32" s="15"/>
      <c r="J32" s="15"/>
      <c r="K32" s="15">
        <f>SUM(K25:K31)</f>
        <v>12802.445</v>
      </c>
      <c r="L32" s="15">
        <f>SUM(L25:L31)</f>
        <v>13029.347</v>
      </c>
      <c r="M32" s="15"/>
      <c r="N32" s="15"/>
      <c r="O32" s="15"/>
      <c r="P32" s="15"/>
      <c r="Q32" s="15"/>
      <c r="R32" s="15"/>
    </row>
    <row r="34" spans="2:18" s="2" customFormat="1" x14ac:dyDescent="0.2">
      <c r="B34" s="2" t="s">
        <v>93</v>
      </c>
      <c r="C34" s="15"/>
      <c r="D34" s="15"/>
      <c r="E34" s="15"/>
      <c r="F34" s="15"/>
      <c r="G34" s="15"/>
      <c r="H34" s="15"/>
      <c r="I34" s="15"/>
      <c r="J34" s="15"/>
      <c r="K34" s="15">
        <f>42.897+359.077</f>
        <v>401.97399999999999</v>
      </c>
      <c r="L34" s="15">
        <v>436.267</v>
      </c>
      <c r="M34" s="15"/>
      <c r="N34" s="15"/>
      <c r="O34" s="15"/>
      <c r="P34" s="15"/>
      <c r="Q34" s="15"/>
      <c r="R34" s="15"/>
    </row>
    <row r="35" spans="2:18" s="2" customFormat="1" x14ac:dyDescent="0.2">
      <c r="B35" s="2" t="s">
        <v>92</v>
      </c>
      <c r="C35" s="15"/>
      <c r="D35" s="15"/>
      <c r="E35" s="15"/>
      <c r="F35" s="15"/>
      <c r="G35" s="15"/>
      <c r="H35" s="15"/>
      <c r="I35" s="15"/>
      <c r="J35" s="15"/>
      <c r="K35" s="15">
        <v>78.415999999999997</v>
      </c>
      <c r="L35" s="15">
        <v>53.421999999999997</v>
      </c>
      <c r="M35" s="15"/>
      <c r="N35" s="15"/>
      <c r="O35" s="15"/>
      <c r="P35" s="15"/>
      <c r="Q35" s="15"/>
      <c r="R35" s="15"/>
    </row>
    <row r="36" spans="2:18" s="2" customFormat="1" x14ac:dyDescent="0.2">
      <c r="B36" s="2" t="s">
        <v>4</v>
      </c>
      <c r="C36" s="15"/>
      <c r="D36" s="15"/>
      <c r="E36" s="15"/>
      <c r="F36" s="15"/>
      <c r="G36" s="15"/>
      <c r="H36" s="15"/>
      <c r="I36" s="15"/>
      <c r="J36" s="15"/>
      <c r="K36" s="15">
        <f>35.358+3212.772</f>
        <v>3248.13</v>
      </c>
      <c r="L36" s="15">
        <f>79.136+3171.092</f>
        <v>3250.2280000000001</v>
      </c>
      <c r="M36" s="15"/>
      <c r="N36" s="15"/>
      <c r="O36" s="15"/>
      <c r="P36" s="15"/>
      <c r="Q36" s="15"/>
      <c r="R36" s="15"/>
    </row>
    <row r="37" spans="2:18" s="2" customFormat="1" x14ac:dyDescent="0.2">
      <c r="B37" s="2" t="s">
        <v>91</v>
      </c>
      <c r="C37" s="15"/>
      <c r="D37" s="15"/>
      <c r="E37" s="15"/>
      <c r="F37" s="15"/>
      <c r="G37" s="15"/>
      <c r="H37" s="15"/>
      <c r="I37" s="15"/>
      <c r="J37" s="15"/>
      <c r="K37" s="15">
        <v>87.864999999999995</v>
      </c>
      <c r="L37" s="15">
        <v>89.637</v>
      </c>
      <c r="M37" s="15"/>
      <c r="N37" s="15"/>
      <c r="O37" s="15"/>
      <c r="P37" s="15"/>
      <c r="Q37" s="15"/>
      <c r="R37" s="15"/>
    </row>
    <row r="38" spans="2:18" s="2" customFormat="1" x14ac:dyDescent="0.2">
      <c r="B38" s="2" t="s">
        <v>90</v>
      </c>
      <c r="C38" s="15"/>
      <c r="D38" s="15"/>
      <c r="E38" s="15"/>
      <c r="F38" s="15"/>
      <c r="G38" s="15"/>
      <c r="H38" s="15"/>
      <c r="I38" s="15"/>
      <c r="J38" s="15"/>
      <c r="K38" s="15">
        <v>172.97</v>
      </c>
      <c r="L38" s="15">
        <v>196.43899999999999</v>
      </c>
      <c r="M38" s="15"/>
      <c r="N38" s="15"/>
      <c r="O38" s="15"/>
      <c r="P38" s="15"/>
      <c r="Q38" s="15"/>
      <c r="R38" s="15"/>
    </row>
    <row r="39" spans="2:18" s="2" customFormat="1" x14ac:dyDescent="0.2">
      <c r="B39" s="2" t="s">
        <v>89</v>
      </c>
      <c r="C39" s="15"/>
      <c r="D39" s="15"/>
      <c r="E39" s="15"/>
      <c r="F39" s="15"/>
      <c r="G39" s="15"/>
      <c r="H39" s="15"/>
      <c r="I39" s="15"/>
      <c r="J39" s="15"/>
      <c r="K39" s="15">
        <v>107.08499999999999</v>
      </c>
      <c r="L39" s="15">
        <v>109.565</v>
      </c>
      <c r="M39" s="15"/>
      <c r="N39" s="15"/>
      <c r="O39" s="15"/>
      <c r="P39" s="15"/>
      <c r="Q39" s="15"/>
      <c r="R39" s="15"/>
    </row>
    <row r="40" spans="2:18" s="2" customFormat="1" x14ac:dyDescent="0.2">
      <c r="B40" s="2" t="s">
        <v>88</v>
      </c>
      <c r="C40" s="15"/>
      <c r="D40" s="15"/>
      <c r="E40" s="15"/>
      <c r="F40" s="15"/>
      <c r="G40" s="15"/>
      <c r="H40" s="15"/>
      <c r="I40" s="15"/>
      <c r="J40" s="15"/>
      <c r="K40" s="15">
        <v>535.91</v>
      </c>
      <c r="L40" s="15">
        <v>570.07399999999996</v>
      </c>
      <c r="M40" s="15"/>
      <c r="N40" s="15"/>
      <c r="O40" s="15"/>
      <c r="P40" s="15"/>
      <c r="Q40" s="15"/>
      <c r="R40" s="15"/>
    </row>
    <row r="41" spans="2:18" s="2" customFormat="1" x14ac:dyDescent="0.2">
      <c r="B41" s="2" t="s">
        <v>87</v>
      </c>
      <c r="C41" s="15"/>
      <c r="D41" s="15"/>
      <c r="E41" s="15"/>
      <c r="F41" s="15"/>
      <c r="G41" s="15"/>
      <c r="H41" s="15"/>
      <c r="I41" s="15"/>
      <c r="J41" s="15"/>
      <c r="K41" s="15">
        <v>107.818</v>
      </c>
      <c r="L41" s="15">
        <v>124.376</v>
      </c>
      <c r="M41" s="15"/>
      <c r="N41" s="15"/>
      <c r="O41" s="15"/>
      <c r="P41" s="15"/>
      <c r="Q41" s="15"/>
      <c r="R41" s="15"/>
    </row>
    <row r="42" spans="2:18" s="2" customFormat="1" x14ac:dyDescent="0.2">
      <c r="B42" s="2" t="s">
        <v>86</v>
      </c>
      <c r="C42" s="15"/>
      <c r="D42" s="15"/>
      <c r="E42" s="15"/>
      <c r="F42" s="15"/>
      <c r="G42" s="15"/>
      <c r="H42" s="15"/>
      <c r="I42" s="15"/>
      <c r="J42" s="15"/>
      <c r="K42" s="15">
        <v>8062.277</v>
      </c>
      <c r="L42" s="15">
        <v>8199.3389999999999</v>
      </c>
      <c r="M42" s="15"/>
      <c r="N42" s="15"/>
      <c r="O42" s="15"/>
      <c r="P42" s="15"/>
      <c r="Q42" s="15"/>
      <c r="R42" s="15"/>
    </row>
    <row r="43" spans="2:18" s="2" customFormat="1" x14ac:dyDescent="0.2">
      <c r="B43" s="2" t="s">
        <v>85</v>
      </c>
      <c r="C43" s="15"/>
      <c r="D43" s="15"/>
      <c r="E43" s="15"/>
      <c r="F43" s="15"/>
      <c r="G43" s="15"/>
      <c r="H43" s="15"/>
      <c r="I43" s="15"/>
      <c r="J43" s="15"/>
      <c r="K43" s="15">
        <f>SUM(K34:K42)</f>
        <v>12802.445</v>
      </c>
      <c r="L43" s="15">
        <f>SUM(L34:L42)</f>
        <v>13029.347</v>
      </c>
      <c r="M43" s="15"/>
      <c r="N43" s="15"/>
      <c r="O43" s="15"/>
      <c r="P43" s="15"/>
      <c r="Q43" s="15"/>
      <c r="R43" s="15"/>
    </row>
    <row r="45" spans="2:18" s="2" customFormat="1" x14ac:dyDescent="0.2">
      <c r="B45" s="2" t="s">
        <v>96</v>
      </c>
      <c r="C45" s="15"/>
      <c r="D45" s="15"/>
      <c r="E45" s="15"/>
      <c r="F45" s="15"/>
      <c r="G45" s="15"/>
      <c r="H45" s="15"/>
      <c r="I45" s="15"/>
      <c r="J45" s="15"/>
      <c r="K45" s="15">
        <f>+K16</f>
        <v>193.30500000000004</v>
      </c>
      <c r="L45" s="15"/>
      <c r="M45" s="15"/>
      <c r="N45" s="15"/>
      <c r="O45" s="15"/>
      <c r="P45" s="15"/>
      <c r="Q45" s="15"/>
      <c r="R45" s="15"/>
    </row>
    <row r="46" spans="2:18" s="2" customFormat="1" x14ac:dyDescent="0.2">
      <c r="B46" s="2" t="s">
        <v>95</v>
      </c>
      <c r="C46" s="15"/>
      <c r="D46" s="15"/>
      <c r="E46" s="15"/>
      <c r="F46" s="15"/>
      <c r="G46" s="15"/>
      <c r="H46" s="15"/>
      <c r="I46" s="15"/>
      <c r="J46" s="15"/>
      <c r="K46" s="15">
        <v>92.165999999999997</v>
      </c>
      <c r="L46" s="15"/>
      <c r="M46" s="15"/>
      <c r="N46" s="15"/>
      <c r="O46" s="15"/>
      <c r="P46" s="15"/>
      <c r="Q46" s="15"/>
      <c r="R46" s="15"/>
    </row>
    <row r="47" spans="2:18" s="2" customFormat="1" x14ac:dyDescent="0.2">
      <c r="B47" s="2" t="s">
        <v>104</v>
      </c>
      <c r="C47" s="15"/>
      <c r="D47" s="15"/>
      <c r="E47" s="15"/>
      <c r="F47" s="15"/>
      <c r="G47" s="15"/>
      <c r="H47" s="15"/>
      <c r="I47" s="15"/>
      <c r="J47" s="15"/>
      <c r="K47" s="15">
        <v>96.783000000000001</v>
      </c>
      <c r="L47" s="15"/>
      <c r="M47" s="15"/>
      <c r="N47" s="15"/>
      <c r="O47" s="15"/>
      <c r="P47" s="15"/>
      <c r="Q47" s="15"/>
      <c r="R47" s="15"/>
    </row>
    <row r="48" spans="2:18" s="2" customFormat="1" x14ac:dyDescent="0.2">
      <c r="B48" s="2" t="s">
        <v>89</v>
      </c>
      <c r="C48" s="15"/>
      <c r="D48" s="15"/>
      <c r="E48" s="15"/>
      <c r="F48" s="15"/>
      <c r="G48" s="15"/>
      <c r="H48" s="15"/>
      <c r="I48" s="15"/>
      <c r="J48" s="15"/>
      <c r="K48" s="15">
        <v>-14.8</v>
      </c>
      <c r="L48" s="15"/>
      <c r="M48" s="15"/>
      <c r="N48" s="15"/>
      <c r="O48" s="15"/>
      <c r="P48" s="15"/>
      <c r="Q48" s="15"/>
      <c r="R48" s="15"/>
    </row>
    <row r="49" spans="2:18" s="2" customFormat="1" x14ac:dyDescent="0.2">
      <c r="B49" s="2" t="s">
        <v>102</v>
      </c>
      <c r="C49" s="15"/>
      <c r="D49" s="15"/>
      <c r="E49" s="15"/>
      <c r="F49" s="15"/>
      <c r="G49" s="15"/>
      <c r="H49" s="15"/>
      <c r="I49" s="15"/>
      <c r="J49" s="15"/>
      <c r="K49" s="15">
        <v>56.889000000000003</v>
      </c>
      <c r="L49" s="15"/>
      <c r="M49" s="15"/>
      <c r="N49" s="15"/>
      <c r="O49" s="15"/>
      <c r="P49" s="15"/>
      <c r="Q49" s="15"/>
      <c r="R49" s="15"/>
    </row>
    <row r="50" spans="2:18" s="2" customFormat="1" x14ac:dyDescent="0.2">
      <c r="B50" s="2" t="s">
        <v>103</v>
      </c>
      <c r="C50" s="15"/>
      <c r="D50" s="15"/>
      <c r="E50" s="15"/>
      <c r="F50" s="15"/>
      <c r="G50" s="15"/>
      <c r="H50" s="15"/>
      <c r="I50" s="15"/>
      <c r="J50" s="15"/>
      <c r="K50" s="15">
        <v>0.51500000000000001</v>
      </c>
      <c r="L50" s="15"/>
      <c r="M50" s="15"/>
      <c r="N50" s="15"/>
      <c r="O50" s="15"/>
      <c r="P50" s="15"/>
      <c r="Q50" s="15"/>
      <c r="R50" s="15"/>
    </row>
    <row r="51" spans="2:18" s="2" customFormat="1" x14ac:dyDescent="0.2">
      <c r="B51" s="2" t="s">
        <v>88</v>
      </c>
      <c r="C51" s="15"/>
      <c r="D51" s="15"/>
      <c r="E51" s="15"/>
      <c r="F51" s="15"/>
      <c r="G51" s="15"/>
      <c r="H51" s="15"/>
      <c r="I51" s="15"/>
      <c r="J51" s="15"/>
      <c r="K51" s="15">
        <v>29.332000000000001</v>
      </c>
      <c r="L51" s="15"/>
      <c r="M51" s="15"/>
      <c r="N51" s="15"/>
      <c r="O51" s="15"/>
      <c r="P51" s="15"/>
      <c r="Q51" s="15"/>
      <c r="R51" s="15"/>
    </row>
    <row r="52" spans="2:18" s="2" customFormat="1" x14ac:dyDescent="0.2">
      <c r="B52" s="2" t="s">
        <v>102</v>
      </c>
      <c r="C52" s="15"/>
      <c r="D52" s="15"/>
      <c r="E52" s="15"/>
      <c r="F52" s="15"/>
      <c r="G52" s="15"/>
      <c r="H52" s="15"/>
      <c r="I52" s="15"/>
      <c r="J52" s="15"/>
      <c r="K52" s="15">
        <v>-5.9169999999999998</v>
      </c>
      <c r="L52" s="15"/>
      <c r="M52" s="15"/>
      <c r="N52" s="15"/>
      <c r="O52" s="15"/>
      <c r="P52" s="15"/>
      <c r="Q52" s="15"/>
      <c r="R52" s="15"/>
    </row>
    <row r="53" spans="2:18" s="2" customFormat="1" x14ac:dyDescent="0.2">
      <c r="B53" s="2" t="s">
        <v>101</v>
      </c>
      <c r="C53" s="15"/>
      <c r="D53" s="15"/>
      <c r="E53" s="15"/>
      <c r="F53" s="15"/>
      <c r="G53" s="15"/>
      <c r="H53" s="15"/>
      <c r="I53" s="15"/>
      <c r="J53" s="15"/>
      <c r="K53" s="15">
        <v>-13.762</v>
      </c>
      <c r="L53" s="15"/>
      <c r="M53" s="15"/>
      <c r="N53" s="15"/>
      <c r="O53" s="15"/>
      <c r="P53" s="15"/>
      <c r="Q53" s="15"/>
      <c r="R53" s="15"/>
    </row>
    <row r="54" spans="2:18" s="2" customFormat="1" x14ac:dyDescent="0.2">
      <c r="B54" s="2" t="s">
        <v>100</v>
      </c>
      <c r="C54" s="15"/>
      <c r="D54" s="15"/>
      <c r="E54" s="15"/>
      <c r="F54" s="15"/>
      <c r="G54" s="15"/>
      <c r="H54" s="15"/>
      <c r="I54" s="15"/>
      <c r="J54" s="15"/>
      <c r="K54" s="15">
        <v>17.097999999999999</v>
      </c>
      <c r="L54" s="15"/>
      <c r="M54" s="15"/>
      <c r="N54" s="15"/>
      <c r="O54" s="15"/>
      <c r="P54" s="15"/>
      <c r="Q54" s="15"/>
      <c r="R54" s="15"/>
    </row>
    <row r="55" spans="2:18" s="2" customFormat="1" x14ac:dyDescent="0.2">
      <c r="B55" s="2" t="s">
        <v>99</v>
      </c>
      <c r="C55" s="15"/>
      <c r="D55" s="15"/>
      <c r="E55" s="15"/>
      <c r="F55" s="15"/>
      <c r="G55" s="15"/>
      <c r="H55" s="15"/>
      <c r="I55" s="15"/>
      <c r="J55" s="15"/>
      <c r="K55" s="15">
        <v>0.60899999999999999</v>
      </c>
      <c r="L55" s="15"/>
      <c r="M55" s="15"/>
      <c r="N55" s="15"/>
      <c r="O55" s="15"/>
      <c r="P55" s="15"/>
      <c r="Q55" s="15"/>
      <c r="R55" s="15"/>
    </row>
    <row r="56" spans="2:18" s="2" customFormat="1" x14ac:dyDescent="0.2">
      <c r="B56" s="2" t="s">
        <v>84</v>
      </c>
      <c r="C56" s="15"/>
      <c r="D56" s="15"/>
      <c r="E56" s="15"/>
      <c r="F56" s="15"/>
      <c r="G56" s="15"/>
      <c r="H56" s="15"/>
      <c r="I56" s="15"/>
      <c r="J56" s="15"/>
      <c r="K56" s="15">
        <v>-37.286999999999999</v>
      </c>
      <c r="L56" s="15"/>
      <c r="M56" s="15"/>
      <c r="N56" s="15"/>
      <c r="O56" s="15"/>
      <c r="P56" s="15"/>
      <c r="Q56" s="15"/>
      <c r="R56" s="15"/>
    </row>
    <row r="57" spans="2:18" s="2" customFormat="1" x14ac:dyDescent="0.2">
      <c r="B57" s="2" t="s">
        <v>98</v>
      </c>
      <c r="C57" s="15"/>
      <c r="D57" s="15"/>
      <c r="E57" s="15"/>
      <c r="F57" s="15"/>
      <c r="G57" s="15"/>
      <c r="H57" s="15"/>
      <c r="I57" s="15"/>
      <c r="J57" s="15"/>
      <c r="K57" s="15">
        <v>-3.8380000000000001</v>
      </c>
      <c r="L57" s="15"/>
      <c r="M57" s="15"/>
      <c r="N57" s="15"/>
      <c r="O57" s="15"/>
      <c r="P57" s="15"/>
      <c r="Q57" s="15"/>
      <c r="R57" s="15"/>
    </row>
    <row r="58" spans="2:18" s="2" customFormat="1" x14ac:dyDescent="0.2">
      <c r="B58" s="2" t="s">
        <v>82</v>
      </c>
      <c r="C58" s="15"/>
      <c r="D58" s="15"/>
      <c r="E58" s="15"/>
      <c r="F58" s="15"/>
      <c r="G58" s="15"/>
      <c r="H58" s="15"/>
      <c r="I58" s="15"/>
      <c r="J58" s="15"/>
      <c r="K58" s="15">
        <v>-65.215999999999994</v>
      </c>
      <c r="L58" s="15"/>
      <c r="M58" s="15"/>
      <c r="N58" s="15"/>
      <c r="O58" s="15"/>
      <c r="P58" s="15"/>
      <c r="Q58" s="15"/>
      <c r="R58" s="15"/>
    </row>
    <row r="59" spans="2:18" s="2" customFormat="1" x14ac:dyDescent="0.2">
      <c r="B59" s="2" t="s">
        <v>93</v>
      </c>
      <c r="C59" s="15"/>
      <c r="D59" s="15"/>
      <c r="E59" s="15"/>
      <c r="F59" s="15"/>
      <c r="G59" s="15"/>
      <c r="H59" s="15"/>
      <c r="I59" s="15"/>
      <c r="J59" s="15"/>
      <c r="K59" s="15">
        <v>-42.46</v>
      </c>
      <c r="L59" s="15"/>
      <c r="M59" s="15"/>
      <c r="N59" s="15"/>
      <c r="O59" s="15"/>
      <c r="P59" s="15"/>
      <c r="Q59" s="15"/>
      <c r="R59" s="15"/>
    </row>
    <row r="60" spans="2:18" s="2" customFormat="1" x14ac:dyDescent="0.2">
      <c r="B60" s="2" t="s">
        <v>92</v>
      </c>
      <c r="C60" s="15"/>
      <c r="D60" s="15"/>
      <c r="E60" s="15"/>
      <c r="F60" s="15"/>
      <c r="G60" s="15"/>
      <c r="H60" s="15"/>
      <c r="I60" s="15"/>
      <c r="J60" s="15"/>
      <c r="K60" s="15">
        <v>57.872</v>
      </c>
      <c r="L60" s="15"/>
      <c r="M60" s="15"/>
      <c r="N60" s="15"/>
      <c r="O60" s="15"/>
      <c r="P60" s="15"/>
      <c r="Q60" s="15"/>
      <c r="R60" s="15"/>
    </row>
    <row r="61" spans="2:18" s="2" customFormat="1" x14ac:dyDescent="0.2">
      <c r="B61" s="2" t="s">
        <v>97</v>
      </c>
      <c r="C61" s="15"/>
      <c r="D61" s="15"/>
      <c r="E61" s="15"/>
      <c r="F61" s="15"/>
      <c r="G61" s="15"/>
      <c r="H61" s="15"/>
      <c r="I61" s="15"/>
      <c r="J61" s="15"/>
      <c r="K61" s="15">
        <f>SUM(K46:K60)</f>
        <v>167.98399999999992</v>
      </c>
      <c r="L61" s="15"/>
      <c r="M61" s="15"/>
      <c r="N61" s="15"/>
      <c r="O61" s="15"/>
      <c r="P61" s="15"/>
      <c r="Q61" s="15"/>
      <c r="R61" s="15"/>
    </row>
    <row r="63" spans="2:18" s="2" customFormat="1" x14ac:dyDescent="0.2">
      <c r="B63" s="2" t="s">
        <v>107</v>
      </c>
      <c r="C63" s="15"/>
      <c r="D63" s="15"/>
      <c r="E63" s="15"/>
      <c r="F63" s="15"/>
      <c r="G63" s="15"/>
      <c r="H63" s="15"/>
      <c r="I63" s="15"/>
      <c r="J63" s="15"/>
      <c r="K63" s="15">
        <f>-207.996+269.495-3.042</f>
        <v>58.456999999999994</v>
      </c>
      <c r="L63" s="15"/>
      <c r="M63" s="15"/>
      <c r="N63" s="15"/>
      <c r="O63" s="15"/>
      <c r="P63" s="15"/>
      <c r="Q63" s="15"/>
      <c r="R63" s="15"/>
    </row>
    <row r="64" spans="2:18" s="2" customFormat="1" x14ac:dyDescent="0.2">
      <c r="B64" s="2" t="s">
        <v>106</v>
      </c>
      <c r="C64" s="15"/>
      <c r="D64" s="15"/>
      <c r="E64" s="15"/>
      <c r="F64" s="15"/>
      <c r="G64" s="15"/>
      <c r="H64" s="15"/>
      <c r="I64" s="15"/>
      <c r="J64" s="15"/>
      <c r="K64" s="15">
        <v>-64.203999999999994</v>
      </c>
      <c r="L64" s="15"/>
      <c r="M64" s="15"/>
      <c r="N64" s="15"/>
      <c r="O64" s="15"/>
      <c r="P64" s="15"/>
      <c r="Q64" s="15"/>
      <c r="R64" s="15"/>
    </row>
    <row r="65" spans="2:18" s="2" customFormat="1" x14ac:dyDescent="0.2">
      <c r="B65" s="2" t="s">
        <v>99</v>
      </c>
      <c r="C65" s="15"/>
      <c r="D65" s="15"/>
      <c r="E65" s="15"/>
      <c r="F65" s="15"/>
      <c r="G65" s="15"/>
      <c r="H65" s="15"/>
      <c r="I65" s="15"/>
      <c r="J65" s="15"/>
      <c r="K65" s="15">
        <v>8.2000000000000003E-2</v>
      </c>
      <c r="L65" s="15"/>
      <c r="M65" s="15"/>
      <c r="N65" s="15"/>
      <c r="O65" s="15"/>
      <c r="P65" s="15"/>
      <c r="Q65" s="15"/>
      <c r="R65" s="15"/>
    </row>
    <row r="66" spans="2:18" s="2" customFormat="1" x14ac:dyDescent="0.2">
      <c r="B66" s="2" t="s">
        <v>105</v>
      </c>
      <c r="C66" s="15"/>
      <c r="D66" s="15"/>
      <c r="E66" s="15"/>
      <c r="F66" s="15"/>
      <c r="G66" s="15"/>
      <c r="H66" s="15"/>
      <c r="I66" s="15"/>
      <c r="J66" s="15"/>
      <c r="K66" s="15">
        <f>SUM(K63:K65)</f>
        <v>-5.665</v>
      </c>
      <c r="L66" s="15"/>
      <c r="M66" s="15"/>
      <c r="N66" s="15"/>
      <c r="O66" s="15"/>
      <c r="P66" s="15"/>
      <c r="Q66" s="15"/>
      <c r="R66" s="15"/>
    </row>
    <row r="68" spans="2:18" s="2" customFormat="1" x14ac:dyDescent="0.2">
      <c r="B68" s="2" t="s">
        <v>109</v>
      </c>
      <c r="C68" s="15"/>
      <c r="D68" s="15"/>
      <c r="E68" s="15"/>
      <c r="F68" s="15"/>
      <c r="G68" s="15"/>
      <c r="H68" s="15"/>
      <c r="I68" s="15"/>
      <c r="J68" s="15"/>
      <c r="K68" s="15">
        <v>-175</v>
      </c>
      <c r="L68" s="15"/>
      <c r="M68" s="15"/>
      <c r="N68" s="15"/>
      <c r="O68" s="15"/>
      <c r="P68" s="15"/>
      <c r="Q68" s="15"/>
      <c r="R68" s="15"/>
    </row>
    <row r="69" spans="2:18" s="2" customFormat="1" x14ac:dyDescent="0.2">
      <c r="B69" s="2" t="s">
        <v>102</v>
      </c>
      <c r="C69" s="15"/>
      <c r="D69" s="15"/>
      <c r="E69" s="15"/>
      <c r="F69" s="15"/>
      <c r="G69" s="15"/>
      <c r="H69" s="15"/>
      <c r="I69" s="15"/>
      <c r="J69" s="15"/>
      <c r="K69" s="15">
        <f>5.917+3.433</f>
        <v>9.35</v>
      </c>
      <c r="L69" s="15"/>
      <c r="M69" s="15"/>
      <c r="N69" s="15"/>
      <c r="O69" s="15"/>
      <c r="P69" s="15"/>
      <c r="Q69" s="15"/>
      <c r="R69" s="15"/>
    </row>
    <row r="70" spans="2:18" s="2" customFormat="1" x14ac:dyDescent="0.2">
      <c r="B70" s="2" t="s">
        <v>110</v>
      </c>
      <c r="C70" s="15"/>
      <c r="D70" s="15"/>
      <c r="E70" s="15"/>
      <c r="F70" s="15"/>
      <c r="G70" s="15"/>
      <c r="H70" s="15"/>
      <c r="I70" s="15"/>
      <c r="J70" s="15"/>
      <c r="K70" s="15">
        <v>-296.51499999999999</v>
      </c>
      <c r="L70" s="15"/>
      <c r="M70" s="15"/>
      <c r="N70" s="15"/>
      <c r="O70" s="15"/>
      <c r="P70" s="15"/>
      <c r="Q70" s="15"/>
      <c r="R70" s="15"/>
    </row>
    <row r="71" spans="2:18" s="2" customFormat="1" x14ac:dyDescent="0.2">
      <c r="B71" s="2" t="s">
        <v>99</v>
      </c>
      <c r="C71" s="15"/>
      <c r="D71" s="15"/>
      <c r="E71" s="15"/>
      <c r="F71" s="15"/>
      <c r="G71" s="15"/>
      <c r="H71" s="15"/>
      <c r="I71" s="15"/>
      <c r="J71" s="15"/>
      <c r="K71" s="15">
        <v>-4.0919999999999996</v>
      </c>
      <c r="L71" s="15"/>
      <c r="M71" s="15"/>
      <c r="N71" s="15"/>
      <c r="O71" s="15"/>
      <c r="P71" s="15"/>
      <c r="Q71" s="15"/>
      <c r="R71" s="15"/>
    </row>
    <row r="72" spans="2:18" s="2" customFormat="1" x14ac:dyDescent="0.2">
      <c r="B72" s="2" t="s">
        <v>108</v>
      </c>
      <c r="C72" s="15"/>
      <c r="D72" s="15"/>
      <c r="E72" s="15"/>
      <c r="F72" s="15"/>
      <c r="G72" s="15"/>
      <c r="H72" s="15"/>
      <c r="I72" s="15"/>
      <c r="J72" s="15"/>
      <c r="K72" s="15">
        <f>SUM(K68:K71)</f>
        <v>-466.25699999999995</v>
      </c>
      <c r="L72" s="15"/>
      <c r="M72" s="15"/>
      <c r="N72" s="15"/>
      <c r="O72" s="15"/>
      <c r="P72" s="15"/>
      <c r="Q72" s="15"/>
      <c r="R72" s="15"/>
    </row>
    <row r="73" spans="2:18" x14ac:dyDescent="0.2">
      <c r="B73" s="2" t="s">
        <v>101</v>
      </c>
      <c r="K73" s="15">
        <v>4.0250000000000004</v>
      </c>
    </row>
    <row r="74" spans="2:18" s="22" customFormat="1" x14ac:dyDescent="0.2">
      <c r="B74" s="16" t="s">
        <v>111</v>
      </c>
      <c r="C74" s="23"/>
      <c r="D74" s="23"/>
      <c r="E74" s="23"/>
      <c r="F74" s="23"/>
      <c r="G74" s="23"/>
      <c r="H74" s="23"/>
      <c r="I74" s="23"/>
      <c r="J74" s="23"/>
      <c r="K74" s="17">
        <f>+K73+K72+K66+K61</f>
        <v>-299.91300000000007</v>
      </c>
      <c r="L74" s="23"/>
      <c r="M74" s="23"/>
      <c r="N74" s="23"/>
      <c r="O74" s="23"/>
      <c r="P74" s="23"/>
      <c r="Q74" s="23"/>
      <c r="R74" s="23"/>
    </row>
  </sheetData>
  <hyperlinks>
    <hyperlink ref="A1" location="Main!A1" display="Main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2016-05-26T13:51:12Z</dcterms:created>
  <dcterms:modified xsi:type="dcterms:W3CDTF">2016-10-01T02:25:08Z</dcterms:modified>
</cp:coreProperties>
</file>