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7" i="2" l="1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B4" i="2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A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B5" i="2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A5" i="2"/>
  <c r="AB6" i="2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A6" i="2"/>
  <c r="AC7" i="2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B7" i="2"/>
  <c r="AA7" i="2"/>
  <c r="AI8" i="2"/>
  <c r="AJ8" i="2" s="1"/>
  <c r="AK8" i="2" s="1"/>
  <c r="AL8" i="2" s="1"/>
  <c r="AM8" i="2" s="1"/>
  <c r="AN8" i="2" s="1"/>
  <c r="AH8" i="2"/>
  <c r="AG8" i="2"/>
  <c r="AB8" i="2"/>
  <c r="AC8" i="2" s="1"/>
  <c r="AD8" i="2" s="1"/>
  <c r="AE8" i="2" s="1"/>
  <c r="AF8" i="2" s="1"/>
  <c r="AA8" i="2"/>
  <c r="Z9" i="2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B10" i="2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A10" i="2"/>
  <c r="AN11" i="2"/>
  <c r="AK11" i="2"/>
  <c r="AL11" i="2" s="1"/>
  <c r="AM11" i="2" s="1"/>
  <c r="AD11" i="2"/>
  <c r="AE11" i="2" s="1"/>
  <c r="AF11" i="2" s="1"/>
  <c r="AG11" i="2" s="1"/>
  <c r="AH11" i="2" s="1"/>
  <c r="AI11" i="2" s="1"/>
  <c r="AJ11" i="2" s="1"/>
  <c r="AC11" i="2"/>
  <c r="AB11" i="2"/>
  <c r="AA11" i="2"/>
  <c r="AB12" i="2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A12" i="2"/>
  <c r="AB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A13" i="2"/>
  <c r="AB14" i="2"/>
  <c r="AA14" i="2"/>
  <c r="AB18" i="2"/>
  <c r="AA18" i="2"/>
  <c r="AB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A16" i="2"/>
  <c r="AK15" i="2"/>
  <c r="AL15" i="2" s="1"/>
  <c r="AM15" i="2" s="1"/>
  <c r="AN15" i="2" s="1"/>
  <c r="AJ15" i="2"/>
  <c r="AG15" i="2"/>
  <c r="AH15" i="2" s="1"/>
  <c r="AI15" i="2" s="1"/>
  <c r="AF15" i="2"/>
  <c r="AE15" i="2"/>
  <c r="AD15" i="2"/>
  <c r="AC15" i="2"/>
  <c r="AB15" i="2"/>
  <c r="AA15" i="2"/>
  <c r="Y30" i="2"/>
  <c r="X30" i="2"/>
  <c r="W30" i="2"/>
  <c r="Z31" i="2"/>
  <c r="Y31" i="2"/>
  <c r="X31" i="2"/>
  <c r="W31" i="2"/>
  <c r="Y29" i="2"/>
  <c r="X29" i="2"/>
  <c r="W29" i="2"/>
  <c r="Z28" i="2"/>
  <c r="Y28" i="2"/>
  <c r="X28" i="2"/>
  <c r="W28" i="2"/>
  <c r="Y27" i="2"/>
  <c r="X27" i="2"/>
  <c r="W27" i="2"/>
  <c r="Z26" i="2"/>
  <c r="Y26" i="2"/>
  <c r="X26" i="2"/>
  <c r="W26" i="2"/>
  <c r="Z24" i="2"/>
  <c r="Y25" i="2"/>
  <c r="Y24" i="2"/>
  <c r="X24" i="2"/>
  <c r="X25" i="2" s="1"/>
  <c r="W25" i="2"/>
  <c r="W24" i="2"/>
  <c r="Z23" i="2"/>
  <c r="Y23" i="2"/>
  <c r="X23" i="2"/>
  <c r="W23" i="2"/>
  <c r="Z22" i="2"/>
  <c r="Y22" i="2"/>
  <c r="X22" i="2"/>
  <c r="W22" i="2"/>
  <c r="Y21" i="2"/>
  <c r="X21" i="2"/>
  <c r="W21" i="2"/>
  <c r="Z20" i="2"/>
  <c r="Y20" i="2"/>
  <c r="X20" i="2"/>
  <c r="W20" i="2"/>
  <c r="W18" i="2"/>
  <c r="R5" i="2"/>
  <c r="Q5" i="2"/>
  <c r="P5" i="2"/>
  <c r="Q15" i="2"/>
  <c r="R15" i="2" s="1"/>
  <c r="Z15" i="2" s="1"/>
  <c r="P15" i="2"/>
  <c r="R3" i="2"/>
  <c r="Q3" i="2"/>
  <c r="P3" i="2"/>
  <c r="Z3" i="2" s="1"/>
  <c r="R4" i="2"/>
  <c r="Q4" i="2"/>
  <c r="P4" i="2"/>
  <c r="P39" i="2" s="1"/>
  <c r="R6" i="2"/>
  <c r="Q6" i="2"/>
  <c r="P6" i="2"/>
  <c r="R7" i="2"/>
  <c r="Q7" i="2"/>
  <c r="P7" i="2"/>
  <c r="R8" i="2"/>
  <c r="Q8" i="2"/>
  <c r="P8" i="2"/>
  <c r="Z8" i="2" s="1"/>
  <c r="P9" i="2"/>
  <c r="R9" i="2"/>
  <c r="Q9" i="2"/>
  <c r="R10" i="2"/>
  <c r="Q10" i="2"/>
  <c r="P10" i="2"/>
  <c r="Z10" i="2" s="1"/>
  <c r="R13" i="2"/>
  <c r="Q13" i="2"/>
  <c r="R12" i="2"/>
  <c r="Q12" i="2"/>
  <c r="P12" i="2"/>
  <c r="R11" i="2"/>
  <c r="Q11" i="2"/>
  <c r="P11" i="2"/>
  <c r="Z12" i="2"/>
  <c r="P13" i="2"/>
  <c r="P14" i="2"/>
  <c r="Q14" i="2" s="1"/>
  <c r="R16" i="2"/>
  <c r="Q16" i="2"/>
  <c r="P16" i="2"/>
  <c r="O17" i="2"/>
  <c r="N17" i="2"/>
  <c r="R18" i="2"/>
  <c r="Q18" i="2"/>
  <c r="P18" i="2"/>
  <c r="R23" i="2"/>
  <c r="Q23" i="2"/>
  <c r="R22" i="2"/>
  <c r="Q22" i="2"/>
  <c r="P22" i="2"/>
  <c r="P23" i="2"/>
  <c r="R24" i="2"/>
  <c r="Q24" i="2"/>
  <c r="P24" i="2"/>
  <c r="Q31" i="2"/>
  <c r="R31" i="2" s="1"/>
  <c r="P31" i="2"/>
  <c r="R41" i="2"/>
  <c r="Q41" i="2"/>
  <c r="R40" i="2"/>
  <c r="Q40" i="2"/>
  <c r="P40" i="2"/>
  <c r="R39" i="2"/>
  <c r="Q39" i="2"/>
  <c r="R38" i="2"/>
  <c r="Q38" i="2"/>
  <c r="N37" i="2"/>
  <c r="M37" i="2"/>
  <c r="L37" i="2"/>
  <c r="K37" i="2"/>
  <c r="J37" i="2"/>
  <c r="I37" i="2"/>
  <c r="H37" i="2"/>
  <c r="G37" i="2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O39" i="2"/>
  <c r="N39" i="2"/>
  <c r="M39" i="2"/>
  <c r="L39" i="2"/>
  <c r="K39" i="2"/>
  <c r="J39" i="2"/>
  <c r="I39" i="2"/>
  <c r="H39" i="2"/>
  <c r="G39" i="2"/>
  <c r="O38" i="2"/>
  <c r="N38" i="2"/>
  <c r="M38" i="2"/>
  <c r="L38" i="2"/>
  <c r="K38" i="2"/>
  <c r="J38" i="2"/>
  <c r="I38" i="2"/>
  <c r="H38" i="2"/>
  <c r="G38" i="2"/>
  <c r="E26" i="2"/>
  <c r="E23" i="2"/>
  <c r="E24" i="2" s="1"/>
  <c r="H26" i="2"/>
  <c r="H23" i="2"/>
  <c r="H24" i="2" s="1"/>
  <c r="L26" i="2"/>
  <c r="L23" i="2"/>
  <c r="L24" i="2" s="1"/>
  <c r="M26" i="2"/>
  <c r="M23" i="2"/>
  <c r="M24" i="2"/>
  <c r="M21" i="2"/>
  <c r="M35" i="2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17" i="2" s="1"/>
  <c r="C26" i="2"/>
  <c r="C23" i="2"/>
  <c r="C24" i="2"/>
  <c r="C17" i="2"/>
  <c r="C19" i="2" s="1"/>
  <c r="C21" i="2" s="1"/>
  <c r="C35" i="2" s="1"/>
  <c r="D26" i="2"/>
  <c r="D23" i="2"/>
  <c r="D24" i="2" s="1"/>
  <c r="D19" i="2"/>
  <c r="D17" i="2"/>
  <c r="E17" i="2"/>
  <c r="E19" i="2" s="1"/>
  <c r="F26" i="2"/>
  <c r="F23" i="2"/>
  <c r="F24" i="2"/>
  <c r="F17" i="2"/>
  <c r="F19" i="2" s="1"/>
  <c r="G26" i="2"/>
  <c r="G23" i="2"/>
  <c r="G24" i="2" s="1"/>
  <c r="G17" i="2"/>
  <c r="G19" i="2" s="1"/>
  <c r="X18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8" i="2"/>
  <c r="Y16" i="2"/>
  <c r="Y15" i="2"/>
  <c r="Y14" i="2"/>
  <c r="Y13" i="2"/>
  <c r="Y12" i="2"/>
  <c r="Y17" i="2" s="1"/>
  <c r="Y11" i="2"/>
  <c r="Y10" i="2"/>
  <c r="Y9" i="2"/>
  <c r="Y8" i="2"/>
  <c r="Y7" i="2"/>
  <c r="Y6" i="2"/>
  <c r="Y5" i="2"/>
  <c r="Y4" i="2"/>
  <c r="Y3" i="2"/>
  <c r="V19" i="2"/>
  <c r="U19" i="2"/>
  <c r="T19" i="2"/>
  <c r="Z18" i="2"/>
  <c r="Z16" i="2"/>
  <c r="Z13" i="2"/>
  <c r="Z7" i="2"/>
  <c r="Z5" i="2"/>
  <c r="H17" i="2"/>
  <c r="H19" i="2" s="1"/>
  <c r="H21" i="2" s="1"/>
  <c r="H35" i="2" s="1"/>
  <c r="L17" i="2"/>
  <c r="L19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I26" i="2"/>
  <c r="I23" i="2"/>
  <c r="I24" i="2" s="1"/>
  <c r="I17" i="2"/>
  <c r="I19" i="2" s="1"/>
  <c r="I21" i="2" s="1"/>
  <c r="I35" i="2" s="1"/>
  <c r="M17" i="2"/>
  <c r="M19" i="2" s="1"/>
  <c r="J26" i="2"/>
  <c r="J23" i="2"/>
  <c r="J24" i="2" s="1"/>
  <c r="N23" i="2"/>
  <c r="N26" i="2"/>
  <c r="N24" i="2"/>
  <c r="J19" i="2"/>
  <c r="J21" i="2" s="1"/>
  <c r="J35" i="2" s="1"/>
  <c r="N19" i="2"/>
  <c r="J17" i="2"/>
  <c r="AA17" i="2" l="1"/>
  <c r="AA19" i="2" s="1"/>
  <c r="AB17" i="2"/>
  <c r="AB19" i="2" s="1"/>
  <c r="AC14" i="2"/>
  <c r="AC18" i="2"/>
  <c r="P38" i="2"/>
  <c r="Z4" i="2"/>
  <c r="Z6" i="2"/>
  <c r="P41" i="2"/>
  <c r="P17" i="2"/>
  <c r="P19" i="2" s="1"/>
  <c r="Z11" i="2"/>
  <c r="R14" i="2"/>
  <c r="R17" i="2" s="1"/>
  <c r="R19" i="2" s="1"/>
  <c r="R34" i="2" s="1"/>
  <c r="Z14" i="2"/>
  <c r="Q17" i="2"/>
  <c r="Q19" i="2" s="1"/>
  <c r="Q37" i="2" s="1"/>
  <c r="Z17" i="2"/>
  <c r="Z19" i="2" s="1"/>
  <c r="Z21" i="2" s="1"/>
  <c r="Z25" i="2" s="1"/>
  <c r="Z27" i="2" s="1"/>
  <c r="Z29" i="2" s="1"/>
  <c r="Z30" i="2" s="1"/>
  <c r="P20" i="2"/>
  <c r="P21" i="2" s="1"/>
  <c r="P35" i="2" s="1"/>
  <c r="P37" i="2"/>
  <c r="P34" i="2"/>
  <c r="R37" i="2"/>
  <c r="Y19" i="2"/>
  <c r="L34" i="2"/>
  <c r="L21" i="2"/>
  <c r="G34" i="2"/>
  <c r="J34" i="2"/>
  <c r="F21" i="2"/>
  <c r="F35" i="2" s="1"/>
  <c r="I34" i="2"/>
  <c r="E21" i="2"/>
  <c r="H34" i="2"/>
  <c r="E25" i="2"/>
  <c r="E27" i="2" s="1"/>
  <c r="E29" i="2" s="1"/>
  <c r="E30" i="2" s="1"/>
  <c r="W19" i="2"/>
  <c r="E35" i="2"/>
  <c r="H25" i="2"/>
  <c r="H27" i="2" s="1"/>
  <c r="H29" i="2" s="1"/>
  <c r="H30" i="2" s="1"/>
  <c r="L25" i="2"/>
  <c r="L27" i="2" s="1"/>
  <c r="L29" i="2" s="1"/>
  <c r="L30" i="2" s="1"/>
  <c r="L35" i="2"/>
  <c r="M25" i="2"/>
  <c r="M27" i="2" s="1"/>
  <c r="M29" i="2" s="1"/>
  <c r="M30" i="2" s="1"/>
  <c r="C25" i="2"/>
  <c r="C27" i="2" s="1"/>
  <c r="C29" i="2" s="1"/>
  <c r="C30" i="2" s="1"/>
  <c r="D21" i="2"/>
  <c r="D35" i="2" s="1"/>
  <c r="G21" i="2"/>
  <c r="G35" i="2" s="1"/>
  <c r="X17" i="2"/>
  <c r="X19" i="2" s="1"/>
  <c r="M34" i="2"/>
  <c r="I25" i="2"/>
  <c r="I27" i="2" s="1"/>
  <c r="I29" i="2" s="1"/>
  <c r="I30" i="2" s="1"/>
  <c r="N34" i="2"/>
  <c r="N21" i="2"/>
  <c r="N35" i="2" s="1"/>
  <c r="J25" i="2"/>
  <c r="J27" i="2" s="1"/>
  <c r="J29" i="2" s="1"/>
  <c r="J30" i="2" s="1"/>
  <c r="L6" i="1"/>
  <c r="L5" i="1"/>
  <c r="L4" i="1"/>
  <c r="L7" i="1" s="1"/>
  <c r="K26" i="2"/>
  <c r="K23" i="2"/>
  <c r="K24" i="2" s="1"/>
  <c r="O26" i="2"/>
  <c r="O23" i="2"/>
  <c r="O24" i="2" s="1"/>
  <c r="K17" i="2"/>
  <c r="K19" i="2" s="1"/>
  <c r="K21" i="2" s="1"/>
  <c r="O19" i="2"/>
  <c r="O37" i="2" s="1"/>
  <c r="AC17" i="2" l="1"/>
  <c r="AC19" i="2" s="1"/>
  <c r="AD14" i="2"/>
  <c r="AD18" i="2"/>
  <c r="P25" i="2"/>
  <c r="P27" i="2" s="1"/>
  <c r="P28" i="2" s="1"/>
  <c r="Q34" i="2"/>
  <c r="Q20" i="2"/>
  <c r="Q21" i="2" s="1"/>
  <c r="Q35" i="2" s="1"/>
  <c r="R20" i="2"/>
  <c r="R21" i="2" s="1"/>
  <c r="K35" i="2"/>
  <c r="K25" i="2"/>
  <c r="G25" i="2"/>
  <c r="G27" i="2" s="1"/>
  <c r="G29" i="2" s="1"/>
  <c r="G30" i="2" s="1"/>
  <c r="N25" i="2"/>
  <c r="N27" i="2" s="1"/>
  <c r="N29" i="2" s="1"/>
  <c r="N30" i="2" s="1"/>
  <c r="K34" i="2"/>
  <c r="F25" i="2"/>
  <c r="F27" i="2" s="1"/>
  <c r="F29" i="2" s="1"/>
  <c r="F30" i="2" s="1"/>
  <c r="D25" i="2"/>
  <c r="D27" i="2" s="1"/>
  <c r="D29" i="2" s="1"/>
  <c r="D30" i="2" s="1"/>
  <c r="O34" i="2"/>
  <c r="O21" i="2"/>
  <c r="K27" i="2"/>
  <c r="K29" i="2" s="1"/>
  <c r="K30" i="2" s="1"/>
  <c r="AD17" i="2" l="1"/>
  <c r="AD19" i="2" s="1"/>
  <c r="AE14" i="2"/>
  <c r="AE18" i="2"/>
  <c r="P29" i="2"/>
  <c r="P30" i="2" s="1"/>
  <c r="Q25" i="2"/>
  <c r="Q27" i="2" s="1"/>
  <c r="Q28" i="2" s="1"/>
  <c r="Q29" i="2" s="1"/>
  <c r="Q30" i="2" s="1"/>
  <c r="R35" i="2"/>
  <c r="R25" i="2"/>
  <c r="R27" i="2" s="1"/>
  <c r="R28" i="2" s="1"/>
  <c r="R29" i="2" s="1"/>
  <c r="R30" i="2" s="1"/>
  <c r="O35" i="2"/>
  <c r="O25" i="2"/>
  <c r="O27" i="2" s="1"/>
  <c r="O29" i="2" s="1"/>
  <c r="O30" i="2" s="1"/>
  <c r="AF14" i="2" l="1"/>
  <c r="AE17" i="2"/>
  <c r="AE19" i="2" s="1"/>
  <c r="AF18" i="2"/>
  <c r="AF17" i="2" l="1"/>
  <c r="AF19" i="2" s="1"/>
  <c r="AG14" i="2"/>
  <c r="AG18" i="2"/>
  <c r="AH14" i="2" l="1"/>
  <c r="AG17" i="2"/>
  <c r="AG19" i="2" s="1"/>
  <c r="AH18" i="2"/>
  <c r="AI14" i="2" l="1"/>
  <c r="AH17" i="2"/>
  <c r="AH19" i="2" s="1"/>
  <c r="AI18" i="2"/>
  <c r="AJ14" i="2" l="1"/>
  <c r="AI17" i="2"/>
  <c r="AI19" i="2" s="1"/>
  <c r="AJ18" i="2"/>
  <c r="AK14" i="2" l="1"/>
  <c r="AJ17" i="2"/>
  <c r="AJ19" i="2" s="1"/>
  <c r="AK18" i="2"/>
  <c r="AK17" i="2" l="1"/>
  <c r="AK19" i="2" s="1"/>
  <c r="AL14" i="2"/>
  <c r="AL18" i="2"/>
  <c r="AL17" i="2" l="1"/>
  <c r="AL19" i="2" s="1"/>
  <c r="AM14" i="2"/>
  <c r="AM18" i="2"/>
  <c r="AN14" i="2" l="1"/>
  <c r="AN17" i="2" s="1"/>
  <c r="AM17" i="2"/>
  <c r="AM19" i="2" s="1"/>
  <c r="AN18" i="2"/>
  <c r="AN19" i="2" l="1"/>
</calcChain>
</file>

<file path=xl/sharedStrings.xml><?xml version="1.0" encoding="utf-8"?>
<sst xmlns="http://schemas.openxmlformats.org/spreadsheetml/2006/main" count="78" uniqueCount="60">
  <si>
    <t>Price</t>
  </si>
  <si>
    <t>Shares</t>
  </si>
  <si>
    <t>MC</t>
  </si>
  <si>
    <t>Cash</t>
  </si>
  <si>
    <t>Debt</t>
  </si>
  <si>
    <t>EV</t>
  </si>
  <si>
    <t>Brand</t>
  </si>
  <si>
    <t>Enbrel</t>
  </si>
  <si>
    <t>Neulasta</t>
  </si>
  <si>
    <t>Aranesp</t>
  </si>
  <si>
    <t>Xgeva</t>
  </si>
  <si>
    <t>Sensipar</t>
  </si>
  <si>
    <t>Prolia</t>
  </si>
  <si>
    <t>Epogen</t>
  </si>
  <si>
    <t>Kyprolis</t>
  </si>
  <si>
    <t>Neupogen</t>
  </si>
  <si>
    <t>Vectibix</t>
  </si>
  <si>
    <t>Nplate</t>
  </si>
  <si>
    <t>Blincyto</t>
  </si>
  <si>
    <t>Repatha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</si>
  <si>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</si>
  <si>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</si>
  <si>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</si>
  <si>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</si>
  <si>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</si>
  <si>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</si>
  <si>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</si>
  <si>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</si>
  <si>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</si>
  <si>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</si>
  <si>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</si>
  <si>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</si>
  <si>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</si>
  <si>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Other</t>
  </si>
  <si>
    <t>Products</t>
  </si>
  <si>
    <t>Revenue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</si>
  <si>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</si>
  <si>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</si>
  <si>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</si>
  <si>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</si>
  <si>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</si>
  <si>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</si>
  <si>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</si>
  <si>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</si>
  <si>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</si>
  <si>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Gross Profit</t>
  </si>
  <si>
    <t>COGS</t>
  </si>
  <si>
    <t>Gross Margin</t>
  </si>
  <si>
    <t>Revenue Growth</t>
  </si>
  <si>
    <t>Generic</t>
  </si>
  <si>
    <t>etanercept</t>
  </si>
  <si>
    <t>Q113</t>
  </si>
  <si>
    <t>Q213</t>
  </si>
  <si>
    <t>Q313</t>
  </si>
  <si>
    <t>Q413</t>
  </si>
  <si>
    <t>Enbrel Y/Y</t>
  </si>
  <si>
    <t>Neulasta Y/Y</t>
  </si>
  <si>
    <t>Aranesp Y/Y</t>
  </si>
  <si>
    <t>Xgeva Y/Y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</si>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</sst>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19050</xdr:rowOff>
    </xdr:from>
    <xdr:to>
      <xdr:col>15</xdr:col>
      <xdr:colOff>47625</xdr:colOff>
      <xdr:row>52</xdr:row>
      <xdr:rowOff>47625</xdr:rowOff>
    </xdr:to>
    <xdr:cxnSp macro="">
      <xdr:nvCxnSpPr>
        <xdr:cNvPr id="3" name="Straight Connector 2"/>
        <xdr:cNvCxnSpPr/>
      </xdr:nvCxnSpPr>
      <xdr:spPr>
        <a:xfrm>
          <a:off x="6638925" y="1905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0</xdr:row>
      <xdr:rowOff>0</xdr:rowOff>
    </xdr:from>
    <xdr:to>
      <xdr:col>25</xdr:col>
      <xdr:colOff>66675</xdr:colOff>
      <xdr:row>52</xdr:row>
      <xdr:rowOff>28575</xdr:rowOff>
    </xdr:to>
    <xdr:cxnSp macro="">
      <xdr:nvCxnSpPr>
        <xdr:cNvPr id="4" name="Straight Connector 3"/>
        <xdr:cNvCxnSpPr/>
      </xdr:nvCxnSpPr>
      <xdr:spPr>
        <a:xfrm>
          <a:off x="13192125" y="0"/>
          <a:ext cx="0" cy="844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>
      <selection activeCell="L5" sqref="L5"/>
    </sheetView>
  </sheetViews>
  <sheetFormatPr defaultRowHeight="12.75" x14ac:dyDescent="0.2"/>
  <sheetData>
    <row r="2" spans="2:13" x14ac:dyDescent="0.2">
      <c r="B2" s="8" t="s">
        <v>6</v>
      </c>
      <c r="C2" s="9" t="s">
        <v>49</v>
      </c>
      <c r="D2" s="9"/>
      <c r="E2" s="9"/>
      <c r="F2" s="9"/>
      <c r="G2" s="9"/>
      <c r="H2" s="9"/>
      <c r="I2" s="10"/>
      <c r="K2" t="s">
        <v>0</v>
      </c>
      <c r="L2" s="1">
        <v>154.28</v>
      </c>
    </row>
    <row r="3" spans="2:13" x14ac:dyDescent="0.2">
      <c r="B3" s="2" t="s">
        <v>7</v>
      </c>
      <c r="C3" s="3" t="s">
        <v>50</v>
      </c>
      <c r="D3" s="3"/>
      <c r="E3" s="3"/>
      <c r="F3" s="3"/>
      <c r="G3" s="3"/>
      <c r="H3" s="3"/>
      <c r="I3" s="4"/>
      <c r="K3" t="s">
        <v>1</v>
      </c>
      <c r="L3" s="13">
        <v>751.21707800000001</v>
      </c>
      <c r="M3" s="11" t="s">
        <v>29</v>
      </c>
    </row>
    <row r="4" spans="2:13" x14ac:dyDescent="0.2">
      <c r="B4" s="2" t="s">
        <v>8</v>
      </c>
      <c r="C4" s="3"/>
      <c r="D4" s="3"/>
      <c r="E4" s="3"/>
      <c r="F4" s="3"/>
      <c r="G4" s="3"/>
      <c r="H4" s="3"/>
      <c r="I4" s="4"/>
      <c r="K4" t="s">
        <v>2</v>
      </c>
      <c r="L4" s="13">
        <f>+L3*L2</f>
        <v>115897.77079384</v>
      </c>
      <c r="M4" s="11"/>
    </row>
    <row r="5" spans="2:13" x14ac:dyDescent="0.2">
      <c r="B5" s="2" t="s">
        <v>9</v>
      </c>
      <c r="C5" s="3"/>
      <c r="D5" s="3"/>
      <c r="E5" s="3"/>
      <c r="F5" s="3"/>
      <c r="G5" s="3"/>
      <c r="H5" s="3"/>
      <c r="I5" s="4"/>
      <c r="K5" t="s">
        <v>3</v>
      </c>
      <c r="L5" s="13">
        <f>4144+27238</f>
        <v>31382</v>
      </c>
      <c r="M5" s="11" t="s">
        <v>28</v>
      </c>
    </row>
    <row r="6" spans="2:13" x14ac:dyDescent="0.2">
      <c r="B6" s="2" t="s">
        <v>10</v>
      </c>
      <c r="C6" s="3"/>
      <c r="D6" s="3"/>
      <c r="E6" s="3"/>
      <c r="F6" s="3"/>
      <c r="G6" s="3"/>
      <c r="H6" s="3"/>
      <c r="I6" s="4"/>
      <c r="K6" t="s">
        <v>4</v>
      </c>
      <c r="L6" s="13">
        <f>2250+29306</f>
        <v>31556</v>
      </c>
      <c r="M6" s="11" t="s">
        <v>28</v>
      </c>
    </row>
    <row r="7" spans="2:13" x14ac:dyDescent="0.2">
      <c r="B7" s="2" t="s">
        <v>11</v>
      </c>
      <c r="C7" s="3"/>
      <c r="D7" s="3"/>
      <c r="E7" s="3"/>
      <c r="F7" s="3"/>
      <c r="G7" s="3"/>
      <c r="H7" s="3"/>
      <c r="I7" s="4"/>
      <c r="K7" t="s">
        <v>5</v>
      </c>
      <c r="L7" s="13">
        <f>+L4-L5+L6</f>
        <v>116071.77079384</v>
      </c>
    </row>
    <row r="8" spans="2:13" x14ac:dyDescent="0.2">
      <c r="B8" s="2" t="s">
        <v>12</v>
      </c>
      <c r="C8" s="3"/>
      <c r="D8" s="3"/>
      <c r="E8" s="3"/>
      <c r="F8" s="3"/>
      <c r="G8" s="3"/>
      <c r="H8" s="3"/>
      <c r="I8" s="4"/>
    </row>
    <row r="9" spans="2:13" x14ac:dyDescent="0.2">
      <c r="B9" s="2" t="s">
        <v>13</v>
      </c>
      <c r="C9" s="3"/>
      <c r="D9" s="3"/>
      <c r="E9" s="3"/>
      <c r="F9" s="3"/>
      <c r="G9" s="3"/>
      <c r="H9" s="3"/>
      <c r="I9" s="4"/>
    </row>
    <row r="10" spans="2:13" x14ac:dyDescent="0.2">
      <c r="B10" s="2" t="s">
        <v>14</v>
      </c>
      <c r="C10" s="3"/>
      <c r="D10" s="3"/>
      <c r="E10" s="3"/>
      <c r="F10" s="3"/>
      <c r="G10" s="3"/>
      <c r="H10" s="3"/>
      <c r="I10" s="4"/>
    </row>
    <row r="11" spans="2:13" x14ac:dyDescent="0.2">
      <c r="B11" s="2" t="s">
        <v>15</v>
      </c>
      <c r="C11" s="3"/>
      <c r="D11" s="3"/>
      <c r="E11" s="3"/>
      <c r="F11" s="3"/>
      <c r="G11" s="3"/>
      <c r="H11" s="3"/>
      <c r="I11" s="4"/>
    </row>
    <row r="12" spans="2:13" x14ac:dyDescent="0.2">
      <c r="B12" s="2" t="s">
        <v>16</v>
      </c>
      <c r="C12" s="3"/>
      <c r="D12" s="3"/>
      <c r="E12" s="3"/>
      <c r="F12" s="3"/>
      <c r="G12" s="3"/>
      <c r="H12" s="3"/>
      <c r="I12" s="4"/>
    </row>
    <row r="13" spans="2:13" x14ac:dyDescent="0.2">
      <c r="B13" s="2" t="s">
        <v>17</v>
      </c>
      <c r="C13" s="3"/>
      <c r="D13" s="3"/>
      <c r="E13" s="3"/>
      <c r="F13" s="3"/>
      <c r="G13" s="3"/>
      <c r="H13" s="3"/>
      <c r="I13" s="4"/>
    </row>
    <row r="14" spans="2:13" x14ac:dyDescent="0.2">
      <c r="B14" s="2" t="s">
        <v>18</v>
      </c>
      <c r="C14" s="3"/>
      <c r="D14" s="3"/>
      <c r="E14" s="3"/>
      <c r="F14" s="3"/>
      <c r="G14" s="3"/>
      <c r="H14" s="3"/>
      <c r="I14" s="4"/>
    </row>
    <row r="15" spans="2:13" x14ac:dyDescent="0.2">
      <c r="B15" s="5" t="s">
        <v>19</v>
      </c>
      <c r="C15" s="6"/>
      <c r="D15" s="6"/>
      <c r="E15" s="6"/>
      <c r="F15" s="6"/>
      <c r="G15" s="6"/>
      <c r="H15" s="6"/>
      <c r="I15" s="7"/>
    </row>
    <row r="16" spans="2:13" x14ac:dyDescent="0.2">
      <c r="B16" s="8"/>
      <c r="C16" s="9"/>
      <c r="D16" s="9"/>
      <c r="E16" s="9"/>
      <c r="F16" s="9"/>
      <c r="G16" s="9"/>
      <c r="H16" s="9"/>
      <c r="I16" s="10"/>
    </row>
    <row r="17" spans="2:9" x14ac:dyDescent="0.2">
      <c r="B17" s="2"/>
      <c r="C17" s="3"/>
      <c r="D17" s="3"/>
      <c r="E17" s="3"/>
      <c r="F17" s="3"/>
      <c r="G17" s="3"/>
      <c r="H17" s="3"/>
      <c r="I17" s="4"/>
    </row>
    <row r="18" spans="2:9" x14ac:dyDescent="0.2">
      <c r="B18" s="2"/>
      <c r="C18" s="3"/>
      <c r="D18" s="3"/>
      <c r="E18" s="3"/>
      <c r="F18" s="3"/>
      <c r="G18" s="3"/>
      <c r="H18" s="3"/>
      <c r="I18" s="4"/>
    </row>
    <row r="19" spans="2:9" x14ac:dyDescent="0.2">
      <c r="B19" s="2"/>
      <c r="C19" s="3"/>
      <c r="D19" s="3"/>
      <c r="E19" s="3"/>
      <c r="F19" s="3"/>
      <c r="G19" s="3"/>
      <c r="H19" s="3"/>
      <c r="I19" s="4"/>
    </row>
    <row r="20" spans="2:9" x14ac:dyDescent="0.2">
      <c r="B20" s="2"/>
      <c r="C20" s="3"/>
      <c r="D20" s="3"/>
      <c r="E20" s="3"/>
      <c r="F20" s="3"/>
      <c r="G20" s="3"/>
      <c r="H20" s="3"/>
      <c r="I20" s="4"/>
    </row>
    <row r="21" spans="2:9" x14ac:dyDescent="0.2">
      <c r="B21" s="2"/>
      <c r="C21" s="3"/>
      <c r="D21" s="3"/>
      <c r="E21" s="3"/>
      <c r="F21" s="3"/>
      <c r="G21" s="3"/>
      <c r="H21" s="3"/>
      <c r="I21" s="4"/>
    </row>
    <row r="22" spans="2:9" x14ac:dyDescent="0.2">
      <c r="B22" s="2"/>
      <c r="C22" s="3"/>
      <c r="D22" s="3"/>
      <c r="E22" s="3"/>
      <c r="F22" s="3"/>
      <c r="G22" s="3"/>
      <c r="H22" s="3"/>
      <c r="I22" s="4"/>
    </row>
    <row r="23" spans="2:9" x14ac:dyDescent="0.2">
      <c r="B23" s="2"/>
      <c r="C23" s="3"/>
      <c r="D23" s="3"/>
      <c r="E23" s="3"/>
      <c r="F23" s="3"/>
      <c r="G23" s="3"/>
      <c r="H23" s="3"/>
      <c r="I23" s="4"/>
    </row>
    <row r="24" spans="2:9" x14ac:dyDescent="0.2">
      <c r="B24" s="2"/>
      <c r="C24" s="3"/>
      <c r="D24" s="3"/>
      <c r="E24" s="3"/>
      <c r="F24" s="3"/>
      <c r="G24" s="3"/>
      <c r="H24" s="3"/>
      <c r="I24" s="4"/>
    </row>
    <row r="25" spans="2:9" x14ac:dyDescent="0.2">
      <c r="B25" s="2"/>
      <c r="C25" s="3"/>
      <c r="D25" s="3"/>
      <c r="E25" s="3"/>
      <c r="F25" s="3"/>
      <c r="G25" s="3"/>
      <c r="H25" s="3"/>
      <c r="I25" s="4"/>
    </row>
    <row r="26" spans="2:9" x14ac:dyDescent="0.2">
      <c r="B26" s="2"/>
      <c r="C26" s="3"/>
      <c r="D26" s="3"/>
      <c r="E26" s="3"/>
      <c r="F26" s="3"/>
      <c r="G26" s="3"/>
      <c r="H26" s="3"/>
      <c r="I26" s="4"/>
    </row>
    <row r="27" spans="2:9" x14ac:dyDescent="0.2">
      <c r="B27" s="2"/>
      <c r="C27" s="3"/>
      <c r="D27" s="3"/>
      <c r="E27" s="3"/>
      <c r="F27" s="3"/>
      <c r="G27" s="3"/>
      <c r="H27" s="3"/>
      <c r="I27" s="4"/>
    </row>
    <row r="28" spans="2:9" x14ac:dyDescent="0.2">
      <c r="B28" s="2"/>
      <c r="C28" s="3"/>
      <c r="D28" s="3"/>
      <c r="E28" s="3"/>
      <c r="F28" s="3"/>
      <c r="G28" s="3"/>
      <c r="H28" s="3"/>
      <c r="I28" s="4"/>
    </row>
    <row r="29" spans="2:9" x14ac:dyDescent="0.2">
      <c r="B29" s="2"/>
      <c r="C29" s="3"/>
      <c r="D29" s="3"/>
      <c r="E29" s="3"/>
      <c r="F29" s="3"/>
      <c r="G29" s="3"/>
      <c r="H29" s="3"/>
      <c r="I29" s="4"/>
    </row>
    <row r="30" spans="2:9" x14ac:dyDescent="0.2">
      <c r="B30" s="2"/>
      <c r="C30" s="3"/>
      <c r="D30" s="3"/>
      <c r="E30" s="3"/>
      <c r="F30" s="3"/>
      <c r="G30" s="3"/>
      <c r="H30" s="3"/>
      <c r="I30" s="4"/>
    </row>
    <row r="31" spans="2:9" x14ac:dyDescent="0.2">
      <c r="B31" s="2"/>
      <c r="C31" s="3"/>
      <c r="D31" s="3"/>
      <c r="E31" s="3"/>
      <c r="F31" s="3"/>
      <c r="G31" s="3"/>
      <c r="H31" s="3"/>
      <c r="I31" s="4"/>
    </row>
    <row r="32" spans="2:9" x14ac:dyDescent="0.2">
      <c r="B32" s="2"/>
      <c r="C32" s="3"/>
      <c r="D32" s="3"/>
      <c r="E32" s="3"/>
      <c r="F32" s="3"/>
      <c r="G32" s="3"/>
      <c r="H32" s="3"/>
      <c r="I32" s="4"/>
    </row>
    <row r="33" spans="2:9" x14ac:dyDescent="0.2">
      <c r="B33" s="2"/>
      <c r="C33" s="3"/>
      <c r="D33" s="3"/>
      <c r="E33" s="3"/>
      <c r="F33" s="3"/>
      <c r="G33" s="3"/>
      <c r="H33" s="3"/>
      <c r="I33" s="4"/>
    </row>
    <row r="34" spans="2:9" x14ac:dyDescent="0.2">
      <c r="B34" s="2"/>
      <c r="C34" s="3"/>
      <c r="D34" s="3"/>
      <c r="E34" s="3"/>
      <c r="F34" s="3"/>
      <c r="G34" s="3"/>
      <c r="H34" s="3"/>
      <c r="I34" s="4"/>
    </row>
    <row r="35" spans="2:9" x14ac:dyDescent="0.2">
      <c r="B35" s="2"/>
      <c r="C35" s="3"/>
      <c r="D35" s="3"/>
      <c r="E35" s="3"/>
      <c r="F35" s="3"/>
      <c r="G35" s="3"/>
      <c r="H35" s="3"/>
      <c r="I35" s="4"/>
    </row>
    <row r="36" spans="2:9" x14ac:dyDescent="0.2">
      <c r="B36" s="2"/>
      <c r="C36" s="3"/>
      <c r="D36" s="3"/>
      <c r="E36" s="3"/>
      <c r="F36" s="3"/>
      <c r="G36" s="3"/>
      <c r="H36" s="3"/>
      <c r="I36" s="4"/>
    </row>
    <row r="37" spans="2:9" x14ac:dyDescent="0.2">
      <c r="B37" s="2"/>
      <c r="C37" s="3"/>
      <c r="D37" s="3"/>
      <c r="E37" s="3"/>
      <c r="F37" s="3"/>
      <c r="G37" s="3"/>
      <c r="H37" s="3"/>
      <c r="I37" s="4"/>
    </row>
    <row r="38" spans="2:9" x14ac:dyDescent="0.2">
      <c r="B38" s="5"/>
      <c r="C38" s="6"/>
      <c r="D38" s="6"/>
      <c r="E38" s="6"/>
      <c r="F38" s="6"/>
      <c r="G38" s="6"/>
      <c r="H38" s="6"/>
      <c r="I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11"/>
  </cols>
  <sheetData>
    <row r="1" spans="1:40" x14ac:dyDescent="0.2">
      <c r="A1" s="12" t="s">
        <v>20</v>
      </c>
    </row>
    <row r="2" spans="1:40" x14ac:dyDescent="0.2">
      <c r="C2" s="11" t="s">
        <v>51</v>
      </c>
      <c r="D2" s="11" t="s">
        <v>52</v>
      </c>
      <c r="E2" s="11" t="s">
        <v>53</v>
      </c>
      <c r="F2" s="11" t="s">
        <v>54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R2" s="11" t="s">
        <v>32</v>
      </c>
      <c r="T2">
        <v>2010</v>
      </c>
      <c r="U2">
        <f>+T2+1</f>
        <v>2011</v>
      </c>
      <c r="V2">
        <f t="shared" ref="V2:AN2" si="0">+U2+1</f>
        <v>2012</v>
      </c>
      <c r="W2">
        <f t="shared" si="0"/>
        <v>2013</v>
      </c>
      <c r="X2">
        <f t="shared" si="0"/>
        <v>2014</v>
      </c>
      <c r="Y2">
        <f t="shared" si="0"/>
        <v>2015</v>
      </c>
      <c r="Z2">
        <f t="shared" si="0"/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</row>
    <row r="3" spans="1:40" s="13" customFormat="1" x14ac:dyDescent="0.2">
      <c r="B3" s="13" t="s">
        <v>7</v>
      </c>
      <c r="C3" s="14">
        <v>1039</v>
      </c>
      <c r="D3" s="14">
        <v>1157</v>
      </c>
      <c r="E3" s="14">
        <v>1155</v>
      </c>
      <c r="F3" s="14">
        <v>1200</v>
      </c>
      <c r="G3" s="14">
        <v>988</v>
      </c>
      <c r="H3" s="14">
        <v>1243</v>
      </c>
      <c r="I3" s="14">
        <v>1120</v>
      </c>
      <c r="J3" s="14">
        <v>1337</v>
      </c>
      <c r="K3" s="14">
        <v>1116</v>
      </c>
      <c r="L3" s="14">
        <v>1348</v>
      </c>
      <c r="M3" s="14">
        <v>1459</v>
      </c>
      <c r="N3" s="14">
        <v>1441</v>
      </c>
      <c r="O3" s="14">
        <v>1385</v>
      </c>
      <c r="P3" s="14">
        <f>+L3*1.05</f>
        <v>1415.4</v>
      </c>
      <c r="Q3" s="14">
        <f t="shared" ref="Q3:R3" si="1">+M3*1.05</f>
        <v>1531.95</v>
      </c>
      <c r="R3" s="14">
        <f t="shared" si="1"/>
        <v>1513.05</v>
      </c>
      <c r="W3" s="13">
        <f>SUM(C3:F3)</f>
        <v>4551</v>
      </c>
      <c r="X3" s="13">
        <f>SUM(G3:J3)</f>
        <v>4688</v>
      </c>
      <c r="Y3" s="13">
        <f>SUM(K3:N3)</f>
        <v>5364</v>
      </c>
      <c r="Z3" s="13">
        <f>SUM(O3:R3)</f>
        <v>5845.4000000000005</v>
      </c>
      <c r="AA3" s="13">
        <f t="shared" ref="AA3:AN3" si="2">+Z3*0.95</f>
        <v>5553.13</v>
      </c>
      <c r="AB3" s="13">
        <f t="shared" si="2"/>
        <v>5275.4735000000001</v>
      </c>
      <c r="AC3" s="13">
        <f t="shared" si="2"/>
        <v>5011.6998249999997</v>
      </c>
      <c r="AD3" s="13">
        <f t="shared" si="2"/>
        <v>4761.1148337499999</v>
      </c>
      <c r="AE3" s="13">
        <f t="shared" si="2"/>
        <v>4523.0590920625</v>
      </c>
      <c r="AF3" s="13">
        <f t="shared" si="2"/>
        <v>4296.9061374593748</v>
      </c>
      <c r="AG3" s="13">
        <f t="shared" si="2"/>
        <v>4082.0608305864057</v>
      </c>
      <c r="AH3" s="13">
        <f t="shared" si="2"/>
        <v>3877.9577890570854</v>
      </c>
      <c r="AI3" s="13">
        <f t="shared" si="2"/>
        <v>3684.0598996042308</v>
      </c>
      <c r="AJ3" s="13">
        <f t="shared" si="2"/>
        <v>3499.8569046240191</v>
      </c>
      <c r="AK3" s="13">
        <f t="shared" si="2"/>
        <v>3324.864059392818</v>
      </c>
      <c r="AL3" s="13">
        <f t="shared" si="2"/>
        <v>3158.620856423177</v>
      </c>
      <c r="AM3" s="13">
        <f t="shared" si="2"/>
        <v>3000.6898136020181</v>
      </c>
      <c r="AN3" s="13">
        <f t="shared" si="2"/>
        <v>2850.6553229219171</v>
      </c>
    </row>
    <row r="4" spans="1:40" s="13" customFormat="1" x14ac:dyDescent="0.2">
      <c r="B4" s="13" t="s">
        <v>8</v>
      </c>
      <c r="C4" s="14">
        <v>1039</v>
      </c>
      <c r="D4" s="14">
        <v>1120</v>
      </c>
      <c r="E4" s="14">
        <v>1135</v>
      </c>
      <c r="F4" s="14">
        <v>1098</v>
      </c>
      <c r="G4" s="14">
        <v>1090</v>
      </c>
      <c r="H4" s="14">
        <v>1133</v>
      </c>
      <c r="I4" s="14">
        <v>1193</v>
      </c>
      <c r="J4" s="14">
        <v>1180</v>
      </c>
      <c r="K4" s="14">
        <v>1134</v>
      </c>
      <c r="L4" s="14">
        <v>1158</v>
      </c>
      <c r="M4" s="14">
        <v>1267</v>
      </c>
      <c r="N4" s="14">
        <v>1156</v>
      </c>
      <c r="O4" s="14">
        <v>1183</v>
      </c>
      <c r="P4" s="14">
        <f>+L4</f>
        <v>1158</v>
      </c>
      <c r="Q4" s="14">
        <f t="shared" ref="Q4:R4" si="3">+M4</f>
        <v>1267</v>
      </c>
      <c r="R4" s="14">
        <f t="shared" si="3"/>
        <v>1156</v>
      </c>
      <c r="W4" s="13">
        <f t="shared" ref="W4:W18" si="4">SUM(C4:F4)</f>
        <v>4392</v>
      </c>
      <c r="X4" s="13">
        <f t="shared" ref="X4:X18" si="5">SUM(G4:J4)</f>
        <v>4596</v>
      </c>
      <c r="Y4" s="13">
        <f t="shared" ref="Y4:Y16" si="6">SUM(K4:N4)</f>
        <v>4715</v>
      </c>
      <c r="Z4" s="13">
        <f t="shared" ref="Z4:Z18" si="7">SUM(O4:R4)</f>
        <v>4764</v>
      </c>
      <c r="AA4" s="13">
        <f t="shared" ref="AA4:AN4" si="8">+Z4*0.95</f>
        <v>4525.8</v>
      </c>
      <c r="AB4" s="13">
        <f t="shared" si="8"/>
        <v>4299.51</v>
      </c>
      <c r="AC4" s="13">
        <f t="shared" si="8"/>
        <v>4084.5345000000002</v>
      </c>
      <c r="AD4" s="13">
        <f t="shared" si="8"/>
        <v>3880.3077750000002</v>
      </c>
      <c r="AE4" s="13">
        <f t="shared" si="8"/>
        <v>3686.2923862500002</v>
      </c>
      <c r="AF4" s="13">
        <f t="shared" si="8"/>
        <v>3501.9777669374998</v>
      </c>
      <c r="AG4" s="13">
        <f t="shared" si="8"/>
        <v>3326.8788785906245</v>
      </c>
      <c r="AH4" s="13">
        <f t="shared" si="8"/>
        <v>3160.5349346610933</v>
      </c>
      <c r="AI4" s="13">
        <f t="shared" si="8"/>
        <v>3002.5081879280383</v>
      </c>
      <c r="AJ4" s="13">
        <f t="shared" si="8"/>
        <v>2852.3827785316362</v>
      </c>
      <c r="AK4" s="13">
        <f t="shared" si="8"/>
        <v>2709.7636396050543</v>
      </c>
      <c r="AL4" s="13">
        <f t="shared" si="8"/>
        <v>2574.2754576248017</v>
      </c>
      <c r="AM4" s="13">
        <f t="shared" si="8"/>
        <v>2445.5616847435613</v>
      </c>
      <c r="AN4" s="13">
        <f t="shared" si="8"/>
        <v>2323.2836005063832</v>
      </c>
    </row>
    <row r="5" spans="1:40" s="13" customFormat="1" x14ac:dyDescent="0.2">
      <c r="B5" s="13" t="s">
        <v>9</v>
      </c>
      <c r="C5" s="14">
        <v>468</v>
      </c>
      <c r="D5" s="14">
        <v>524</v>
      </c>
      <c r="E5" s="14">
        <v>449</v>
      </c>
      <c r="F5" s="14">
        <v>470</v>
      </c>
      <c r="G5" s="14">
        <v>460</v>
      </c>
      <c r="H5" s="14">
        <v>517</v>
      </c>
      <c r="I5" s="14">
        <v>474</v>
      </c>
      <c r="J5" s="14">
        <v>479</v>
      </c>
      <c r="K5" s="14">
        <v>480</v>
      </c>
      <c r="L5" s="14">
        <v>479</v>
      </c>
      <c r="M5" s="14">
        <v>493</v>
      </c>
      <c r="N5" s="14">
        <v>499</v>
      </c>
      <c r="O5" s="14">
        <v>532</v>
      </c>
      <c r="P5" s="14">
        <f>+L5*1.01</f>
        <v>483.79</v>
      </c>
      <c r="Q5" s="14">
        <f t="shared" ref="Q5:R5" si="9">+M5*1.01</f>
        <v>497.93</v>
      </c>
      <c r="R5" s="14">
        <f t="shared" si="9"/>
        <v>503.99</v>
      </c>
      <c r="W5" s="13">
        <f t="shared" si="4"/>
        <v>1911</v>
      </c>
      <c r="X5" s="13">
        <f t="shared" si="5"/>
        <v>1930</v>
      </c>
      <c r="Y5" s="13">
        <f t="shared" si="6"/>
        <v>1951</v>
      </c>
      <c r="Z5" s="13">
        <f t="shared" si="7"/>
        <v>2017.71</v>
      </c>
      <c r="AA5" s="13">
        <f>+Z5*0.95</f>
        <v>1916.8244999999999</v>
      </c>
      <c r="AB5" s="13">
        <f t="shared" ref="AB5:AN5" si="10">+AA5*0.95</f>
        <v>1820.9832749999998</v>
      </c>
      <c r="AC5" s="13">
        <f t="shared" si="10"/>
        <v>1729.9341112499997</v>
      </c>
      <c r="AD5" s="13">
        <f t="shared" si="10"/>
        <v>1643.4374056874997</v>
      </c>
      <c r="AE5" s="13">
        <f t="shared" si="10"/>
        <v>1561.2655354031247</v>
      </c>
      <c r="AF5" s="13">
        <f t="shared" si="10"/>
        <v>1483.2022586329683</v>
      </c>
      <c r="AG5" s="13">
        <f t="shared" si="10"/>
        <v>1409.0421457013199</v>
      </c>
      <c r="AH5" s="13">
        <f t="shared" si="10"/>
        <v>1338.5900384162539</v>
      </c>
      <c r="AI5" s="13">
        <f t="shared" si="10"/>
        <v>1271.6605364954412</v>
      </c>
      <c r="AJ5" s="13">
        <f t="shared" si="10"/>
        <v>1208.0775096706691</v>
      </c>
      <c r="AK5" s="13">
        <f t="shared" si="10"/>
        <v>1147.6736341871356</v>
      </c>
      <c r="AL5" s="13">
        <f t="shared" si="10"/>
        <v>1090.2899524777788</v>
      </c>
      <c r="AM5" s="13">
        <f t="shared" si="10"/>
        <v>1035.7754548538899</v>
      </c>
      <c r="AN5" s="13">
        <f t="shared" si="10"/>
        <v>983.98668211119536</v>
      </c>
    </row>
    <row r="6" spans="1:40" s="13" customFormat="1" x14ac:dyDescent="0.2">
      <c r="B6" s="13" t="s">
        <v>10</v>
      </c>
      <c r="C6" s="14">
        <v>223</v>
      </c>
      <c r="D6" s="14">
        <v>249</v>
      </c>
      <c r="E6" s="14">
        <v>261</v>
      </c>
      <c r="F6" s="14">
        <v>286</v>
      </c>
      <c r="G6" s="14">
        <v>279</v>
      </c>
      <c r="H6" s="14">
        <v>299</v>
      </c>
      <c r="I6" s="14">
        <v>318</v>
      </c>
      <c r="J6" s="14">
        <v>325</v>
      </c>
      <c r="K6" s="14">
        <v>340</v>
      </c>
      <c r="L6" s="14">
        <v>331</v>
      </c>
      <c r="M6" s="14">
        <v>378</v>
      </c>
      <c r="N6" s="14">
        <v>356</v>
      </c>
      <c r="O6" s="14">
        <v>378</v>
      </c>
      <c r="P6" s="14">
        <f>+L6*1.1</f>
        <v>364.1</v>
      </c>
      <c r="Q6" s="14">
        <f t="shared" ref="Q6:R6" si="11">+M6*1.1</f>
        <v>415.8</v>
      </c>
      <c r="R6" s="14">
        <f t="shared" si="11"/>
        <v>391.6</v>
      </c>
      <c r="W6" s="13">
        <f t="shared" si="4"/>
        <v>1019</v>
      </c>
      <c r="X6" s="13">
        <f t="shared" si="5"/>
        <v>1221</v>
      </c>
      <c r="Y6" s="13">
        <f t="shared" si="6"/>
        <v>1405</v>
      </c>
      <c r="Z6" s="13">
        <f t="shared" si="7"/>
        <v>1549.5</v>
      </c>
      <c r="AA6" s="13">
        <f>+Z6*1.01</f>
        <v>1564.9950000000001</v>
      </c>
      <c r="AB6" s="13">
        <f t="shared" ref="AB6:AN6" si="12">+AA6*1.01</f>
        <v>1580.6449500000001</v>
      </c>
      <c r="AC6" s="13">
        <f t="shared" si="12"/>
        <v>1596.4513995000002</v>
      </c>
      <c r="AD6" s="13">
        <f t="shared" si="12"/>
        <v>1612.4159134950003</v>
      </c>
      <c r="AE6" s="13">
        <f t="shared" si="12"/>
        <v>1628.5400726299504</v>
      </c>
      <c r="AF6" s="13">
        <f t="shared" si="12"/>
        <v>1644.8254733562499</v>
      </c>
      <c r="AG6" s="13">
        <f t="shared" si="12"/>
        <v>1661.2737280898123</v>
      </c>
      <c r="AH6" s="13">
        <f t="shared" si="12"/>
        <v>1677.8864653707103</v>
      </c>
      <c r="AI6" s="13">
        <f t="shared" si="12"/>
        <v>1694.6653300244175</v>
      </c>
      <c r="AJ6" s="13">
        <f t="shared" si="12"/>
        <v>1711.6119833246617</v>
      </c>
      <c r="AK6" s="13">
        <f t="shared" si="12"/>
        <v>1728.7281031579082</v>
      </c>
      <c r="AL6" s="13">
        <f t="shared" si="12"/>
        <v>1746.0153841894873</v>
      </c>
      <c r="AM6" s="13">
        <f t="shared" si="12"/>
        <v>1763.4755380313823</v>
      </c>
      <c r="AN6" s="13">
        <f t="shared" si="12"/>
        <v>1781.1102934116961</v>
      </c>
    </row>
    <row r="7" spans="1:40" s="13" customFormat="1" x14ac:dyDescent="0.2">
      <c r="B7" s="13" t="s">
        <v>11</v>
      </c>
      <c r="C7" s="14">
        <v>264</v>
      </c>
      <c r="D7" s="14">
        <v>259</v>
      </c>
      <c r="E7" s="14">
        <v>259</v>
      </c>
      <c r="F7" s="14">
        <v>307</v>
      </c>
      <c r="G7" s="14">
        <v>270</v>
      </c>
      <c r="H7" s="14">
        <v>298</v>
      </c>
      <c r="I7" s="14">
        <v>273</v>
      </c>
      <c r="J7" s="14">
        <v>317</v>
      </c>
      <c r="K7" s="14">
        <v>334</v>
      </c>
      <c r="L7" s="14">
        <v>344</v>
      </c>
      <c r="M7" s="14">
        <v>353</v>
      </c>
      <c r="N7" s="14">
        <v>384</v>
      </c>
      <c r="O7" s="14">
        <v>367</v>
      </c>
      <c r="P7" s="14">
        <f t="shared" ref="P7:P8" si="13">+L7*1.1</f>
        <v>378.40000000000003</v>
      </c>
      <c r="Q7" s="14">
        <f t="shared" ref="Q7:Q8" si="14">+M7*1.1</f>
        <v>388.3</v>
      </c>
      <c r="R7" s="14">
        <f t="shared" ref="R7:R8" si="15">+N7*1.1</f>
        <v>422.40000000000003</v>
      </c>
      <c r="W7" s="13">
        <f t="shared" si="4"/>
        <v>1089</v>
      </c>
      <c r="X7" s="13">
        <f t="shared" si="5"/>
        <v>1158</v>
      </c>
      <c r="Y7" s="13">
        <f t="shared" si="6"/>
        <v>1415</v>
      </c>
      <c r="Z7" s="13">
        <f t="shared" si="7"/>
        <v>1556.1000000000001</v>
      </c>
      <c r="AA7" s="13">
        <f>+Z7*0.8</f>
        <v>1244.8800000000001</v>
      </c>
      <c r="AB7" s="13">
        <f>+AA7*0.5</f>
        <v>622.44000000000005</v>
      </c>
      <c r="AC7" s="13">
        <f t="shared" ref="AC7:AN7" si="16">+AB7*0.5</f>
        <v>311.22000000000003</v>
      </c>
      <c r="AD7" s="13">
        <f t="shared" si="16"/>
        <v>155.61000000000001</v>
      </c>
      <c r="AE7" s="13">
        <f t="shared" si="16"/>
        <v>77.805000000000007</v>
      </c>
      <c r="AF7" s="13">
        <f t="shared" si="16"/>
        <v>38.902500000000003</v>
      </c>
      <c r="AG7" s="13">
        <f t="shared" si="16"/>
        <v>19.451250000000002</v>
      </c>
      <c r="AH7" s="13">
        <f t="shared" si="16"/>
        <v>9.7256250000000009</v>
      </c>
      <c r="AI7" s="13">
        <f t="shared" si="16"/>
        <v>4.8628125000000004</v>
      </c>
      <c r="AJ7" s="13">
        <f t="shared" si="16"/>
        <v>2.4314062500000002</v>
      </c>
      <c r="AK7" s="13">
        <f t="shared" si="16"/>
        <v>1.2157031250000001</v>
      </c>
      <c r="AL7" s="13">
        <f t="shared" si="16"/>
        <v>0.60785156250000005</v>
      </c>
      <c r="AM7" s="13">
        <f t="shared" si="16"/>
        <v>0.30392578125000003</v>
      </c>
      <c r="AN7" s="13">
        <f t="shared" si="16"/>
        <v>0.15196289062500001</v>
      </c>
    </row>
    <row r="8" spans="1:40" s="13" customFormat="1" x14ac:dyDescent="0.2">
      <c r="B8" s="13" t="s">
        <v>12</v>
      </c>
      <c r="C8" s="14">
        <v>142</v>
      </c>
      <c r="D8" s="14">
        <v>188</v>
      </c>
      <c r="E8" s="14">
        <v>178</v>
      </c>
      <c r="F8" s="14">
        <v>236</v>
      </c>
      <c r="G8" s="14">
        <v>196</v>
      </c>
      <c r="H8" s="14">
        <v>264</v>
      </c>
      <c r="I8" s="14">
        <v>255</v>
      </c>
      <c r="J8" s="14">
        <v>315</v>
      </c>
      <c r="K8" s="14">
        <v>272</v>
      </c>
      <c r="L8" s="14">
        <v>340</v>
      </c>
      <c r="M8" s="14">
        <v>320</v>
      </c>
      <c r="N8" s="14">
        <v>380</v>
      </c>
      <c r="O8" s="14">
        <v>352</v>
      </c>
      <c r="P8" s="14">
        <f>+L8*1.1</f>
        <v>374.00000000000006</v>
      </c>
      <c r="Q8" s="14">
        <f t="shared" ref="Q8:R8" si="17">+M8*1.1</f>
        <v>352</v>
      </c>
      <c r="R8" s="14">
        <f t="shared" si="17"/>
        <v>418.00000000000006</v>
      </c>
      <c r="W8" s="13">
        <f t="shared" si="4"/>
        <v>744</v>
      </c>
      <c r="X8" s="13">
        <f t="shared" si="5"/>
        <v>1030</v>
      </c>
      <c r="Y8" s="13">
        <f t="shared" si="6"/>
        <v>1312</v>
      </c>
      <c r="Z8" s="13">
        <f t="shared" si="7"/>
        <v>1496</v>
      </c>
      <c r="AA8" s="13">
        <f>+Z8*1.05</f>
        <v>1570.8</v>
      </c>
      <c r="AB8" s="13">
        <f t="shared" ref="AB8:AF8" si="18">+AA8*1.05</f>
        <v>1649.34</v>
      </c>
      <c r="AC8" s="13">
        <f t="shared" si="18"/>
        <v>1731.807</v>
      </c>
      <c r="AD8" s="13">
        <f t="shared" si="18"/>
        <v>1818.3973500000002</v>
      </c>
      <c r="AE8" s="13">
        <f t="shared" si="18"/>
        <v>1909.3172175000002</v>
      </c>
      <c r="AF8" s="13">
        <f t="shared" si="18"/>
        <v>2004.7830783750003</v>
      </c>
      <c r="AG8" s="13">
        <f>+AF8*0.99</f>
        <v>1984.7352475912503</v>
      </c>
      <c r="AH8" s="13">
        <f t="shared" ref="AH8:AN8" si="19">+AG8*0.99</f>
        <v>1964.8878951153379</v>
      </c>
      <c r="AI8" s="13">
        <f t="shared" si="19"/>
        <v>1945.2390161641845</v>
      </c>
      <c r="AJ8" s="13">
        <f t="shared" si="19"/>
        <v>1925.7866260025426</v>
      </c>
      <c r="AK8" s="13">
        <f t="shared" si="19"/>
        <v>1906.5287597425172</v>
      </c>
      <c r="AL8" s="13">
        <f t="shared" si="19"/>
        <v>1887.4634721450921</v>
      </c>
      <c r="AM8" s="13">
        <f t="shared" si="19"/>
        <v>1868.5888374236411</v>
      </c>
      <c r="AN8" s="13">
        <f t="shared" si="19"/>
        <v>1849.9029490494047</v>
      </c>
    </row>
    <row r="9" spans="1:40" s="13" customFormat="1" x14ac:dyDescent="0.2">
      <c r="B9" s="13" t="s">
        <v>13</v>
      </c>
      <c r="C9" s="14">
        <v>435</v>
      </c>
      <c r="D9" s="14">
        <v>502</v>
      </c>
      <c r="E9" s="14">
        <v>491</v>
      </c>
      <c r="F9" s="14">
        <v>525</v>
      </c>
      <c r="G9" s="14">
        <v>462</v>
      </c>
      <c r="H9" s="14">
        <v>512</v>
      </c>
      <c r="I9" s="14">
        <v>518</v>
      </c>
      <c r="J9" s="14">
        <v>539</v>
      </c>
      <c r="K9" s="14">
        <v>534</v>
      </c>
      <c r="L9" s="14">
        <v>491</v>
      </c>
      <c r="M9" s="14">
        <v>489</v>
      </c>
      <c r="N9" s="14">
        <v>342</v>
      </c>
      <c r="O9" s="14">
        <v>300</v>
      </c>
      <c r="P9" s="14">
        <f>+L9*0.7</f>
        <v>343.7</v>
      </c>
      <c r="Q9" s="14">
        <f t="shared" ref="Q9:R9" si="20">+M9*0.7</f>
        <v>342.29999999999995</v>
      </c>
      <c r="R9" s="14">
        <f t="shared" si="20"/>
        <v>239.39999999999998</v>
      </c>
      <c r="W9" s="13">
        <f t="shared" si="4"/>
        <v>1953</v>
      </c>
      <c r="X9" s="13">
        <f t="shared" si="5"/>
        <v>2031</v>
      </c>
      <c r="Y9" s="13">
        <f t="shared" si="6"/>
        <v>1856</v>
      </c>
      <c r="Z9" s="13">
        <f>SUM(O9:R9)</f>
        <v>1225.4000000000001</v>
      </c>
      <c r="AA9" s="13">
        <f t="shared" ref="AA9:AN9" si="21">+Z9*0.9</f>
        <v>1102.8600000000001</v>
      </c>
      <c r="AB9" s="13">
        <f t="shared" si="21"/>
        <v>992.57400000000018</v>
      </c>
      <c r="AC9" s="13">
        <f t="shared" si="21"/>
        <v>893.31660000000022</v>
      </c>
      <c r="AD9" s="13">
        <f t="shared" si="21"/>
        <v>803.98494000000017</v>
      </c>
      <c r="AE9" s="13">
        <f t="shared" si="21"/>
        <v>723.58644600000014</v>
      </c>
      <c r="AF9" s="13">
        <f t="shared" si="21"/>
        <v>651.22780140000009</v>
      </c>
      <c r="AG9" s="13">
        <f t="shared" si="21"/>
        <v>586.10502126000006</v>
      </c>
      <c r="AH9" s="13">
        <f t="shared" si="21"/>
        <v>527.49451913400003</v>
      </c>
      <c r="AI9" s="13">
        <f t="shared" si="21"/>
        <v>474.74506722060005</v>
      </c>
      <c r="AJ9" s="13">
        <f t="shared" si="21"/>
        <v>427.27056049854008</v>
      </c>
      <c r="AK9" s="13">
        <f t="shared" si="21"/>
        <v>384.54350444868606</v>
      </c>
      <c r="AL9" s="13">
        <f t="shared" si="21"/>
        <v>346.08915400381744</v>
      </c>
      <c r="AM9" s="13">
        <f t="shared" si="21"/>
        <v>311.48023860343568</v>
      </c>
      <c r="AN9" s="13">
        <f t="shared" si="21"/>
        <v>280.33221474309209</v>
      </c>
    </row>
    <row r="10" spans="1:40" s="13" customFormat="1" x14ac:dyDescent="0.2">
      <c r="B10" s="13" t="s">
        <v>15</v>
      </c>
      <c r="C10" s="14">
        <v>299</v>
      </c>
      <c r="D10" s="14">
        <v>324</v>
      </c>
      <c r="E10" s="14">
        <v>466</v>
      </c>
      <c r="F10" s="14">
        <v>309</v>
      </c>
      <c r="G10" s="14">
        <v>289</v>
      </c>
      <c r="H10" s="14">
        <v>296</v>
      </c>
      <c r="I10" s="14">
        <v>300</v>
      </c>
      <c r="J10" s="14">
        <v>274</v>
      </c>
      <c r="K10" s="14">
        <v>246</v>
      </c>
      <c r="L10" s="14">
        <v>256</v>
      </c>
      <c r="M10" s="14">
        <v>284</v>
      </c>
      <c r="N10" s="14">
        <v>263</v>
      </c>
      <c r="O10" s="14">
        <v>213</v>
      </c>
      <c r="P10" s="14">
        <f>+L10*0.8</f>
        <v>204.8</v>
      </c>
      <c r="Q10" s="14">
        <f t="shared" ref="Q10:R10" si="22">+M10*0.8</f>
        <v>227.20000000000002</v>
      </c>
      <c r="R10" s="14">
        <f t="shared" si="22"/>
        <v>210.4</v>
      </c>
      <c r="W10" s="13">
        <f t="shared" si="4"/>
        <v>1398</v>
      </c>
      <c r="X10" s="13">
        <f t="shared" si="5"/>
        <v>1159</v>
      </c>
      <c r="Y10" s="13">
        <f t="shared" si="6"/>
        <v>1049</v>
      </c>
      <c r="Z10" s="13">
        <f t="shared" si="7"/>
        <v>855.4</v>
      </c>
      <c r="AA10" s="13">
        <f>+Z10*0.9</f>
        <v>769.86</v>
      </c>
      <c r="AB10" s="13">
        <f t="shared" ref="AB10:AN10" si="23">+AA10*0.9</f>
        <v>692.87400000000002</v>
      </c>
      <c r="AC10" s="13">
        <f t="shared" si="23"/>
        <v>623.58660000000009</v>
      </c>
      <c r="AD10" s="13">
        <f t="shared" si="23"/>
        <v>561.2279400000001</v>
      </c>
      <c r="AE10" s="13">
        <f t="shared" si="23"/>
        <v>505.1051460000001</v>
      </c>
      <c r="AF10" s="13">
        <f t="shared" si="23"/>
        <v>454.59463140000008</v>
      </c>
      <c r="AG10" s="13">
        <f t="shared" si="23"/>
        <v>409.13516826000006</v>
      </c>
      <c r="AH10" s="13">
        <f t="shared" si="23"/>
        <v>368.22165143400008</v>
      </c>
      <c r="AI10" s="13">
        <f t="shared" si="23"/>
        <v>331.39948629060007</v>
      </c>
      <c r="AJ10" s="13">
        <f t="shared" si="23"/>
        <v>298.25953766154009</v>
      </c>
      <c r="AK10" s="13">
        <f t="shared" si="23"/>
        <v>268.43358389538611</v>
      </c>
      <c r="AL10" s="13">
        <f t="shared" si="23"/>
        <v>241.59022550584751</v>
      </c>
      <c r="AM10" s="13">
        <f t="shared" si="23"/>
        <v>217.43120295526276</v>
      </c>
      <c r="AN10" s="13">
        <f t="shared" si="23"/>
        <v>195.68808265973649</v>
      </c>
    </row>
    <row r="11" spans="1:40" s="13" customFormat="1" x14ac:dyDescent="0.2">
      <c r="B11" s="13" t="s">
        <v>14</v>
      </c>
      <c r="C11" s="14">
        <v>0</v>
      </c>
      <c r="D11" s="14">
        <v>0</v>
      </c>
      <c r="E11" s="14">
        <v>0</v>
      </c>
      <c r="F11" s="14">
        <v>73</v>
      </c>
      <c r="G11" s="14">
        <v>68</v>
      </c>
      <c r="H11" s="14">
        <v>78</v>
      </c>
      <c r="I11" s="14">
        <v>94</v>
      </c>
      <c r="J11" s="14">
        <v>91</v>
      </c>
      <c r="K11" s="14">
        <v>108</v>
      </c>
      <c r="L11" s="14">
        <v>119</v>
      </c>
      <c r="M11" s="14">
        <v>137</v>
      </c>
      <c r="N11" s="14">
        <v>148</v>
      </c>
      <c r="O11" s="14">
        <v>154</v>
      </c>
      <c r="P11" s="14">
        <f t="shared" ref="P11:P13" si="24">+L11*1.1</f>
        <v>130.9</v>
      </c>
      <c r="Q11" s="14">
        <f t="shared" ref="Q11:Q13" si="25">+M11*1.1</f>
        <v>150.70000000000002</v>
      </c>
      <c r="R11" s="14">
        <f t="shared" ref="R11:R13" si="26">+N11*1.1</f>
        <v>162.80000000000001</v>
      </c>
      <c r="W11" s="13">
        <f t="shared" si="4"/>
        <v>73</v>
      </c>
      <c r="X11" s="13">
        <f t="shared" si="5"/>
        <v>331</v>
      </c>
      <c r="Y11" s="13">
        <f t="shared" si="6"/>
        <v>512</v>
      </c>
      <c r="Z11" s="13">
        <f t="shared" si="7"/>
        <v>598.40000000000009</v>
      </c>
      <c r="AA11" s="13">
        <f>+Z11*1.2</f>
        <v>718.08</v>
      </c>
      <c r="AB11" s="13">
        <f t="shared" ref="AB11" si="27">+AA11*1.2</f>
        <v>861.69600000000003</v>
      </c>
      <c r="AC11" s="13">
        <f>+AB11*1.01</f>
        <v>870.31296000000009</v>
      </c>
      <c r="AD11" s="13">
        <f t="shared" ref="AD11:AM11" si="28">+AC11*1.01</f>
        <v>879.0160896000001</v>
      </c>
      <c r="AE11" s="13">
        <f t="shared" si="28"/>
        <v>887.80625049600008</v>
      </c>
      <c r="AF11" s="13">
        <f t="shared" si="28"/>
        <v>896.68431300096006</v>
      </c>
      <c r="AG11" s="13">
        <f t="shared" si="28"/>
        <v>905.65115613096964</v>
      </c>
      <c r="AH11" s="13">
        <f t="shared" si="28"/>
        <v>914.7076676922793</v>
      </c>
      <c r="AI11" s="13">
        <f t="shared" si="28"/>
        <v>923.85474436920208</v>
      </c>
      <c r="AJ11" s="13">
        <f t="shared" si="28"/>
        <v>933.09329181289411</v>
      </c>
      <c r="AK11" s="13">
        <f t="shared" si="28"/>
        <v>942.42422473102306</v>
      </c>
      <c r="AL11" s="13">
        <f t="shared" si="28"/>
        <v>951.84846697833325</v>
      </c>
      <c r="AM11" s="13">
        <f t="shared" si="28"/>
        <v>961.36695164811658</v>
      </c>
      <c r="AN11" s="13">
        <f>+AM11*0.1</f>
        <v>96.13669516481167</v>
      </c>
    </row>
    <row r="12" spans="1:40" s="13" customFormat="1" x14ac:dyDescent="0.2">
      <c r="B12" s="13" t="s">
        <v>16</v>
      </c>
      <c r="C12" s="14">
        <v>87</v>
      </c>
      <c r="D12" s="14">
        <v>93</v>
      </c>
      <c r="E12" s="14">
        <v>107</v>
      </c>
      <c r="F12" s="14">
        <v>102</v>
      </c>
      <c r="G12" s="14">
        <v>103</v>
      </c>
      <c r="H12" s="14">
        <v>132</v>
      </c>
      <c r="I12" s="14">
        <v>138</v>
      </c>
      <c r="J12" s="14">
        <v>132</v>
      </c>
      <c r="K12" s="14">
        <v>122</v>
      </c>
      <c r="L12" s="14">
        <v>160</v>
      </c>
      <c r="M12" s="14">
        <v>132</v>
      </c>
      <c r="N12" s="14">
        <v>135</v>
      </c>
      <c r="O12" s="14">
        <v>144</v>
      </c>
      <c r="P12" s="14">
        <f t="shared" si="24"/>
        <v>176</v>
      </c>
      <c r="Q12" s="14">
        <f t="shared" si="25"/>
        <v>145.20000000000002</v>
      </c>
      <c r="R12" s="14">
        <f t="shared" si="26"/>
        <v>148.5</v>
      </c>
      <c r="W12" s="13">
        <f t="shared" si="4"/>
        <v>389</v>
      </c>
      <c r="X12" s="13">
        <f t="shared" si="5"/>
        <v>505</v>
      </c>
      <c r="Y12" s="13">
        <f t="shared" si="6"/>
        <v>549</v>
      </c>
      <c r="Z12" s="13">
        <f t="shared" si="7"/>
        <v>613.70000000000005</v>
      </c>
      <c r="AA12" s="13">
        <f>+Z12*0.99</f>
        <v>607.56299999999999</v>
      </c>
      <c r="AB12" s="13">
        <f t="shared" ref="AB12:AN12" si="29">+AA12*0.99</f>
        <v>601.48736999999994</v>
      </c>
      <c r="AC12" s="13">
        <f t="shared" si="29"/>
        <v>595.47249629999999</v>
      </c>
      <c r="AD12" s="13">
        <f t="shared" si="29"/>
        <v>589.517771337</v>
      </c>
      <c r="AE12" s="13">
        <f t="shared" si="29"/>
        <v>583.62259362363</v>
      </c>
      <c r="AF12" s="13">
        <f t="shared" si="29"/>
        <v>577.78636768739364</v>
      </c>
      <c r="AG12" s="13">
        <f t="shared" si="29"/>
        <v>572.00850401051969</v>
      </c>
      <c r="AH12" s="13">
        <f t="shared" si="29"/>
        <v>566.28841897041445</v>
      </c>
      <c r="AI12" s="13">
        <f t="shared" si="29"/>
        <v>560.62553478071027</v>
      </c>
      <c r="AJ12" s="13">
        <f t="shared" si="29"/>
        <v>555.0192794329032</v>
      </c>
      <c r="AK12" s="13">
        <f t="shared" si="29"/>
        <v>549.46908663857414</v>
      </c>
      <c r="AL12" s="13">
        <f t="shared" si="29"/>
        <v>543.97439577218836</v>
      </c>
      <c r="AM12" s="13">
        <f t="shared" si="29"/>
        <v>538.53465181446643</v>
      </c>
      <c r="AN12" s="13">
        <f t="shared" si="29"/>
        <v>533.14930529632181</v>
      </c>
    </row>
    <row r="13" spans="1:40" s="13" customFormat="1" x14ac:dyDescent="0.2">
      <c r="B13" s="13" t="s">
        <v>17</v>
      </c>
      <c r="C13" s="14">
        <v>96</v>
      </c>
      <c r="D13" s="14">
        <v>105</v>
      </c>
      <c r="E13" s="14">
        <v>106</v>
      </c>
      <c r="F13" s="14">
        <v>120</v>
      </c>
      <c r="G13" s="14">
        <v>113</v>
      </c>
      <c r="H13" s="14">
        <v>118</v>
      </c>
      <c r="I13" s="14">
        <v>119</v>
      </c>
      <c r="J13" s="14">
        <v>119</v>
      </c>
      <c r="K13" s="14">
        <v>126</v>
      </c>
      <c r="L13" s="14">
        <v>125</v>
      </c>
      <c r="M13" s="14">
        <v>137</v>
      </c>
      <c r="N13" s="14">
        <v>137</v>
      </c>
      <c r="O13" s="14">
        <v>141</v>
      </c>
      <c r="P13" s="14">
        <f>+L13*1.1</f>
        <v>137.5</v>
      </c>
      <c r="Q13" s="14">
        <f t="shared" si="25"/>
        <v>150.70000000000002</v>
      </c>
      <c r="R13" s="14">
        <f t="shared" si="26"/>
        <v>150.70000000000002</v>
      </c>
      <c r="W13" s="13">
        <f t="shared" si="4"/>
        <v>427</v>
      </c>
      <c r="X13" s="13">
        <f t="shared" si="5"/>
        <v>469</v>
      </c>
      <c r="Y13" s="13">
        <f t="shared" si="6"/>
        <v>525</v>
      </c>
      <c r="Z13" s="13">
        <f t="shared" si="7"/>
        <v>579.90000000000009</v>
      </c>
      <c r="AA13" s="13">
        <f>+Z13*1.02</f>
        <v>591.49800000000005</v>
      </c>
      <c r="AB13" s="13">
        <f t="shared" ref="AB13:AN13" si="30">+AA13*1.02</f>
        <v>603.32796000000008</v>
      </c>
      <c r="AC13" s="13">
        <f t="shared" si="30"/>
        <v>615.3945192000001</v>
      </c>
      <c r="AD13" s="13">
        <f t="shared" si="30"/>
        <v>627.70240958400007</v>
      </c>
      <c r="AE13" s="13">
        <f t="shared" si="30"/>
        <v>640.25645777568013</v>
      </c>
      <c r="AF13" s="13">
        <f t="shared" si="30"/>
        <v>653.0615869311938</v>
      </c>
      <c r="AG13" s="13">
        <f t="shared" si="30"/>
        <v>666.12281866981766</v>
      </c>
      <c r="AH13" s="13">
        <f t="shared" si="30"/>
        <v>679.445275043214</v>
      </c>
      <c r="AI13" s="13">
        <f t="shared" si="30"/>
        <v>693.03418054407825</v>
      </c>
      <c r="AJ13" s="13">
        <f t="shared" si="30"/>
        <v>706.89486415495981</v>
      </c>
      <c r="AK13" s="13">
        <f t="shared" si="30"/>
        <v>721.03276143805897</v>
      </c>
      <c r="AL13" s="13">
        <f t="shared" si="30"/>
        <v>735.4534166668202</v>
      </c>
      <c r="AM13" s="13">
        <f t="shared" si="30"/>
        <v>750.16248500015661</v>
      </c>
      <c r="AN13" s="13">
        <f t="shared" si="30"/>
        <v>765.16573470015976</v>
      </c>
    </row>
    <row r="14" spans="1:40" s="13" customFormat="1" x14ac:dyDescent="0.2">
      <c r="B14" s="13" t="s">
        <v>18</v>
      </c>
      <c r="C14" s="14"/>
      <c r="D14" s="14"/>
      <c r="E14" s="14"/>
      <c r="F14" s="14"/>
      <c r="G14" s="14"/>
      <c r="H14" s="14"/>
      <c r="I14" s="14"/>
      <c r="J14" s="14"/>
      <c r="K14" s="14">
        <v>15</v>
      </c>
      <c r="L14" s="14"/>
      <c r="M14" s="14"/>
      <c r="N14" s="14"/>
      <c r="O14" s="14">
        <v>27</v>
      </c>
      <c r="P14" s="14">
        <f t="shared" ref="P14:R14" si="31">+O14+5</f>
        <v>32</v>
      </c>
      <c r="Q14" s="14">
        <f t="shared" si="31"/>
        <v>37</v>
      </c>
      <c r="R14" s="14">
        <f t="shared" si="31"/>
        <v>42</v>
      </c>
      <c r="W14" s="13">
        <f t="shared" si="4"/>
        <v>0</v>
      </c>
      <c r="X14" s="13">
        <f t="shared" si="5"/>
        <v>0</v>
      </c>
      <c r="Y14" s="13">
        <f t="shared" si="6"/>
        <v>15</v>
      </c>
      <c r="Z14" s="13">
        <f t="shared" si="7"/>
        <v>138</v>
      </c>
      <c r="AA14" s="13">
        <f>+Z14*1.05</f>
        <v>144.9</v>
      </c>
      <c r="AB14" s="13">
        <f t="shared" ref="AB14:AN14" si="32">+AA14*1.05</f>
        <v>152.14500000000001</v>
      </c>
      <c r="AC14" s="13">
        <f t="shared" si="32"/>
        <v>159.75225</v>
      </c>
      <c r="AD14" s="13">
        <f t="shared" si="32"/>
        <v>167.73986250000002</v>
      </c>
      <c r="AE14" s="13">
        <f t="shared" si="32"/>
        <v>176.12685562500002</v>
      </c>
      <c r="AF14" s="13">
        <f t="shared" si="32"/>
        <v>184.93319840625003</v>
      </c>
      <c r="AG14" s="13">
        <f t="shared" si="32"/>
        <v>194.17985832656254</v>
      </c>
      <c r="AH14" s="13">
        <f t="shared" si="32"/>
        <v>203.88885124289067</v>
      </c>
      <c r="AI14" s="13">
        <f t="shared" si="32"/>
        <v>214.0832938050352</v>
      </c>
      <c r="AJ14" s="13">
        <f t="shared" si="32"/>
        <v>224.78745849528696</v>
      </c>
      <c r="AK14" s="13">
        <f t="shared" si="32"/>
        <v>236.02683142005131</v>
      </c>
      <c r="AL14" s="13">
        <f t="shared" si="32"/>
        <v>247.82817299105389</v>
      </c>
      <c r="AM14" s="13">
        <f t="shared" si="32"/>
        <v>260.21958164060658</v>
      </c>
      <c r="AN14" s="13">
        <f t="shared" si="32"/>
        <v>273.23056072263694</v>
      </c>
    </row>
    <row r="15" spans="1:40" s="13" customFormat="1" x14ac:dyDescent="0.2">
      <c r="B15" s="13" t="s">
        <v>19</v>
      </c>
      <c r="C15" s="14"/>
      <c r="D15" s="14"/>
      <c r="E15" s="14"/>
      <c r="F15" s="14"/>
      <c r="G15" s="14"/>
      <c r="H15" s="14"/>
      <c r="I15" s="14"/>
      <c r="J15" s="14"/>
      <c r="K15" s="14">
        <v>0</v>
      </c>
      <c r="L15" s="14"/>
      <c r="M15" s="14"/>
      <c r="N15" s="14"/>
      <c r="O15" s="14">
        <v>16</v>
      </c>
      <c r="P15" s="14">
        <f>+O15+15</f>
        <v>31</v>
      </c>
      <c r="Q15" s="14">
        <f t="shared" ref="Q15:R15" si="33">+P15+15</f>
        <v>46</v>
      </c>
      <c r="R15" s="14">
        <f t="shared" si="33"/>
        <v>61</v>
      </c>
      <c r="W15" s="13">
        <f t="shared" si="4"/>
        <v>0</v>
      </c>
      <c r="X15" s="13">
        <f t="shared" si="5"/>
        <v>0</v>
      </c>
      <c r="Y15" s="13">
        <f t="shared" si="6"/>
        <v>0</v>
      </c>
      <c r="Z15" s="13">
        <f t="shared" si="7"/>
        <v>154</v>
      </c>
      <c r="AA15" s="13">
        <f>+Z15*2</f>
        <v>308</v>
      </c>
      <c r="AB15" s="13">
        <f>+AA15*1.3</f>
        <v>400.40000000000003</v>
      </c>
      <c r="AC15" s="13">
        <f>+AB15*1.1</f>
        <v>440.44000000000005</v>
      </c>
      <c r="AD15" s="13">
        <f t="shared" ref="AD15:AN15" si="34">+AC15*1.1</f>
        <v>484.48400000000009</v>
      </c>
      <c r="AE15" s="13">
        <f t="shared" si="34"/>
        <v>532.93240000000014</v>
      </c>
      <c r="AF15" s="13">
        <f>+AE15*1.05</f>
        <v>559.57902000000013</v>
      </c>
      <c r="AG15" s="13">
        <f t="shared" ref="AG15:AJ15" si="35">+AF15*1.05</f>
        <v>587.55797100000018</v>
      </c>
      <c r="AH15" s="13">
        <f t="shared" si="35"/>
        <v>616.93586955000023</v>
      </c>
      <c r="AI15" s="13">
        <f t="shared" si="35"/>
        <v>647.78266302750023</v>
      </c>
      <c r="AJ15" s="13">
        <f>+AI15*1.01</f>
        <v>654.26048965777522</v>
      </c>
      <c r="AK15" s="13">
        <f t="shared" ref="AK15:AN15" si="36">+AJ15*1.01</f>
        <v>660.80309455435304</v>
      </c>
      <c r="AL15" s="13">
        <f t="shared" si="36"/>
        <v>667.41112549989657</v>
      </c>
      <c r="AM15" s="13">
        <f t="shared" si="36"/>
        <v>674.0852367548955</v>
      </c>
      <c r="AN15" s="13">
        <f t="shared" si="36"/>
        <v>680.8260891224445</v>
      </c>
    </row>
    <row r="16" spans="1:40" s="13" customFormat="1" x14ac:dyDescent="0.2">
      <c r="B16" s="13" t="s">
        <v>33</v>
      </c>
      <c r="C16" s="14">
        <v>59</v>
      </c>
      <c r="D16" s="14">
        <v>74</v>
      </c>
      <c r="E16" s="14">
        <v>40</v>
      </c>
      <c r="F16" s="14">
        <v>73</v>
      </c>
      <c r="G16" s="14">
        <v>38</v>
      </c>
      <c r="H16" s="14">
        <v>59</v>
      </c>
      <c r="I16" s="14">
        <v>46</v>
      </c>
      <c r="J16" s="14">
        <v>66</v>
      </c>
      <c r="K16" s="14">
        <v>47</v>
      </c>
      <c r="L16" s="14">
        <v>74</v>
      </c>
      <c r="M16" s="14">
        <v>67</v>
      </c>
      <c r="N16" s="14">
        <v>88</v>
      </c>
      <c r="O16" s="14">
        <v>47</v>
      </c>
      <c r="P16" s="14">
        <f>+L16</f>
        <v>74</v>
      </c>
      <c r="Q16" s="14">
        <f t="shared" ref="Q16:R16" si="37">+M16</f>
        <v>67</v>
      </c>
      <c r="R16" s="14">
        <f t="shared" si="37"/>
        <v>88</v>
      </c>
      <c r="W16" s="13">
        <f t="shared" si="4"/>
        <v>246</v>
      </c>
      <c r="X16" s="13">
        <f t="shared" si="5"/>
        <v>209</v>
      </c>
      <c r="Y16" s="13">
        <f t="shared" si="6"/>
        <v>276</v>
      </c>
      <c r="Z16" s="13">
        <f t="shared" si="7"/>
        <v>276</v>
      </c>
      <c r="AA16" s="13">
        <f>+Z16*0.95</f>
        <v>262.2</v>
      </c>
      <c r="AB16" s="13">
        <f t="shared" ref="AB16:AN18" si="38">+AA16*0.95</f>
        <v>249.08999999999997</v>
      </c>
      <c r="AC16" s="13">
        <f t="shared" si="38"/>
        <v>236.63549999999998</v>
      </c>
      <c r="AD16" s="13">
        <f t="shared" si="38"/>
        <v>224.80372499999996</v>
      </c>
      <c r="AE16" s="13">
        <f t="shared" si="38"/>
        <v>213.56353874999994</v>
      </c>
      <c r="AF16" s="13">
        <f t="shared" si="38"/>
        <v>202.88536181249992</v>
      </c>
      <c r="AG16" s="13">
        <f t="shared" si="38"/>
        <v>192.7410937218749</v>
      </c>
      <c r="AH16" s="13">
        <f t="shared" si="38"/>
        <v>183.10403903578114</v>
      </c>
      <c r="AI16" s="13">
        <f t="shared" si="38"/>
        <v>173.94883708399209</v>
      </c>
      <c r="AJ16" s="13">
        <f t="shared" si="38"/>
        <v>165.25139522979248</v>
      </c>
      <c r="AK16" s="13">
        <f t="shared" si="38"/>
        <v>156.98882546830285</v>
      </c>
      <c r="AL16" s="13">
        <f t="shared" si="38"/>
        <v>149.1393841948877</v>
      </c>
      <c r="AM16" s="13">
        <f t="shared" si="38"/>
        <v>141.68241498514331</v>
      </c>
      <c r="AN16" s="13">
        <f t="shared" si="38"/>
        <v>134.59829423588613</v>
      </c>
    </row>
    <row r="17" spans="2:40" s="17" customFormat="1" x14ac:dyDescent="0.2">
      <c r="B17" s="17" t="s">
        <v>34</v>
      </c>
      <c r="C17" s="18">
        <f t="shared" ref="C17" si="39">SUM(C3:C16)</f>
        <v>4151</v>
      </c>
      <c r="D17" s="18">
        <f t="shared" ref="D17" si="40">SUM(D3:D16)</f>
        <v>4595</v>
      </c>
      <c r="E17" s="18">
        <f>SUM(E3:E16)</f>
        <v>4647</v>
      </c>
      <c r="F17" s="18">
        <f t="shared" ref="F17" si="41">SUM(F3:F16)</f>
        <v>4799</v>
      </c>
      <c r="G17" s="18">
        <f t="shared" ref="G17" si="42">SUM(G3:G16)</f>
        <v>4356</v>
      </c>
      <c r="H17" s="18">
        <f t="shared" ref="H17" si="43">SUM(H3:H16)</f>
        <v>4949</v>
      </c>
      <c r="I17" s="18">
        <f t="shared" ref="I17" si="44">SUM(I3:I16)</f>
        <v>4848</v>
      </c>
      <c r="J17" s="18">
        <f t="shared" ref="J17" si="45">SUM(J3:J16)</f>
        <v>5174</v>
      </c>
      <c r="K17" s="18">
        <f>SUM(K3:K16)</f>
        <v>4874</v>
      </c>
      <c r="L17" s="18">
        <f t="shared" ref="L17" si="46">SUM(L3:L16)</f>
        <v>5225</v>
      </c>
      <c r="M17" s="18">
        <f t="shared" ref="M17" si="47">SUM(M3:M16)</f>
        <v>5516</v>
      </c>
      <c r="N17" s="18">
        <f>SUM(N3:N16)</f>
        <v>5329</v>
      </c>
      <c r="O17" s="18">
        <f>SUM(O3:O16)</f>
        <v>5239</v>
      </c>
      <c r="P17" s="18">
        <f>SUM(P3:P16)</f>
        <v>5303.59</v>
      </c>
      <c r="Q17" s="18">
        <f>SUM(Q3:Q16)</f>
        <v>5619.079999999999</v>
      </c>
      <c r="R17" s="18">
        <f t="shared" ref="P17:R17" si="48">SUM(R3:R16)</f>
        <v>5507.8399999999992</v>
      </c>
      <c r="W17" s="17">
        <f t="shared" ref="W17:X17" si="49">SUM(W3:W16)</f>
        <v>18192</v>
      </c>
      <c r="X17" s="17">
        <f t="shared" si="49"/>
        <v>19327</v>
      </c>
      <c r="Y17" s="17">
        <f t="shared" ref="Y17" si="50">SUM(Y3:Y16)</f>
        <v>20944</v>
      </c>
      <c r="Z17" s="17">
        <f>SUM(Z3:Z16)</f>
        <v>21669.510000000006</v>
      </c>
      <c r="AA17" s="17">
        <f t="shared" ref="AA17:AN17" si="51">SUM(AA3:AA16)</f>
        <v>20881.390500000005</v>
      </c>
      <c r="AB17" s="17">
        <f t="shared" si="51"/>
        <v>19801.986055000001</v>
      </c>
      <c r="AC17" s="17">
        <f t="shared" si="51"/>
        <v>18900.557761249998</v>
      </c>
      <c r="AD17" s="17">
        <f t="shared" si="51"/>
        <v>18209.7600159535</v>
      </c>
      <c r="AE17" s="17">
        <f t="shared" si="51"/>
        <v>17649.278992115884</v>
      </c>
      <c r="AF17" s="17">
        <f t="shared" si="51"/>
        <v>17151.349495399387</v>
      </c>
      <c r="AG17" s="17">
        <f t="shared" si="51"/>
        <v>16596.943671939156</v>
      </c>
      <c r="AH17" s="17">
        <f t="shared" si="51"/>
        <v>16089.669039723058</v>
      </c>
      <c r="AI17" s="17">
        <f t="shared" si="51"/>
        <v>15622.469589838031</v>
      </c>
      <c r="AJ17" s="17">
        <f t="shared" si="51"/>
        <v>15164.984085347223</v>
      </c>
      <c r="AK17" s="17">
        <f t="shared" si="51"/>
        <v>14738.495811804869</v>
      </c>
      <c r="AL17" s="17">
        <f t="shared" si="51"/>
        <v>14340.607316035685</v>
      </c>
      <c r="AM17" s="17">
        <f t="shared" si="51"/>
        <v>13969.358017837827</v>
      </c>
      <c r="AN17" s="17">
        <f t="shared" si="51"/>
        <v>12748.217787536312</v>
      </c>
    </row>
    <row r="18" spans="2:40" s="13" customFormat="1" x14ac:dyDescent="0.2">
      <c r="B18" s="13" t="s">
        <v>33</v>
      </c>
      <c r="C18" s="14">
        <v>87</v>
      </c>
      <c r="D18" s="14">
        <v>84</v>
      </c>
      <c r="E18" s="14">
        <v>101</v>
      </c>
      <c r="F18" s="14">
        <v>212</v>
      </c>
      <c r="G18" s="14">
        <v>165</v>
      </c>
      <c r="H18" s="14">
        <v>231</v>
      </c>
      <c r="I18" s="14">
        <v>183</v>
      </c>
      <c r="J18" s="14">
        <v>157</v>
      </c>
      <c r="K18" s="14">
        <v>159</v>
      </c>
      <c r="L18" s="14">
        <v>145</v>
      </c>
      <c r="M18" s="14">
        <v>207</v>
      </c>
      <c r="N18" s="14">
        <v>207</v>
      </c>
      <c r="O18" s="14">
        <v>288</v>
      </c>
      <c r="P18" s="14">
        <f>+L18</f>
        <v>145</v>
      </c>
      <c r="Q18" s="14">
        <f t="shared" ref="Q18:R18" si="52">+M18</f>
        <v>207</v>
      </c>
      <c r="R18" s="14">
        <f t="shared" si="52"/>
        <v>207</v>
      </c>
      <c r="W18" s="13">
        <f>SUM(C18:F18)</f>
        <v>484</v>
      </c>
      <c r="X18" s="13">
        <f t="shared" si="5"/>
        <v>736</v>
      </c>
      <c r="Y18" s="13">
        <f t="shared" ref="Y18" si="53">SUM(N18:Q18)</f>
        <v>847</v>
      </c>
      <c r="Z18" s="13">
        <f t="shared" si="7"/>
        <v>847</v>
      </c>
      <c r="AA18" s="13">
        <f>+Z18*0.95</f>
        <v>804.65</v>
      </c>
      <c r="AB18" s="13">
        <f t="shared" si="38"/>
        <v>764.4174999999999</v>
      </c>
      <c r="AC18" s="13">
        <f t="shared" si="38"/>
        <v>726.19662499999993</v>
      </c>
      <c r="AD18" s="13">
        <f t="shared" si="38"/>
        <v>689.88679374999992</v>
      </c>
      <c r="AE18" s="13">
        <f t="shared" si="38"/>
        <v>655.39245406249995</v>
      </c>
      <c r="AF18" s="13">
        <f t="shared" si="38"/>
        <v>622.62283135937491</v>
      </c>
      <c r="AG18" s="13">
        <f t="shared" si="38"/>
        <v>591.49168979140609</v>
      </c>
      <c r="AH18" s="13">
        <f t="shared" si="38"/>
        <v>561.9171053018357</v>
      </c>
      <c r="AI18" s="13">
        <f t="shared" si="38"/>
        <v>533.82125003674389</v>
      </c>
      <c r="AJ18" s="13">
        <f t="shared" si="38"/>
        <v>507.13018753490667</v>
      </c>
      <c r="AK18" s="13">
        <f t="shared" si="38"/>
        <v>481.77367815816132</v>
      </c>
      <c r="AL18" s="13">
        <f t="shared" si="38"/>
        <v>457.68499425025323</v>
      </c>
      <c r="AM18" s="13">
        <f t="shared" si="38"/>
        <v>434.80074453774057</v>
      </c>
      <c r="AN18" s="13">
        <f t="shared" si="38"/>
        <v>413.0607073108535</v>
      </c>
    </row>
    <row r="19" spans="2:40" s="15" customFormat="1" x14ac:dyDescent="0.2">
      <c r="B19" s="15" t="s">
        <v>35</v>
      </c>
      <c r="C19" s="16">
        <f t="shared" ref="C19" si="54">+C18+C17</f>
        <v>4238</v>
      </c>
      <c r="D19" s="16">
        <f t="shared" ref="D19" si="55">+D18+D17</f>
        <v>4679</v>
      </c>
      <c r="E19" s="16">
        <f t="shared" ref="E19" si="56">+E18+E17</f>
        <v>4748</v>
      </c>
      <c r="F19" s="16">
        <f t="shared" ref="F19" si="57">+F18+F17</f>
        <v>5011</v>
      </c>
      <c r="G19" s="16">
        <f t="shared" ref="G19" si="58">+G18+G17</f>
        <v>4521</v>
      </c>
      <c r="H19" s="16">
        <f t="shared" ref="H19" si="59">+H18+H17</f>
        <v>5180</v>
      </c>
      <c r="I19" s="16">
        <f t="shared" ref="I19" si="60">+I18+I17</f>
        <v>5031</v>
      </c>
      <c r="J19" s="16">
        <f>+J18+J17</f>
        <v>5331</v>
      </c>
      <c r="K19" s="16">
        <f>+K18+K17</f>
        <v>5033</v>
      </c>
      <c r="L19" s="16">
        <f t="shared" ref="L19" si="61">+L18+L17</f>
        <v>5370</v>
      </c>
      <c r="M19" s="16">
        <f t="shared" ref="M19" si="62">+M18+M17</f>
        <v>5723</v>
      </c>
      <c r="N19" s="16">
        <f t="shared" ref="N19" si="63">+N18+N17</f>
        <v>5536</v>
      </c>
      <c r="O19" s="16">
        <f>+O18+O17</f>
        <v>5527</v>
      </c>
      <c r="P19" s="16">
        <f t="shared" ref="P19:R19" si="64">+P18+P17</f>
        <v>5448.59</v>
      </c>
      <c r="Q19" s="16">
        <f t="shared" si="64"/>
        <v>5826.079999999999</v>
      </c>
      <c r="R19" s="16">
        <f t="shared" si="64"/>
        <v>5714.8399999999992</v>
      </c>
      <c r="T19" s="15">
        <f t="shared" ref="T19:Y19" si="65">T18+T17</f>
        <v>0</v>
      </c>
      <c r="U19" s="15">
        <f t="shared" si="65"/>
        <v>0</v>
      </c>
      <c r="V19" s="15">
        <f t="shared" si="65"/>
        <v>0</v>
      </c>
      <c r="W19" s="15">
        <f t="shared" si="65"/>
        <v>18676</v>
      </c>
      <c r="X19" s="15">
        <f t="shared" si="65"/>
        <v>20063</v>
      </c>
      <c r="Y19" s="15">
        <f t="shared" si="65"/>
        <v>21791</v>
      </c>
      <c r="Z19" s="15">
        <f>Z18+Z17</f>
        <v>22516.510000000006</v>
      </c>
      <c r="AA19" s="15">
        <f t="shared" ref="AA19:AN19" si="66">AA18+AA17</f>
        <v>21686.040500000006</v>
      </c>
      <c r="AB19" s="15">
        <f t="shared" si="66"/>
        <v>20566.403555000001</v>
      </c>
      <c r="AC19" s="15">
        <f t="shared" si="66"/>
        <v>19626.754386249999</v>
      </c>
      <c r="AD19" s="15">
        <f t="shared" si="66"/>
        <v>18899.646809703499</v>
      </c>
      <c r="AE19" s="15">
        <f t="shared" si="66"/>
        <v>18304.671446178385</v>
      </c>
      <c r="AF19" s="15">
        <f t="shared" si="66"/>
        <v>17773.972326758761</v>
      </c>
      <c r="AG19" s="15">
        <f t="shared" si="66"/>
        <v>17188.435361730561</v>
      </c>
      <c r="AH19" s="15">
        <f t="shared" si="66"/>
        <v>16651.586145024892</v>
      </c>
      <c r="AI19" s="15">
        <f t="shared" si="66"/>
        <v>16156.290839874775</v>
      </c>
      <c r="AJ19" s="15">
        <f t="shared" si="66"/>
        <v>15672.114272882131</v>
      </c>
      <c r="AK19" s="15">
        <f t="shared" si="66"/>
        <v>15220.26948996303</v>
      </c>
      <c r="AL19" s="15">
        <f t="shared" si="66"/>
        <v>14798.292310285939</v>
      </c>
      <c r="AM19" s="15">
        <f t="shared" si="66"/>
        <v>14404.158762375568</v>
      </c>
      <c r="AN19" s="15">
        <f t="shared" si="66"/>
        <v>13161.278494847165</v>
      </c>
    </row>
    <row r="20" spans="2:40" s="13" customFormat="1" x14ac:dyDescent="0.2">
      <c r="B20" s="13" t="s">
        <v>46</v>
      </c>
      <c r="C20" s="14">
        <v>744</v>
      </c>
      <c r="D20" s="14">
        <v>785</v>
      </c>
      <c r="E20" s="14">
        <v>788</v>
      </c>
      <c r="F20" s="14">
        <v>1029</v>
      </c>
      <c r="G20" s="14">
        <v>1090</v>
      </c>
      <c r="H20" s="14">
        <v>1081</v>
      </c>
      <c r="I20" s="14">
        <v>1068</v>
      </c>
      <c r="J20" s="14">
        <v>1183</v>
      </c>
      <c r="K20" s="14">
        <v>1033</v>
      </c>
      <c r="L20" s="14">
        <v>1089</v>
      </c>
      <c r="M20" s="14">
        <v>1034</v>
      </c>
      <c r="N20" s="14">
        <v>1071</v>
      </c>
      <c r="O20" s="14">
        <v>1018</v>
      </c>
      <c r="P20" s="14">
        <f>+P19*0.18</f>
        <v>980.74620000000004</v>
      </c>
      <c r="Q20" s="14">
        <f t="shared" ref="Q20:R20" si="67">+Q19*0.18</f>
        <v>1048.6943999999999</v>
      </c>
      <c r="R20" s="14">
        <f t="shared" si="67"/>
        <v>1028.6711999999998</v>
      </c>
      <c r="W20" s="13">
        <f>SUM(C20:F20)</f>
        <v>3346</v>
      </c>
      <c r="X20" s="13">
        <f t="shared" ref="X20" si="68">SUM(G20:J20)</f>
        <v>4422</v>
      </c>
      <c r="Y20" s="13">
        <f t="shared" ref="Y20" si="69">SUM(N20:Q20)</f>
        <v>4118.4405999999999</v>
      </c>
      <c r="Z20" s="13">
        <f t="shared" ref="Z20" si="70">SUM(O20:R20)</f>
        <v>4076.1117999999997</v>
      </c>
    </row>
    <row r="21" spans="2:40" s="13" customFormat="1" x14ac:dyDescent="0.2">
      <c r="B21" s="13" t="s">
        <v>45</v>
      </c>
      <c r="C21" s="14">
        <f t="shared" ref="C21" si="71">+C19-C20</f>
        <v>3494</v>
      </c>
      <c r="D21" s="14">
        <f>+D19-D20</f>
        <v>3894</v>
      </c>
      <c r="E21" s="14">
        <f t="shared" ref="E21:F21" si="72">+E19-E20</f>
        <v>3960</v>
      </c>
      <c r="F21" s="14">
        <f t="shared" si="72"/>
        <v>3982</v>
      </c>
      <c r="G21" s="14">
        <f t="shared" ref="G21:I21" si="73">+G19-G20</f>
        <v>3431</v>
      </c>
      <c r="H21" s="14">
        <f t="shared" ref="H21" si="74">+H19-H20</f>
        <v>4099</v>
      </c>
      <c r="I21" s="14">
        <f t="shared" si="73"/>
        <v>3963</v>
      </c>
      <c r="J21" s="14">
        <f>+J19-J20</f>
        <v>4148</v>
      </c>
      <c r="K21" s="14">
        <f>+K19-K20</f>
        <v>4000</v>
      </c>
      <c r="L21" s="14">
        <f>+L19-L20</f>
        <v>4281</v>
      </c>
      <c r="M21" s="14">
        <f>+M19-M20</f>
        <v>4689</v>
      </c>
      <c r="N21" s="14">
        <f>+N19-N20</f>
        <v>4465</v>
      </c>
      <c r="O21" s="14">
        <f>+O19-O20</f>
        <v>4509</v>
      </c>
      <c r="P21" s="14">
        <f t="shared" ref="P21:R21" si="75">+P19-P20</f>
        <v>4467.8438000000006</v>
      </c>
      <c r="Q21" s="14">
        <f t="shared" si="75"/>
        <v>4777.3855999999996</v>
      </c>
      <c r="R21" s="14">
        <f t="shared" si="75"/>
        <v>4686.1687999999995</v>
      </c>
      <c r="W21" s="13">
        <f>+W19-W20</f>
        <v>15330</v>
      </c>
      <c r="X21" s="13">
        <f t="shared" ref="X21:Z21" si="76">+X19-X20</f>
        <v>15641</v>
      </c>
      <c r="Y21" s="13">
        <f t="shared" si="76"/>
        <v>17672.559399999998</v>
      </c>
      <c r="Z21" s="13">
        <f t="shared" si="76"/>
        <v>18440.398200000007</v>
      </c>
    </row>
    <row r="22" spans="2:40" s="13" customFormat="1" x14ac:dyDescent="0.2">
      <c r="B22" s="13" t="s">
        <v>44</v>
      </c>
      <c r="C22" s="14">
        <v>878</v>
      </c>
      <c r="D22" s="14">
        <v>967</v>
      </c>
      <c r="E22" s="14">
        <v>989</v>
      </c>
      <c r="F22" s="14">
        <v>1249</v>
      </c>
      <c r="G22" s="14">
        <v>1027</v>
      </c>
      <c r="H22" s="14">
        <v>1018</v>
      </c>
      <c r="I22" s="14">
        <v>1018</v>
      </c>
      <c r="J22" s="14">
        <v>1234</v>
      </c>
      <c r="K22" s="14">
        <v>894</v>
      </c>
      <c r="L22" s="14">
        <v>964</v>
      </c>
      <c r="M22" s="14">
        <v>1119</v>
      </c>
      <c r="N22" s="14">
        <v>1093</v>
      </c>
      <c r="O22" s="14">
        <v>872</v>
      </c>
      <c r="P22" s="14">
        <f t="shared" ref="P22:P23" si="77">+L22</f>
        <v>964</v>
      </c>
      <c r="Q22" s="14">
        <f t="shared" ref="Q22:Q23" si="78">+M22</f>
        <v>1119</v>
      </c>
      <c r="R22" s="14">
        <f t="shared" ref="R22:R23" si="79">+N22</f>
        <v>1093</v>
      </c>
      <c r="W22" s="13">
        <f>SUM(C22:F22)</f>
        <v>4083</v>
      </c>
      <c r="X22" s="13">
        <f t="shared" ref="X22:X23" si="80">SUM(G22:J22)</f>
        <v>4297</v>
      </c>
      <c r="Y22" s="13">
        <f t="shared" ref="Y22:Y23" si="81">SUM(N22:Q22)</f>
        <v>4048</v>
      </c>
      <c r="Z22" s="13">
        <f t="shared" ref="Z22:Z23" si="82">SUM(O22:R22)</f>
        <v>4048</v>
      </c>
    </row>
    <row r="23" spans="2:40" s="13" customFormat="1" x14ac:dyDescent="0.2">
      <c r="B23" s="13" t="s">
        <v>43</v>
      </c>
      <c r="C23" s="14">
        <f>1158+16</f>
        <v>1174</v>
      </c>
      <c r="D23" s="14">
        <f>1256+121</f>
        <v>1377</v>
      </c>
      <c r="E23" s="14">
        <f>1249+34</f>
        <v>1283</v>
      </c>
      <c r="F23" s="14">
        <f>1521+25</f>
        <v>1546</v>
      </c>
      <c r="G23" s="14">
        <f>1023+17</f>
        <v>1040</v>
      </c>
      <c r="H23" s="14">
        <f>1136+43</f>
        <v>1179</v>
      </c>
      <c r="I23" s="14">
        <f>1213+266</f>
        <v>1479</v>
      </c>
      <c r="J23" s="14">
        <f>1327+128</f>
        <v>1455</v>
      </c>
      <c r="K23" s="14">
        <f>1026+58</f>
        <v>1084</v>
      </c>
      <c r="L23" s="14">
        <f>1160+81</f>
        <v>1241</v>
      </c>
      <c r="M23" s="14">
        <f>1244-13</f>
        <v>1231</v>
      </c>
      <c r="N23" s="14">
        <f>1416-77</f>
        <v>1339</v>
      </c>
      <c r="O23" s="14">
        <f>1203+32</f>
        <v>1235</v>
      </c>
      <c r="P23" s="14">
        <f>+L23</f>
        <v>1241</v>
      </c>
      <c r="Q23" s="14">
        <f t="shared" si="78"/>
        <v>1231</v>
      </c>
      <c r="R23" s="14">
        <f t="shared" si="79"/>
        <v>1339</v>
      </c>
      <c r="W23" s="13">
        <f>SUM(C23:F23)</f>
        <v>5380</v>
      </c>
      <c r="X23" s="13">
        <f t="shared" si="80"/>
        <v>5153</v>
      </c>
      <c r="Y23" s="13">
        <f t="shared" si="81"/>
        <v>5046</v>
      </c>
      <c r="Z23" s="13">
        <f t="shared" si="82"/>
        <v>5046</v>
      </c>
    </row>
    <row r="24" spans="2:40" s="13" customFormat="1" x14ac:dyDescent="0.2">
      <c r="B24" s="13" t="s">
        <v>42</v>
      </c>
      <c r="C24" s="14">
        <f t="shared" ref="C24" si="83">+C23+C22</f>
        <v>2052</v>
      </c>
      <c r="D24" s="14">
        <f t="shared" ref="D24" si="84">+D23+D22</f>
        <v>2344</v>
      </c>
      <c r="E24" s="14">
        <f t="shared" ref="E24" si="85">+E23+E22</f>
        <v>2272</v>
      </c>
      <c r="F24" s="14">
        <f t="shared" ref="F24" si="86">+F23+F22</f>
        <v>2795</v>
      </c>
      <c r="G24" s="14">
        <f t="shared" ref="G24:I24" si="87">+G23+G22</f>
        <v>2067</v>
      </c>
      <c r="H24" s="14">
        <f t="shared" ref="H24" si="88">+H23+H22</f>
        <v>2197</v>
      </c>
      <c r="I24" s="14">
        <f t="shared" si="87"/>
        <v>2497</v>
      </c>
      <c r="J24" s="14">
        <f t="shared" ref="J24:K24" si="89">+J23+J22</f>
        <v>2689</v>
      </c>
      <c r="K24" s="14">
        <f t="shared" si="89"/>
        <v>1978</v>
      </c>
      <c r="L24" s="14">
        <f t="shared" ref="L24:N24" si="90">+L23+L22</f>
        <v>2205</v>
      </c>
      <c r="M24" s="14">
        <f t="shared" si="90"/>
        <v>2350</v>
      </c>
      <c r="N24" s="14">
        <f t="shared" si="90"/>
        <v>2432</v>
      </c>
      <c r="O24" s="14">
        <f>+O23+O22</f>
        <v>2107</v>
      </c>
      <c r="P24" s="14">
        <f t="shared" ref="P24:R24" si="91">+P23+P22</f>
        <v>2205</v>
      </c>
      <c r="Q24" s="14">
        <f t="shared" si="91"/>
        <v>2350</v>
      </c>
      <c r="R24" s="14">
        <f t="shared" si="91"/>
        <v>2432</v>
      </c>
      <c r="W24" s="14">
        <f t="shared" ref="W24:Z24" si="92">+W23+W22</f>
        <v>9463</v>
      </c>
      <c r="X24" s="14">
        <f t="shared" si="92"/>
        <v>9450</v>
      </c>
      <c r="Y24" s="14">
        <f t="shared" si="92"/>
        <v>9094</v>
      </c>
      <c r="Z24" s="14">
        <f t="shared" si="92"/>
        <v>9094</v>
      </c>
    </row>
    <row r="25" spans="2:40" s="13" customFormat="1" x14ac:dyDescent="0.2">
      <c r="B25" s="13" t="s">
        <v>41</v>
      </c>
      <c r="C25" s="14">
        <f t="shared" ref="C25" si="93">+C21-C24</f>
        <v>1442</v>
      </c>
      <c r="D25" s="14">
        <f t="shared" ref="D25" si="94">+D21-D24</f>
        <v>1550</v>
      </c>
      <c r="E25" s="14">
        <f t="shared" ref="E25" si="95">+E21-E24</f>
        <v>1688</v>
      </c>
      <c r="F25" s="14">
        <f t="shared" ref="F25" si="96">+F21-F24</f>
        <v>1187</v>
      </c>
      <c r="G25" s="14">
        <f t="shared" ref="G25:I25" si="97">+G21-G24</f>
        <v>1364</v>
      </c>
      <c r="H25" s="14">
        <f t="shared" ref="H25" si="98">+H21-H24</f>
        <v>1902</v>
      </c>
      <c r="I25" s="14">
        <f t="shared" si="97"/>
        <v>1466</v>
      </c>
      <c r="J25" s="14">
        <f t="shared" ref="J25:K25" si="99">+J21-J24</f>
        <v>1459</v>
      </c>
      <c r="K25" s="14">
        <f t="shared" si="99"/>
        <v>2022</v>
      </c>
      <c r="L25" s="14">
        <f t="shared" ref="L25:N25" si="100">+L21-L24</f>
        <v>2076</v>
      </c>
      <c r="M25" s="14">
        <f t="shared" si="100"/>
        <v>2339</v>
      </c>
      <c r="N25" s="14">
        <f t="shared" si="100"/>
        <v>2033</v>
      </c>
      <c r="O25" s="14">
        <f>+O21-O24</f>
        <v>2402</v>
      </c>
      <c r="P25" s="14">
        <f t="shared" ref="P25:R25" si="101">+P21-P24</f>
        <v>2262.8438000000006</v>
      </c>
      <c r="Q25" s="14">
        <f t="shared" si="101"/>
        <v>2427.3855999999996</v>
      </c>
      <c r="R25" s="14">
        <f t="shared" si="101"/>
        <v>2254.1687999999995</v>
      </c>
      <c r="W25" s="14">
        <f t="shared" ref="W25:Z25" si="102">+W21-W24</f>
        <v>5867</v>
      </c>
      <c r="X25" s="14">
        <f t="shared" si="102"/>
        <v>6191</v>
      </c>
      <c r="Y25" s="14">
        <f t="shared" si="102"/>
        <v>8578.5593999999983</v>
      </c>
      <c r="Z25" s="14">
        <f t="shared" si="102"/>
        <v>9346.3982000000069</v>
      </c>
    </row>
    <row r="26" spans="2:40" s="13" customFormat="1" x14ac:dyDescent="0.2">
      <c r="B26" s="13" t="s">
        <v>40</v>
      </c>
      <c r="C26" s="14">
        <f>-263+164</f>
        <v>-99</v>
      </c>
      <c r="D26" s="14">
        <f>-241+96</f>
        <v>-145</v>
      </c>
      <c r="E26" s="14">
        <f>-257+72</f>
        <v>-185</v>
      </c>
      <c r="F26" s="14">
        <f>-261+88</f>
        <v>-173</v>
      </c>
      <c r="G26" s="14">
        <f>-259+99</f>
        <v>-160</v>
      </c>
      <c r="H26" s="14">
        <f>-282+138</f>
        <v>-144</v>
      </c>
      <c r="I26" s="14">
        <f>-269+140</f>
        <v>-129</v>
      </c>
      <c r="J26" s="14">
        <f>-261+88</f>
        <v>-173</v>
      </c>
      <c r="K26" s="14">
        <f>-252+106</f>
        <v>-146</v>
      </c>
      <c r="L26" s="14">
        <f>-277+198</f>
        <v>-79</v>
      </c>
      <c r="M26" s="14">
        <f>-282+135</f>
        <v>-147</v>
      </c>
      <c r="N26" s="14">
        <f>-284+164</f>
        <v>-120</v>
      </c>
      <c r="O26" s="14">
        <f>-294+150</f>
        <v>-144</v>
      </c>
      <c r="P26" s="14">
        <v>0</v>
      </c>
      <c r="Q26" s="14">
        <v>0</v>
      </c>
      <c r="R26" s="14">
        <v>0</v>
      </c>
      <c r="W26" s="13">
        <f>SUM(C26:F26)</f>
        <v>-602</v>
      </c>
      <c r="X26" s="13">
        <f t="shared" ref="X26" si="103">SUM(G26:J26)</f>
        <v>-606</v>
      </c>
      <c r="Y26" s="13">
        <f t="shared" ref="Y26" si="104">SUM(N26:Q26)</f>
        <v>-264</v>
      </c>
      <c r="Z26" s="13">
        <f t="shared" ref="Z26" si="105">SUM(O26:R26)</f>
        <v>-144</v>
      </c>
    </row>
    <row r="27" spans="2:40" s="13" customFormat="1" x14ac:dyDescent="0.2">
      <c r="B27" s="13" t="s">
        <v>39</v>
      </c>
      <c r="C27" s="14">
        <f t="shared" ref="C27" si="106">+C25+C26</f>
        <v>1343</v>
      </c>
      <c r="D27" s="14">
        <f t="shared" ref="D27:F27" si="107">+D25+D26</f>
        <v>1405</v>
      </c>
      <c r="E27" s="14">
        <f t="shared" ref="E27" si="108">+E25+E26</f>
        <v>1503</v>
      </c>
      <c r="F27" s="14">
        <f t="shared" si="107"/>
        <v>1014</v>
      </c>
      <c r="G27" s="14">
        <f t="shared" ref="G27:I27" si="109">+G25+G26</f>
        <v>1204</v>
      </c>
      <c r="H27" s="14">
        <f t="shared" ref="H27" si="110">+H25+H26</f>
        <v>1758</v>
      </c>
      <c r="I27" s="14">
        <f t="shared" si="109"/>
        <v>1337</v>
      </c>
      <c r="J27" s="14">
        <f t="shared" ref="J27" si="111">+J25+J26</f>
        <v>1286</v>
      </c>
      <c r="K27" s="14">
        <f>+K25+K26</f>
        <v>1876</v>
      </c>
      <c r="L27" s="14">
        <f t="shared" ref="L27:N27" si="112">+L25+L26</f>
        <v>1997</v>
      </c>
      <c r="M27" s="14">
        <f t="shared" si="112"/>
        <v>2192</v>
      </c>
      <c r="N27" s="14">
        <f t="shared" si="112"/>
        <v>1913</v>
      </c>
      <c r="O27" s="14">
        <f>+O25+O26</f>
        <v>2258</v>
      </c>
      <c r="P27" s="14">
        <f t="shared" ref="P27:R27" si="113">+P25+P26</f>
        <v>2262.8438000000006</v>
      </c>
      <c r="Q27" s="14">
        <f t="shared" si="113"/>
        <v>2427.3855999999996</v>
      </c>
      <c r="R27" s="14">
        <f t="shared" si="113"/>
        <v>2254.1687999999995</v>
      </c>
      <c r="W27" s="14">
        <f t="shared" ref="W27" si="114">+W25+W26</f>
        <v>5265</v>
      </c>
      <c r="X27" s="14">
        <f t="shared" ref="X27" si="115">+X25+X26</f>
        <v>5585</v>
      </c>
      <c r="Y27" s="14">
        <f t="shared" ref="Y27" si="116">+Y25+Y26</f>
        <v>8314.5593999999983</v>
      </c>
      <c r="Z27" s="14">
        <f t="shared" ref="Z27" si="117">+Z25+Z26</f>
        <v>9202.3982000000069</v>
      </c>
    </row>
    <row r="28" spans="2:40" s="13" customFormat="1" x14ac:dyDescent="0.2">
      <c r="B28" s="13" t="s">
        <v>38</v>
      </c>
      <c r="C28" s="14">
        <v>-91</v>
      </c>
      <c r="D28" s="14">
        <v>147</v>
      </c>
      <c r="E28" s="14">
        <v>135</v>
      </c>
      <c r="F28" s="14">
        <v>-7</v>
      </c>
      <c r="G28" s="14">
        <v>131</v>
      </c>
      <c r="H28" s="14">
        <v>211</v>
      </c>
      <c r="I28" s="14">
        <v>93</v>
      </c>
      <c r="J28" s="14">
        <v>-8</v>
      </c>
      <c r="K28" s="14">
        <v>253</v>
      </c>
      <c r="L28" s="14">
        <v>344</v>
      </c>
      <c r="M28" s="14">
        <v>329</v>
      </c>
      <c r="N28" s="14">
        <v>113</v>
      </c>
      <c r="O28" s="14">
        <v>358</v>
      </c>
      <c r="P28" s="14">
        <f>+P27*0.15</f>
        <v>339.42657000000008</v>
      </c>
      <c r="Q28" s="14">
        <f t="shared" ref="Q28:R28" si="118">+Q27*0.15</f>
        <v>364.10783999999995</v>
      </c>
      <c r="R28" s="14">
        <f t="shared" si="118"/>
        <v>338.12531999999993</v>
      </c>
      <c r="W28" s="13">
        <f>SUM(C28:F28)</f>
        <v>184</v>
      </c>
      <c r="X28" s="13">
        <f t="shared" ref="X28" si="119">SUM(G28:J28)</f>
        <v>427</v>
      </c>
      <c r="Y28" s="13">
        <f t="shared" ref="Y28" si="120">SUM(N28:Q28)</f>
        <v>1174.53441</v>
      </c>
      <c r="Z28" s="13">
        <f t="shared" ref="Z28" si="121">SUM(O28:R28)</f>
        <v>1399.6597299999999</v>
      </c>
    </row>
    <row r="29" spans="2:40" s="13" customFormat="1" x14ac:dyDescent="0.2">
      <c r="B29" s="13" t="s">
        <v>37</v>
      </c>
      <c r="C29" s="14">
        <f t="shared" ref="C29" si="122">+C27-C28</f>
        <v>1434</v>
      </c>
      <c r="D29" s="14">
        <f t="shared" ref="D29:F29" si="123">+D27-D28</f>
        <v>1258</v>
      </c>
      <c r="E29" s="14">
        <f t="shared" ref="E29" si="124">+E27-E28</f>
        <v>1368</v>
      </c>
      <c r="F29" s="14">
        <f t="shared" si="123"/>
        <v>1021</v>
      </c>
      <c r="G29" s="14">
        <f t="shared" ref="G29:I29" si="125">+G27-G28</f>
        <v>1073</v>
      </c>
      <c r="H29" s="14">
        <f t="shared" ref="H29" si="126">+H27-H28</f>
        <v>1547</v>
      </c>
      <c r="I29" s="14">
        <f t="shared" si="125"/>
        <v>1244</v>
      </c>
      <c r="J29" s="14">
        <f t="shared" ref="J29" si="127">+J27-J28</f>
        <v>1294</v>
      </c>
      <c r="K29" s="14">
        <f>+K27-K28</f>
        <v>1623</v>
      </c>
      <c r="L29" s="14">
        <f t="shared" ref="L29:N29" si="128">+L27-L28</f>
        <v>1653</v>
      </c>
      <c r="M29" s="14">
        <f t="shared" si="128"/>
        <v>1863</v>
      </c>
      <c r="N29" s="14">
        <f t="shared" si="128"/>
        <v>1800</v>
      </c>
      <c r="O29" s="14">
        <f>+O27-O28</f>
        <v>1900</v>
      </c>
      <c r="P29" s="14">
        <f t="shared" ref="P29" si="129">+P27-P28</f>
        <v>1923.4172300000005</v>
      </c>
      <c r="Q29" s="14">
        <f t="shared" ref="Q29" si="130">+Q27-Q28</f>
        <v>2063.2777599999995</v>
      </c>
      <c r="R29" s="14">
        <f t="shared" ref="R29" si="131">+R27-R28</f>
        <v>1916.0434799999996</v>
      </c>
      <c r="W29" s="13">
        <f>+W27-W28</f>
        <v>5081</v>
      </c>
      <c r="X29" s="13">
        <f t="shared" ref="X29:Z29" si="132">+X27-X28</f>
        <v>5158</v>
      </c>
      <c r="Y29" s="13">
        <f t="shared" si="132"/>
        <v>7140.0249899999981</v>
      </c>
      <c r="Z29" s="13">
        <f t="shared" si="132"/>
        <v>7802.7384700000075</v>
      </c>
    </row>
    <row r="30" spans="2:40" s="13" customFormat="1" x14ac:dyDescent="0.2">
      <c r="B30" s="13" t="s">
        <v>36</v>
      </c>
      <c r="C30" s="19">
        <f t="shared" ref="C30" si="133">C29/C31</f>
        <v>1.8769633507853403</v>
      </c>
      <c r="D30" s="19">
        <f t="shared" ref="D30:F30" si="134">D29/D31</f>
        <v>1.6465968586387434</v>
      </c>
      <c r="E30" s="19">
        <f t="shared" ref="E30" si="135">E29/E31</f>
        <v>1.7859007832898173</v>
      </c>
      <c r="F30" s="19">
        <f t="shared" si="134"/>
        <v>1.3328981723237598</v>
      </c>
      <c r="G30" s="19">
        <f t="shared" ref="G30:I30" si="136">G29/G31</f>
        <v>1.3971354166666667</v>
      </c>
      <c r="H30" s="19">
        <f t="shared" ref="H30" si="137">H29/H31</f>
        <v>2.0143229166666665</v>
      </c>
      <c r="I30" s="19">
        <f t="shared" si="136"/>
        <v>1.6134889753566797</v>
      </c>
      <c r="J30" s="19">
        <f t="shared" ref="J30" si="138">J29/J31</f>
        <v>1.6761658031088082</v>
      </c>
      <c r="K30" s="19">
        <f>K29/K31</f>
        <v>2.1077922077922078</v>
      </c>
      <c r="L30" s="19">
        <f t="shared" ref="L30:N30" si="139">L29/L31</f>
        <v>2.15234375</v>
      </c>
      <c r="M30" s="19">
        <f t="shared" si="139"/>
        <v>2.4384816753926701</v>
      </c>
      <c r="N30" s="19">
        <f t="shared" si="139"/>
        <v>2.3653088042049935</v>
      </c>
      <c r="O30" s="19">
        <f>O29/O31</f>
        <v>2.5</v>
      </c>
      <c r="P30" s="19">
        <f t="shared" ref="P30" si="140">P29/P31</f>
        <v>2.5308121447368426</v>
      </c>
      <c r="Q30" s="19">
        <f t="shared" ref="Q30" si="141">Q29/Q31</f>
        <v>2.714839157894736</v>
      </c>
      <c r="R30" s="19">
        <f t="shared" ref="R30" si="142">R29/R31</f>
        <v>2.5211098421052625</v>
      </c>
      <c r="W30" s="1">
        <f t="shared" ref="W30:Y30" si="143">W29/W31</f>
        <v>6.6418300653594775</v>
      </c>
      <c r="X30" s="1">
        <f t="shared" si="143"/>
        <v>6.7008769080870412</v>
      </c>
      <c r="Y30" s="1">
        <f t="shared" si="143"/>
        <v>9.324224603330066</v>
      </c>
      <c r="Z30" s="1">
        <f>Z29/Z31</f>
        <v>10.266761144736853</v>
      </c>
    </row>
    <row r="31" spans="2:40" s="13" customFormat="1" x14ac:dyDescent="0.2">
      <c r="B31" s="13" t="s">
        <v>1</v>
      </c>
      <c r="C31" s="14">
        <v>764</v>
      </c>
      <c r="D31" s="14">
        <v>764</v>
      </c>
      <c r="E31" s="14">
        <v>766</v>
      </c>
      <c r="F31" s="14">
        <v>766</v>
      </c>
      <c r="G31" s="14">
        <v>768</v>
      </c>
      <c r="H31" s="14">
        <v>768</v>
      </c>
      <c r="I31" s="14">
        <v>771</v>
      </c>
      <c r="J31" s="14">
        <v>772</v>
      </c>
      <c r="K31" s="14">
        <v>770</v>
      </c>
      <c r="L31" s="14">
        <v>768</v>
      </c>
      <c r="M31" s="14">
        <v>764</v>
      </c>
      <c r="N31" s="14">
        <v>761</v>
      </c>
      <c r="O31" s="14">
        <v>760</v>
      </c>
      <c r="P31" s="14">
        <f>+O31</f>
        <v>760</v>
      </c>
      <c r="Q31" s="14">
        <f t="shared" ref="Q31:R31" si="144">+P31</f>
        <v>760</v>
      </c>
      <c r="R31" s="14">
        <f t="shared" si="144"/>
        <v>760</v>
      </c>
      <c r="W31" s="13">
        <f>AVERAGE(C31:F31)</f>
        <v>765</v>
      </c>
      <c r="X31" s="13">
        <f>AVERAGE(G31:J31)</f>
        <v>769.75</v>
      </c>
      <c r="Y31" s="13">
        <f>AVERAGE(K31:N31)</f>
        <v>765.75</v>
      </c>
      <c r="Z31" s="13">
        <f>AVERAGE(O31:R31)</f>
        <v>760</v>
      </c>
    </row>
    <row r="32" spans="2:40" s="13" customFormat="1" x14ac:dyDescent="0.2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2:40" s="13" customFormat="1" x14ac:dyDescent="0.2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2:40" s="13" customFormat="1" x14ac:dyDescent="0.2">
      <c r="B34" s="13" t="s">
        <v>48</v>
      </c>
      <c r="C34" s="14"/>
      <c r="D34" s="14"/>
      <c r="E34" s="14"/>
      <c r="F34" s="14"/>
      <c r="G34" s="20">
        <f t="shared" ref="G34" si="145">G19/C19-1</f>
        <v>6.6776781500707871E-2</v>
      </c>
      <c r="H34" s="20">
        <f t="shared" ref="H34" si="146">H19/D19-1</f>
        <v>0.10707416114554391</v>
      </c>
      <c r="I34" s="20">
        <f t="shared" ref="I34" si="147">I19/E19-1</f>
        <v>5.960404380791906E-2</v>
      </c>
      <c r="J34" s="20">
        <f t="shared" ref="J34" si="148">J19/F19-1</f>
        <v>6.3859509080024024E-2</v>
      </c>
      <c r="K34" s="20">
        <f t="shared" ref="K34" si="149">K19/G19-1</f>
        <v>0.11324928113249277</v>
      </c>
      <c r="L34" s="20">
        <f t="shared" ref="L34" si="150">L19/H19-1</f>
        <v>3.6679536679536717E-2</v>
      </c>
      <c r="M34" s="20">
        <f t="shared" ref="M34" si="151">M19/I19-1</f>
        <v>0.13754720731464909</v>
      </c>
      <c r="N34" s="20">
        <f t="shared" ref="N34" si="152">N19/J19-1</f>
        <v>3.8454323766647924E-2</v>
      </c>
      <c r="O34" s="20">
        <f>O19/K19-1</f>
        <v>9.8152195509636497E-2</v>
      </c>
      <c r="P34" s="20">
        <f t="shared" ref="P34:R34" si="153">P19/L19-1</f>
        <v>1.4635009310987046E-2</v>
      </c>
      <c r="Q34" s="20">
        <f t="shared" si="153"/>
        <v>1.8011532413069853E-2</v>
      </c>
      <c r="R34" s="20">
        <f t="shared" si="153"/>
        <v>3.2304913294797455E-2</v>
      </c>
    </row>
    <row r="35" spans="2:40" s="13" customFormat="1" x14ac:dyDescent="0.2">
      <c r="B35" s="13" t="s">
        <v>47</v>
      </c>
      <c r="C35" s="20">
        <f t="shared" ref="C35:K35" si="154">C21/C19</f>
        <v>0.82444549315714954</v>
      </c>
      <c r="D35" s="20">
        <f t="shared" si="154"/>
        <v>0.8322291087839282</v>
      </c>
      <c r="E35" s="20">
        <f t="shared" si="154"/>
        <v>0.83403538331929228</v>
      </c>
      <c r="F35" s="20">
        <f t="shared" si="154"/>
        <v>0.79465176611454802</v>
      </c>
      <c r="G35" s="20">
        <f t="shared" si="154"/>
        <v>0.75890289758902896</v>
      </c>
      <c r="H35" s="20">
        <f t="shared" si="154"/>
        <v>0.79131274131274132</v>
      </c>
      <c r="I35" s="20">
        <f t="shared" si="154"/>
        <v>0.78771615980918308</v>
      </c>
      <c r="J35" s="20">
        <f t="shared" si="154"/>
        <v>0.7780904145563684</v>
      </c>
      <c r="K35" s="20">
        <f t="shared" si="154"/>
        <v>0.79475461951122595</v>
      </c>
      <c r="L35" s="20">
        <f t="shared" ref="L35:O35" si="155">L21/L19</f>
        <v>0.79720670391061454</v>
      </c>
      <c r="M35" s="20">
        <f t="shared" si="155"/>
        <v>0.81932552856893237</v>
      </c>
      <c r="N35" s="20">
        <f t="shared" si="155"/>
        <v>0.8065390173410405</v>
      </c>
      <c r="O35" s="20">
        <f>O21/O19</f>
        <v>0.81581328026053912</v>
      </c>
      <c r="P35" s="20">
        <f t="shared" ref="P35:R35" si="156">P21/P19</f>
        <v>0.82000000000000006</v>
      </c>
      <c r="Q35" s="20">
        <f t="shared" si="156"/>
        <v>0.82000000000000006</v>
      </c>
      <c r="R35" s="20">
        <f t="shared" si="156"/>
        <v>0.82000000000000006</v>
      </c>
    </row>
    <row r="36" spans="2:40" s="13" customFormat="1" x14ac:dyDescent="0.2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2:40" s="15" customFormat="1" x14ac:dyDescent="0.2">
      <c r="B37" s="15" t="s">
        <v>59</v>
      </c>
      <c r="C37" s="16"/>
      <c r="D37" s="16"/>
      <c r="E37" s="16"/>
      <c r="F37" s="16"/>
      <c r="G37" s="21">
        <f t="shared" ref="G37:N37" si="157">G19/C19-1</f>
        <v>6.6776781500707871E-2</v>
      </c>
      <c r="H37" s="21">
        <f t="shared" si="157"/>
        <v>0.10707416114554391</v>
      </c>
      <c r="I37" s="21">
        <f t="shared" si="157"/>
        <v>5.960404380791906E-2</v>
      </c>
      <c r="J37" s="21">
        <f t="shared" si="157"/>
        <v>6.3859509080024024E-2</v>
      </c>
      <c r="K37" s="21">
        <f t="shared" si="157"/>
        <v>0.11324928113249277</v>
      </c>
      <c r="L37" s="21">
        <f t="shared" si="157"/>
        <v>3.6679536679536717E-2</v>
      </c>
      <c r="M37" s="21">
        <f t="shared" si="157"/>
        <v>0.13754720731464909</v>
      </c>
      <c r="N37" s="21">
        <f t="shared" si="157"/>
        <v>3.8454323766647924E-2</v>
      </c>
      <c r="O37" s="21">
        <f>O19/K19-1</f>
        <v>9.8152195509636497E-2</v>
      </c>
      <c r="P37" s="21">
        <f t="shared" ref="P37:R37" si="158">P19/L19-1</f>
        <v>1.4635009310987046E-2</v>
      </c>
      <c r="Q37" s="21">
        <f t="shared" si="158"/>
        <v>1.8011532413069853E-2</v>
      </c>
      <c r="R37" s="21">
        <f t="shared" si="158"/>
        <v>3.2304913294797455E-2</v>
      </c>
      <c r="X37" s="22">
        <f>+X19/W19-1</f>
        <v>7.4266438209466656E-2</v>
      </c>
      <c r="Y37" s="22">
        <f t="shared" ref="Y37:AN37" si="159">+Y19/X19-1</f>
        <v>8.6128694611972367E-2</v>
      </c>
      <c r="Z37" s="22">
        <f t="shared" si="159"/>
        <v>3.3294020467165675E-2</v>
      </c>
      <c r="AA37" s="22">
        <f t="shared" si="159"/>
        <v>-3.6882691855886995E-2</v>
      </c>
      <c r="AB37" s="22">
        <f t="shared" si="159"/>
        <v>-5.1629385502623415E-2</v>
      </c>
      <c r="AC37" s="22">
        <f t="shared" si="159"/>
        <v>-4.568855056437704E-2</v>
      </c>
      <c r="AD37" s="22">
        <f t="shared" si="159"/>
        <v>-3.7046755782295437E-2</v>
      </c>
      <c r="AE37" s="22">
        <f t="shared" si="159"/>
        <v>-3.1480766255358894E-2</v>
      </c>
      <c r="AF37" s="22">
        <f t="shared" si="159"/>
        <v>-2.8992550944170192E-2</v>
      </c>
      <c r="AG37" s="22">
        <f t="shared" si="159"/>
        <v>-3.2943506058388139E-2</v>
      </c>
      <c r="AH37" s="22">
        <f t="shared" si="159"/>
        <v>-3.1233163775973738E-2</v>
      </c>
      <c r="AI37" s="22">
        <f t="shared" si="159"/>
        <v>-2.9744632183168918E-2</v>
      </c>
      <c r="AJ37" s="22">
        <f t="shared" si="159"/>
        <v>-2.9968299765789408E-2</v>
      </c>
      <c r="AK37" s="22">
        <f t="shared" si="159"/>
        <v>-2.8831131208693406E-2</v>
      </c>
      <c r="AL37" s="22">
        <f t="shared" si="159"/>
        <v>-2.7724685161150564E-2</v>
      </c>
      <c r="AM37" s="22">
        <f t="shared" si="159"/>
        <v>-2.6633718245747784E-2</v>
      </c>
      <c r="AN37" s="22">
        <f t="shared" si="159"/>
        <v>-8.6286209978112205E-2</v>
      </c>
    </row>
    <row r="38" spans="2:40" s="13" customFormat="1" x14ac:dyDescent="0.2">
      <c r="B38" s="13" t="s">
        <v>55</v>
      </c>
      <c r="C38" s="14"/>
      <c r="D38" s="14"/>
      <c r="E38" s="14"/>
      <c r="F38" s="14"/>
      <c r="G38" s="20">
        <f t="shared" ref="G38:N38" si="160">+G3/C3-1</f>
        <v>-4.9085659287776751E-2</v>
      </c>
      <c r="H38" s="20">
        <f t="shared" si="160"/>
        <v>7.4330164217804695E-2</v>
      </c>
      <c r="I38" s="20">
        <f t="shared" si="160"/>
        <v>-3.0303030303030276E-2</v>
      </c>
      <c r="J38" s="20">
        <f t="shared" si="160"/>
        <v>0.11416666666666675</v>
      </c>
      <c r="K38" s="20">
        <f t="shared" si="160"/>
        <v>0.12955465587044523</v>
      </c>
      <c r="L38" s="20">
        <f t="shared" si="160"/>
        <v>8.4473049074818896E-2</v>
      </c>
      <c r="M38" s="20">
        <f t="shared" si="160"/>
        <v>0.30267857142857135</v>
      </c>
      <c r="N38" s="20">
        <f t="shared" si="160"/>
        <v>7.7786088257292496E-2</v>
      </c>
      <c r="O38" s="20">
        <f>+O3/K3-1</f>
        <v>0.24103942652329757</v>
      </c>
      <c r="P38" s="20">
        <f t="shared" ref="P38:R41" si="161">+P3/L3-1</f>
        <v>5.0000000000000044E-2</v>
      </c>
      <c r="Q38" s="20">
        <f t="shared" si="161"/>
        <v>5.0000000000000044E-2</v>
      </c>
      <c r="R38" s="20">
        <f t="shared" si="161"/>
        <v>5.0000000000000044E-2</v>
      </c>
    </row>
    <row r="39" spans="2:40" s="13" customFormat="1" x14ac:dyDescent="0.2">
      <c r="B39" s="13" t="s">
        <v>56</v>
      </c>
      <c r="C39" s="14"/>
      <c r="D39" s="14"/>
      <c r="E39" s="14"/>
      <c r="F39" s="14"/>
      <c r="G39" s="20">
        <f t="shared" ref="G39:G41" si="162">+G4/C4-1</f>
        <v>4.908565928777664E-2</v>
      </c>
      <c r="H39" s="20">
        <f t="shared" ref="H39:H41" si="163">+H4/D4-1</f>
        <v>1.1607142857142927E-2</v>
      </c>
      <c r="I39" s="20">
        <f t="shared" ref="I39:I41" si="164">+I4/E4-1</f>
        <v>5.1101321585903081E-2</v>
      </c>
      <c r="J39" s="20">
        <f t="shared" ref="J39:J41" si="165">+J4/F4-1</f>
        <v>7.468123861566478E-2</v>
      </c>
      <c r="K39" s="20">
        <f t="shared" ref="K39:K41" si="166">+K4/G4-1</f>
        <v>4.0366972477064111E-2</v>
      </c>
      <c r="L39" s="20">
        <f t="shared" ref="L39:L41" si="167">+L4/H4-1</f>
        <v>2.2065313327449321E-2</v>
      </c>
      <c r="M39" s="20">
        <f t="shared" ref="M39:M41" si="168">+M4/I4-1</f>
        <v>6.2028499580888408E-2</v>
      </c>
      <c r="N39" s="20">
        <f t="shared" ref="N39:O41" si="169">+N4/J4-1</f>
        <v>-2.033898305084747E-2</v>
      </c>
      <c r="O39" s="20">
        <f t="shared" si="169"/>
        <v>4.3209876543209846E-2</v>
      </c>
      <c r="P39" s="20">
        <f t="shared" si="161"/>
        <v>0</v>
      </c>
      <c r="Q39" s="20">
        <f t="shared" si="161"/>
        <v>0</v>
      </c>
      <c r="R39" s="20">
        <f t="shared" si="161"/>
        <v>0</v>
      </c>
    </row>
    <row r="40" spans="2:40" s="13" customFormat="1" x14ac:dyDescent="0.2">
      <c r="B40" s="13" t="s">
        <v>57</v>
      </c>
      <c r="C40" s="14"/>
      <c r="D40" s="14"/>
      <c r="E40" s="14"/>
      <c r="F40" s="14"/>
      <c r="G40" s="20">
        <f t="shared" si="162"/>
        <v>-1.7094017094017144E-2</v>
      </c>
      <c r="H40" s="20">
        <f t="shared" si="163"/>
        <v>-1.3358778625954248E-2</v>
      </c>
      <c r="I40" s="20">
        <f t="shared" si="164"/>
        <v>5.5679287305122394E-2</v>
      </c>
      <c r="J40" s="20">
        <f t="shared" si="165"/>
        <v>1.9148936170212849E-2</v>
      </c>
      <c r="K40" s="20">
        <f t="shared" si="166"/>
        <v>4.3478260869565188E-2</v>
      </c>
      <c r="L40" s="20">
        <f t="shared" si="167"/>
        <v>-7.3500967117988369E-2</v>
      </c>
      <c r="M40" s="20">
        <f t="shared" si="168"/>
        <v>4.0084388185654074E-2</v>
      </c>
      <c r="N40" s="20">
        <f t="shared" si="169"/>
        <v>4.175365344467652E-2</v>
      </c>
      <c r="O40" s="20">
        <f t="shared" ref="O40:O41" si="170">+O5/K5-1</f>
        <v>0.10833333333333339</v>
      </c>
      <c r="P40" s="20">
        <f t="shared" si="161"/>
        <v>1.0000000000000009E-2</v>
      </c>
      <c r="Q40" s="20">
        <f t="shared" si="161"/>
        <v>1.0000000000000009E-2</v>
      </c>
      <c r="R40" s="20">
        <f t="shared" si="161"/>
        <v>1.0000000000000009E-2</v>
      </c>
    </row>
    <row r="41" spans="2:40" s="13" customFormat="1" x14ac:dyDescent="0.2">
      <c r="B41" s="13" t="s">
        <v>58</v>
      </c>
      <c r="C41" s="14"/>
      <c r="D41" s="14"/>
      <c r="E41" s="14"/>
      <c r="F41" s="14"/>
      <c r="G41" s="20">
        <f t="shared" si="162"/>
        <v>0.25112107623318392</v>
      </c>
      <c r="H41" s="20">
        <f t="shared" si="163"/>
        <v>0.20080321285140568</v>
      </c>
      <c r="I41" s="20">
        <f t="shared" si="164"/>
        <v>0.21839080459770122</v>
      </c>
      <c r="J41" s="20">
        <f t="shared" si="165"/>
        <v>0.13636363636363646</v>
      </c>
      <c r="K41" s="20">
        <f t="shared" si="166"/>
        <v>0.21863799283154117</v>
      </c>
      <c r="L41" s="20">
        <f t="shared" si="167"/>
        <v>0.10702341137123739</v>
      </c>
      <c r="M41" s="20">
        <f t="shared" si="168"/>
        <v>0.18867924528301883</v>
      </c>
      <c r="N41" s="20">
        <f t="shared" si="169"/>
        <v>9.5384615384615401E-2</v>
      </c>
      <c r="O41" s="20">
        <f t="shared" si="170"/>
        <v>0.11176470588235299</v>
      </c>
      <c r="P41" s="20">
        <f t="shared" si="161"/>
        <v>0.10000000000000009</v>
      </c>
      <c r="Q41" s="20">
        <f t="shared" si="161"/>
        <v>0.10000000000000009</v>
      </c>
      <c r="R41" s="20">
        <f t="shared" si="161"/>
        <v>0.10000000000000009</v>
      </c>
    </row>
    <row r="42" spans="2:40" s="13" customFormat="1" x14ac:dyDescent="0.2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2:40" s="13" customFormat="1" x14ac:dyDescent="0.2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2:40" s="13" customFormat="1" x14ac:dyDescent="0.2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2:40" s="13" customFormat="1" x14ac:dyDescent="0.2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2:40" s="13" customFormat="1" x14ac:dyDescent="0.2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2:40" s="13" customFormat="1" x14ac:dyDescent="0.2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2:40" s="13" customFormat="1" x14ac:dyDescent="0.2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2016-04-29T00:24:32Z</dcterms:created>
  <dcterms:modified xsi:type="dcterms:W3CDTF">2016-07-04T05:44:05Z</dcterms:modified>
</cp:coreProperties>
</file>