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D:\Filer\Investing\Investing Class\"/>
    </mc:Choice>
  </mc:AlternateContent>
  <bookViews>
    <workbookView xWindow="0" yWindow="0" windowWidth="21570" windowHeight="7965" activeTab="1"/>
  </bookViews>
  <sheets>
    <sheet name="Main" sheetId="1" r:id="rId1"/>
    <sheet name="Model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22" i="2" l="1"/>
  <c r="AY22" i="2"/>
  <c r="AX22" i="2"/>
  <c r="AW22" i="2"/>
  <c r="AV22" i="2"/>
  <c r="AU22" i="2"/>
  <c r="AT22" i="2"/>
  <c r="AW21" i="2"/>
  <c r="AX21" i="2" s="1"/>
  <c r="AY21" i="2" s="1"/>
  <c r="AZ21" i="2" s="1"/>
  <c r="BA21" i="2" s="1"/>
  <c r="BB21" i="2" s="1"/>
  <c r="AV21" i="2"/>
  <c r="AU21" i="2"/>
  <c r="AT21" i="2"/>
  <c r="AQ21" i="2"/>
  <c r="AR21" i="2" s="1"/>
  <c r="AS21" i="2" s="1"/>
  <c r="AQ22" i="2"/>
  <c r="AR22" i="2" s="1"/>
  <c r="AS22" i="2" s="1"/>
  <c r="BA22" i="2" l="1"/>
  <c r="BB22" i="2" s="1"/>
  <c r="AP34" i="2"/>
  <c r="AO34" i="2"/>
  <c r="AQ40" i="2" l="1"/>
  <c r="AR40" i="2"/>
  <c r="AS40" i="2"/>
  <c r="AT27" i="2"/>
  <c r="AU27" i="2" s="1"/>
  <c r="AT28" i="2"/>
  <c r="AU28" i="2"/>
  <c r="AV28" i="2"/>
  <c r="AW28" i="2" s="1"/>
  <c r="AX28" i="2" s="1"/>
  <c r="AY28" i="2" s="1"/>
  <c r="AZ28" i="2" s="1"/>
  <c r="BA28" i="2" s="1"/>
  <c r="BB28" i="2" s="1"/>
  <c r="AT29" i="2"/>
  <c r="AU29" i="2"/>
  <c r="AV29" i="2" s="1"/>
  <c r="AW29" i="2" s="1"/>
  <c r="AX29" i="2" s="1"/>
  <c r="AY29" i="2" s="1"/>
  <c r="AZ29" i="2" s="1"/>
  <c r="BA29" i="2" s="1"/>
  <c r="BB29" i="2" s="1"/>
  <c r="AT30" i="2"/>
  <c r="AT32" i="2"/>
  <c r="AU32" i="2"/>
  <c r="AV32" i="2"/>
  <c r="AW32" i="2" s="1"/>
  <c r="AX32" i="2" s="1"/>
  <c r="AY32" i="2" s="1"/>
  <c r="AZ32" i="2" s="1"/>
  <c r="BA32" i="2" s="1"/>
  <c r="BB32" i="2" s="1"/>
  <c r="AS32" i="2"/>
  <c r="AS29" i="2"/>
  <c r="AS28" i="2"/>
  <c r="AS27" i="2"/>
  <c r="AT39" i="2"/>
  <c r="BE45" i="2"/>
  <c r="BE42" i="2"/>
  <c r="AT23" i="2" l="1"/>
  <c r="AT26" i="2" s="1"/>
  <c r="AT31" i="2" s="1"/>
  <c r="AT33" i="2" s="1"/>
  <c r="AT40" i="2"/>
  <c r="AU30" i="2"/>
  <c r="AV27" i="2"/>
  <c r="AU23" i="2"/>
  <c r="AU26" i="2" s="1"/>
  <c r="AU39" i="2"/>
  <c r="AU40" i="2"/>
  <c r="AP21" i="2"/>
  <c r="AO28" i="2"/>
  <c r="AP28" i="2" s="1"/>
  <c r="AQ28" i="2" s="1"/>
  <c r="AR28" i="2" s="1"/>
  <c r="AO27" i="2"/>
  <c r="AP27" i="2" s="1"/>
  <c r="AQ27" i="2" s="1"/>
  <c r="AR27" i="2" s="1"/>
  <c r="AO22" i="2"/>
  <c r="AO23" i="2" s="1"/>
  <c r="AO26" i="2" s="1"/>
  <c r="AO21" i="2"/>
  <c r="AO39" i="2" s="1"/>
  <c r="O61" i="2"/>
  <c r="O47" i="2"/>
  <c r="O46" i="2" s="1"/>
  <c r="AN40" i="2"/>
  <c r="AN39" i="2"/>
  <c r="AN34" i="2"/>
  <c r="AN32" i="2"/>
  <c r="AO32" i="2" s="1"/>
  <c r="AP32" i="2" s="1"/>
  <c r="AQ32" i="2" s="1"/>
  <c r="AR32" i="2" s="1"/>
  <c r="AN29" i="2"/>
  <c r="AO29" i="2" s="1"/>
  <c r="AP29" i="2" s="1"/>
  <c r="AQ29" i="2" s="1"/>
  <c r="AR29" i="2" s="1"/>
  <c r="AN23" i="2"/>
  <c r="O32" i="2"/>
  <c r="O29" i="2"/>
  <c r="O30" i="2" s="1"/>
  <c r="O39" i="2"/>
  <c r="O40" i="2"/>
  <c r="N34" i="2"/>
  <c r="N32" i="2"/>
  <c r="N29" i="2"/>
  <c r="N8" i="2"/>
  <c r="K8" i="2"/>
  <c r="L8" i="2"/>
  <c r="M8" i="2"/>
  <c r="M61" i="2"/>
  <c r="M47" i="2"/>
  <c r="M46" i="2" s="1"/>
  <c r="M34" i="2"/>
  <c r="M29" i="2"/>
  <c r="M30" i="2" s="1"/>
  <c r="M32" i="2"/>
  <c r="AT34" i="2" l="1"/>
  <c r="AT35" i="2" s="1"/>
  <c r="AT36" i="2" s="1"/>
  <c r="AX23" i="2"/>
  <c r="AX26" i="2" s="1"/>
  <c r="AV30" i="2"/>
  <c r="AW27" i="2"/>
  <c r="AV23" i="2"/>
  <c r="AV26" i="2" s="1"/>
  <c r="AU31" i="2"/>
  <c r="AU33" i="2" s="1"/>
  <c r="AW23" i="2"/>
  <c r="AW26" i="2" s="1"/>
  <c r="AU41" i="2"/>
  <c r="AV39" i="2"/>
  <c r="AV40" i="2"/>
  <c r="AN30" i="2"/>
  <c r="O53" i="2"/>
  <c r="AO40" i="2"/>
  <c r="AP39" i="2"/>
  <c r="AP22" i="2"/>
  <c r="AR30" i="2"/>
  <c r="AQ39" i="2"/>
  <c r="AO41" i="2"/>
  <c r="AO30" i="2"/>
  <c r="AO31" i="2" s="1"/>
  <c r="M53" i="2"/>
  <c r="AN26" i="2"/>
  <c r="AQ30" i="2"/>
  <c r="AP23" i="2"/>
  <c r="AP30" i="2"/>
  <c r="AO43" i="2"/>
  <c r="AO33" i="2"/>
  <c r="AO35" i="2" s="1"/>
  <c r="AO36" i="2" s="1"/>
  <c r="AO44" i="2"/>
  <c r="L91" i="2"/>
  <c r="L84" i="2"/>
  <c r="K78" i="2"/>
  <c r="L78" i="2"/>
  <c r="K91" i="2"/>
  <c r="K84" i="2"/>
  <c r="L61" i="2"/>
  <c r="L47" i="2"/>
  <c r="L46" i="2" s="1"/>
  <c r="R23" i="2"/>
  <c r="Q23" i="2"/>
  <c r="P23" i="2"/>
  <c r="O23" i="2"/>
  <c r="L34" i="2"/>
  <c r="L32" i="2"/>
  <c r="L40" i="2"/>
  <c r="L39" i="2"/>
  <c r="AU34" i="2" l="1"/>
  <c r="AU35" i="2" s="1"/>
  <c r="AU36" i="2" s="1"/>
  <c r="AW31" i="2"/>
  <c r="AW33" i="2" s="1"/>
  <c r="AV31" i="2"/>
  <c r="AV33" i="2" s="1"/>
  <c r="AY23" i="2"/>
  <c r="AY26" i="2" s="1"/>
  <c r="AX27" i="2"/>
  <c r="AW30" i="2"/>
  <c r="AU43" i="2"/>
  <c r="AW39" i="2"/>
  <c r="AT43" i="2"/>
  <c r="AV41" i="2"/>
  <c r="AW40" i="2"/>
  <c r="AR39" i="2"/>
  <c r="AS30" i="2"/>
  <c r="K93" i="2"/>
  <c r="L93" i="2"/>
  <c r="AP40" i="2"/>
  <c r="L53" i="2"/>
  <c r="O26" i="2"/>
  <c r="AN31" i="2"/>
  <c r="AN43" i="2"/>
  <c r="AP41" i="2"/>
  <c r="AP26" i="2"/>
  <c r="AG29" i="2"/>
  <c r="AH26" i="2"/>
  <c r="AF26" i="2"/>
  <c r="AD41" i="2"/>
  <c r="AC41" i="2"/>
  <c r="AB41" i="2"/>
  <c r="AA41" i="2"/>
  <c r="Z41" i="2"/>
  <c r="Y41" i="2"/>
  <c r="X41" i="2"/>
  <c r="W41" i="2"/>
  <c r="V41" i="2"/>
  <c r="U41" i="2"/>
  <c r="X24" i="2"/>
  <c r="W24" i="2"/>
  <c r="V24" i="2"/>
  <c r="V26" i="2" s="1"/>
  <c r="U24" i="2"/>
  <c r="U26" i="2" s="1"/>
  <c r="T24" i="2"/>
  <c r="W26" i="2"/>
  <c r="T26" i="2"/>
  <c r="X26" i="2"/>
  <c r="AC26" i="2"/>
  <c r="AB26" i="2"/>
  <c r="Y26" i="2"/>
  <c r="Z26" i="2"/>
  <c r="AA26" i="2"/>
  <c r="AV34" i="2" l="1"/>
  <c r="AV35" i="2" s="1"/>
  <c r="AV36" i="2" s="1"/>
  <c r="AW34" i="2"/>
  <c r="AW35" i="2" s="1"/>
  <c r="AW36" i="2" s="1"/>
  <c r="AX30" i="2"/>
  <c r="AX31" i="2" s="1"/>
  <c r="AX33" i="2" s="1"/>
  <c r="AY27" i="2"/>
  <c r="AZ23" i="2"/>
  <c r="AZ26" i="2" s="1"/>
  <c r="AT44" i="2"/>
  <c r="AU44" i="2"/>
  <c r="AW41" i="2"/>
  <c r="AX40" i="2"/>
  <c r="AV43" i="2"/>
  <c r="AX39" i="2"/>
  <c r="AS39" i="2"/>
  <c r="AQ23" i="2"/>
  <c r="O31" i="2"/>
  <c r="O43" i="2"/>
  <c r="AN44" i="2"/>
  <c r="AN33" i="2"/>
  <c r="AP31" i="2"/>
  <c r="AP43" i="2"/>
  <c r="N40" i="2"/>
  <c r="M40" i="2"/>
  <c r="N39" i="2"/>
  <c r="M39" i="2"/>
  <c r="K40" i="2"/>
  <c r="J40" i="2"/>
  <c r="I40" i="2"/>
  <c r="H40" i="2"/>
  <c r="G40" i="2"/>
  <c r="K61" i="2"/>
  <c r="K47" i="2"/>
  <c r="K46" i="2" s="1"/>
  <c r="K34" i="2"/>
  <c r="K32" i="2"/>
  <c r="K29" i="2"/>
  <c r="K30" i="2" s="1"/>
  <c r="K39" i="2"/>
  <c r="K23" i="2"/>
  <c r="AX34" i="2" l="1"/>
  <c r="AX35" i="2" s="1"/>
  <c r="AX36" i="2" s="1"/>
  <c r="BB23" i="2"/>
  <c r="BB26" i="2" s="1"/>
  <c r="BA23" i="2"/>
  <c r="BA26" i="2" s="1"/>
  <c r="AY30" i="2"/>
  <c r="AY31" i="2" s="1"/>
  <c r="AY33" i="2" s="1"/>
  <c r="AZ27" i="2"/>
  <c r="AY39" i="2"/>
  <c r="AY40" i="2"/>
  <c r="AV44" i="2"/>
  <c r="AX41" i="2"/>
  <c r="AW43" i="2"/>
  <c r="K53" i="2"/>
  <c r="AN35" i="2"/>
  <c r="AN36" i="2" s="1"/>
  <c r="AQ26" i="2"/>
  <c r="AQ41" i="2"/>
  <c r="AR23" i="2"/>
  <c r="K26" i="2"/>
  <c r="K43" i="2" s="1"/>
  <c r="O41" i="2"/>
  <c r="O33" i="2"/>
  <c r="O35" i="2" s="1"/>
  <c r="O36" i="2" s="1"/>
  <c r="O44" i="2"/>
  <c r="AP33" i="2"/>
  <c r="AP35" i="2" s="1"/>
  <c r="AP36" i="2" s="1"/>
  <c r="AP44" i="2"/>
  <c r="L23" i="2"/>
  <c r="L26" i="2" s="1"/>
  <c r="M23" i="2"/>
  <c r="M26" i="2" s="1"/>
  <c r="M31" i="2" s="1"/>
  <c r="N23" i="2"/>
  <c r="N26" i="2" s="1"/>
  <c r="K31" i="2"/>
  <c r="AD32" i="2"/>
  <c r="AD29" i="2"/>
  <c r="AD30" i="2" s="1"/>
  <c r="AE32" i="2"/>
  <c r="AE29" i="2"/>
  <c r="AE30" i="2" s="1"/>
  <c r="AE41" i="2"/>
  <c r="AF41" i="2"/>
  <c r="AD26" i="2"/>
  <c r="AD43" i="2" s="1"/>
  <c r="AE26" i="2"/>
  <c r="AE43" i="2" s="1"/>
  <c r="AF34" i="2"/>
  <c r="AF32" i="2"/>
  <c r="AF29" i="2"/>
  <c r="AF30" i="2" s="1"/>
  <c r="AG41" i="2"/>
  <c r="AF43" i="2"/>
  <c r="AH41" i="2"/>
  <c r="AG34" i="2"/>
  <c r="AG32" i="2"/>
  <c r="AG30" i="2"/>
  <c r="AG26" i="2"/>
  <c r="AG43" i="2" s="1"/>
  <c r="AH34" i="2"/>
  <c r="AH32" i="2"/>
  <c r="AH29" i="2"/>
  <c r="AH30" i="2" s="1"/>
  <c r="AH43" i="2"/>
  <c r="AH2" i="2"/>
  <c r="AG2" i="2" s="1"/>
  <c r="AF2" i="2" s="1"/>
  <c r="AE2" i="2" s="1"/>
  <c r="AD2" i="2" s="1"/>
  <c r="AC2" i="2" s="1"/>
  <c r="AB2" i="2" s="1"/>
  <c r="AA2" i="2" s="1"/>
  <c r="Z2" i="2" s="1"/>
  <c r="Y2" i="2" s="1"/>
  <c r="X2" i="2" s="1"/>
  <c r="W2" i="2" s="1"/>
  <c r="V2" i="2" s="1"/>
  <c r="U2" i="2" s="1"/>
  <c r="T2" i="2" s="1"/>
  <c r="AJ40" i="2"/>
  <c r="AI34" i="2"/>
  <c r="AI32" i="2"/>
  <c r="AI29" i="2"/>
  <c r="AI30" i="2" s="1"/>
  <c r="AI23" i="2"/>
  <c r="AI26" i="2" s="1"/>
  <c r="AI43" i="2" s="1"/>
  <c r="AK40" i="2"/>
  <c r="AJ34" i="2"/>
  <c r="AJ32" i="2"/>
  <c r="AJ29" i="2"/>
  <c r="AJ30" i="2" s="1"/>
  <c r="AJ23" i="2"/>
  <c r="AJ26" i="2" s="1"/>
  <c r="AJ43" i="2" s="1"/>
  <c r="AL40" i="2"/>
  <c r="AK34" i="2"/>
  <c r="AK32" i="2"/>
  <c r="AK29" i="2"/>
  <c r="AK30" i="2" s="1"/>
  <c r="AK23" i="2"/>
  <c r="AK26" i="2" s="1"/>
  <c r="AK43" i="2" s="1"/>
  <c r="AM40" i="2"/>
  <c r="AL34" i="2"/>
  <c r="AL32" i="2"/>
  <c r="AL29" i="2"/>
  <c r="AL30" i="2" s="1"/>
  <c r="AL23" i="2"/>
  <c r="AL26" i="2" s="1"/>
  <c r="AL43" i="2" s="1"/>
  <c r="AM39" i="2"/>
  <c r="AM34" i="2"/>
  <c r="AM32" i="2"/>
  <c r="AM29" i="2"/>
  <c r="AM30" i="2" s="1"/>
  <c r="AM23" i="2"/>
  <c r="AY34" i="2" l="1"/>
  <c r="AY35" i="2" s="1"/>
  <c r="AY36" i="2" s="1"/>
  <c r="BA27" i="2"/>
  <c r="AZ30" i="2"/>
  <c r="AZ31" i="2" s="1"/>
  <c r="AZ33" i="2" s="1"/>
  <c r="AZ39" i="2"/>
  <c r="AX43" i="2"/>
  <c r="AY41" i="2"/>
  <c r="AW44" i="2"/>
  <c r="AZ40" i="2"/>
  <c r="AS23" i="2"/>
  <c r="AT41" i="2" s="1"/>
  <c r="AQ43" i="2"/>
  <c r="AQ31" i="2"/>
  <c r="AR41" i="2"/>
  <c r="AR26" i="2"/>
  <c r="AM26" i="2"/>
  <c r="AM43" i="2" s="1"/>
  <c r="AN41" i="2"/>
  <c r="N43" i="2"/>
  <c r="M43" i="2"/>
  <c r="L43" i="2"/>
  <c r="AJ41" i="2"/>
  <c r="AI41" i="2"/>
  <c r="K33" i="2"/>
  <c r="K35" i="2" s="1"/>
  <c r="K44" i="2"/>
  <c r="AD31" i="2"/>
  <c r="AE31" i="2"/>
  <c r="AF31" i="2"/>
  <c r="AG31" i="2"/>
  <c r="AH31" i="2"/>
  <c r="AI31" i="2"/>
  <c r="AM41" i="2"/>
  <c r="AL41" i="2"/>
  <c r="AK41" i="2"/>
  <c r="AM31" i="2"/>
  <c r="AJ31" i="2"/>
  <c r="AK31" i="2"/>
  <c r="AL31" i="2"/>
  <c r="J12" i="2"/>
  <c r="I12" i="2"/>
  <c r="H12" i="2"/>
  <c r="J16" i="2"/>
  <c r="I16" i="2"/>
  <c r="H16" i="2"/>
  <c r="J15" i="2"/>
  <c r="I15" i="2"/>
  <c r="H15" i="2"/>
  <c r="J14" i="2"/>
  <c r="I14" i="2"/>
  <c r="H14" i="2"/>
  <c r="J13" i="2"/>
  <c r="I13" i="2"/>
  <c r="H13" i="2"/>
  <c r="AZ34" i="2" l="1"/>
  <c r="AZ35" i="2" s="1"/>
  <c r="AZ36" i="2" s="1"/>
  <c r="BB27" i="2"/>
  <c r="BB30" i="2" s="1"/>
  <c r="BB31" i="2" s="1"/>
  <c r="BB33" i="2" s="1"/>
  <c r="BA30" i="2"/>
  <c r="BA31" i="2" s="1"/>
  <c r="BA33" i="2" s="1"/>
  <c r="AY43" i="2"/>
  <c r="AX44" i="2"/>
  <c r="BA40" i="2"/>
  <c r="AZ41" i="2"/>
  <c r="BB39" i="2"/>
  <c r="BA39" i="2"/>
  <c r="AR31" i="2"/>
  <c r="AR43" i="2"/>
  <c r="AQ44" i="2"/>
  <c r="AQ33" i="2"/>
  <c r="AQ34" i="2" s="1"/>
  <c r="AS26" i="2"/>
  <c r="AS41" i="2"/>
  <c r="K36" i="2"/>
  <c r="K63" i="2"/>
  <c r="AF33" i="2"/>
  <c r="AF35" i="2" s="1"/>
  <c r="AF36" i="2" s="1"/>
  <c r="AF44" i="2"/>
  <c r="AE33" i="2"/>
  <c r="AE35" i="2" s="1"/>
  <c r="AE36" i="2" s="1"/>
  <c r="AE44" i="2"/>
  <c r="AI33" i="2"/>
  <c r="AI35" i="2" s="1"/>
  <c r="AI36" i="2" s="1"/>
  <c r="AI44" i="2"/>
  <c r="AG33" i="2"/>
  <c r="AG35" i="2" s="1"/>
  <c r="AG36" i="2" s="1"/>
  <c r="AG44" i="2"/>
  <c r="AD33" i="2"/>
  <c r="AD35" i="2" s="1"/>
  <c r="AD36" i="2" s="1"/>
  <c r="AD44" i="2"/>
  <c r="AH33" i="2"/>
  <c r="AH35" i="2" s="1"/>
  <c r="AH36" i="2" s="1"/>
  <c r="AH44" i="2"/>
  <c r="AL33" i="2"/>
  <c r="AL35" i="2" s="1"/>
  <c r="AL36" i="2" s="1"/>
  <c r="AL44" i="2"/>
  <c r="AJ33" i="2"/>
  <c r="AJ35" i="2" s="1"/>
  <c r="AJ36" i="2" s="1"/>
  <c r="AJ44" i="2"/>
  <c r="AM33" i="2"/>
  <c r="AM35" i="2" s="1"/>
  <c r="AM36" i="2" s="1"/>
  <c r="AM44" i="2"/>
  <c r="AK33" i="2"/>
  <c r="AK35" i="2" s="1"/>
  <c r="AK36" i="2" s="1"/>
  <c r="AK44" i="2"/>
  <c r="I8" i="2"/>
  <c r="H8" i="2"/>
  <c r="G8" i="2"/>
  <c r="G9" i="2" s="1"/>
  <c r="F8" i="2"/>
  <c r="F9" i="2" s="1"/>
  <c r="BA34" i="2" l="1"/>
  <c r="BA35" i="2" s="1"/>
  <c r="BA36" i="2" s="1"/>
  <c r="BB34" i="2"/>
  <c r="BB35" i="2" s="1"/>
  <c r="BB36" i="2" s="1"/>
  <c r="BB40" i="2"/>
  <c r="AY44" i="2"/>
  <c r="AZ43" i="2"/>
  <c r="BA41" i="2"/>
  <c r="AS43" i="2"/>
  <c r="AS31" i="2"/>
  <c r="AQ35" i="2"/>
  <c r="AQ36" i="2" s="1"/>
  <c r="AR33" i="2"/>
  <c r="AR44" i="2"/>
  <c r="F10" i="2"/>
  <c r="H9" i="2"/>
  <c r="G10" i="2"/>
  <c r="I9" i="2"/>
  <c r="I10" i="2" s="1"/>
  <c r="E8" i="2"/>
  <c r="E9" i="2" s="1"/>
  <c r="E10" i="2" s="1"/>
  <c r="D8" i="2"/>
  <c r="C8" i="2"/>
  <c r="C9" i="2" s="1"/>
  <c r="J8" i="2"/>
  <c r="AJ39" i="2"/>
  <c r="AK39" i="2"/>
  <c r="AL39" i="2"/>
  <c r="J39" i="2"/>
  <c r="I39" i="2"/>
  <c r="H39" i="2"/>
  <c r="G39" i="2"/>
  <c r="C34" i="2"/>
  <c r="C30" i="2"/>
  <c r="C23" i="2"/>
  <c r="C26" i="2" s="1"/>
  <c r="C31" i="2" s="1"/>
  <c r="C33" i="2" s="1"/>
  <c r="G34" i="2"/>
  <c r="G29" i="2"/>
  <c r="G30" i="2" s="1"/>
  <c r="G23" i="2"/>
  <c r="D34" i="2"/>
  <c r="D29" i="2"/>
  <c r="D30" i="2" s="1"/>
  <c r="D23" i="2"/>
  <c r="D26" i="2" s="1"/>
  <c r="D43" i="2" s="1"/>
  <c r="H34" i="2"/>
  <c r="H29" i="2"/>
  <c r="H23" i="2"/>
  <c r="L41" i="2" s="1"/>
  <c r="E34" i="2"/>
  <c r="E29" i="2"/>
  <c r="E30" i="2" s="1"/>
  <c r="E23" i="2"/>
  <c r="E26" i="2" s="1"/>
  <c r="E43" i="2" s="1"/>
  <c r="I34" i="2"/>
  <c r="I32" i="2"/>
  <c r="I29" i="2"/>
  <c r="I23" i="2"/>
  <c r="AR34" i="2" l="1"/>
  <c r="AR35" i="2" s="1"/>
  <c r="AR36" i="2" s="1"/>
  <c r="BA43" i="2"/>
  <c r="AZ44" i="2"/>
  <c r="BB41" i="2"/>
  <c r="AS33" i="2"/>
  <c r="AS44" i="2"/>
  <c r="C35" i="2"/>
  <c r="C36" i="2" s="1"/>
  <c r="H30" i="2"/>
  <c r="L30" i="2"/>
  <c r="L31" i="2" s="1"/>
  <c r="I30" i="2"/>
  <c r="H26" i="2"/>
  <c r="H43" i="2" s="1"/>
  <c r="I26" i="2"/>
  <c r="I43" i="2" s="1"/>
  <c r="M41" i="2"/>
  <c r="G26" i="2"/>
  <c r="G43" i="2" s="1"/>
  <c r="K41" i="2"/>
  <c r="I41" i="2"/>
  <c r="H41" i="2"/>
  <c r="G41" i="2"/>
  <c r="J17" i="2"/>
  <c r="J9" i="2"/>
  <c r="J18" i="2" s="1"/>
  <c r="D9" i="2"/>
  <c r="D10" i="2" s="1"/>
  <c r="I18" i="2"/>
  <c r="C44" i="2"/>
  <c r="I17" i="2"/>
  <c r="C43" i="2"/>
  <c r="H10" i="2"/>
  <c r="H17" i="2"/>
  <c r="D31" i="2"/>
  <c r="E31" i="2"/>
  <c r="K4" i="1"/>
  <c r="K7" i="1" s="1"/>
  <c r="F34" i="2"/>
  <c r="F32" i="2"/>
  <c r="F29" i="2"/>
  <c r="F30" i="2" s="1"/>
  <c r="F23" i="2"/>
  <c r="F26" i="2" s="1"/>
  <c r="J34" i="2"/>
  <c r="J32" i="2"/>
  <c r="J29" i="2"/>
  <c r="J23" i="2"/>
  <c r="AL2" i="2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AS34" i="2" l="1"/>
  <c r="AS35" i="2" s="1"/>
  <c r="AS36" i="2" s="1"/>
  <c r="BB43" i="2"/>
  <c r="BA44" i="2"/>
  <c r="I31" i="2"/>
  <c r="I33" i="2" s="1"/>
  <c r="H31" i="2"/>
  <c r="H33" i="2" s="1"/>
  <c r="M44" i="2"/>
  <c r="M33" i="2"/>
  <c r="M35" i="2" s="1"/>
  <c r="M36" i="2" s="1"/>
  <c r="L44" i="2"/>
  <c r="L33" i="2"/>
  <c r="L35" i="2" s="1"/>
  <c r="J30" i="2"/>
  <c r="N30" i="2"/>
  <c r="N31" i="2" s="1"/>
  <c r="G31" i="2"/>
  <c r="G33" i="2" s="1"/>
  <c r="J41" i="2"/>
  <c r="N41" i="2"/>
  <c r="H18" i="2"/>
  <c r="I44" i="2"/>
  <c r="J26" i="2"/>
  <c r="J43" i="2" s="1"/>
  <c r="J10" i="2"/>
  <c r="D33" i="2"/>
  <c r="D44" i="2"/>
  <c r="E33" i="2"/>
  <c r="E44" i="2"/>
  <c r="F31" i="2"/>
  <c r="F33" i="2" s="1"/>
  <c r="F35" i="2" s="1"/>
  <c r="F36" i="2" s="1"/>
  <c r="F43" i="2"/>
  <c r="BB44" i="2" l="1"/>
  <c r="H44" i="2"/>
  <c r="L36" i="2"/>
  <c r="L63" i="2"/>
  <c r="N33" i="2"/>
  <c r="N35" i="2" s="1"/>
  <c r="N36" i="2" s="1"/>
  <c r="N44" i="2"/>
  <c r="G44" i="2"/>
  <c r="J31" i="2"/>
  <c r="J33" i="2" s="1"/>
  <c r="G35" i="2"/>
  <c r="G36" i="2" s="1"/>
  <c r="H35" i="2"/>
  <c r="H36" i="2" s="1"/>
  <c r="I35" i="2"/>
  <c r="I36" i="2" s="1"/>
  <c r="E35" i="2"/>
  <c r="E36" i="2" s="1"/>
  <c r="D35" i="2"/>
  <c r="D36" i="2" s="1"/>
  <c r="F44" i="2"/>
  <c r="J44" i="2" l="1"/>
  <c r="J35" i="2"/>
  <c r="J36" i="2" s="1"/>
  <c r="BC35" i="2" l="1"/>
  <c r="BD35" i="2" s="1"/>
  <c r="BE35" i="2" s="1"/>
  <c r="BF35" i="2" s="1"/>
  <c r="BG35" i="2" s="1"/>
  <c r="BH35" i="2" s="1"/>
  <c r="BI35" i="2" s="1"/>
  <c r="BJ35" i="2" s="1"/>
  <c r="BK35" i="2" s="1"/>
  <c r="BL35" i="2" s="1"/>
  <c r="BM35" i="2" s="1"/>
  <c r="BN35" i="2" s="1"/>
  <c r="BO35" i="2" s="1"/>
  <c r="BP35" i="2" s="1"/>
  <c r="BQ35" i="2" s="1"/>
  <c r="BR35" i="2" s="1"/>
  <c r="BS35" i="2" s="1"/>
  <c r="BT35" i="2" s="1"/>
  <c r="BU35" i="2" s="1"/>
  <c r="BV35" i="2" s="1"/>
  <c r="BW35" i="2" s="1"/>
  <c r="BX35" i="2" s="1"/>
  <c r="BY35" i="2" s="1"/>
  <c r="BZ35" i="2" s="1"/>
  <c r="CA35" i="2" s="1"/>
  <c r="CB35" i="2" s="1"/>
  <c r="CC35" i="2" s="1"/>
  <c r="CD35" i="2" s="1"/>
  <c r="CE35" i="2" s="1"/>
  <c r="CF35" i="2" s="1"/>
  <c r="CG35" i="2" s="1"/>
  <c r="CH35" i="2" s="1"/>
  <c r="CI35" i="2" s="1"/>
  <c r="CJ35" i="2" s="1"/>
  <c r="CK35" i="2" s="1"/>
  <c r="CL35" i="2" s="1"/>
  <c r="CM35" i="2" s="1"/>
  <c r="CN35" i="2" s="1"/>
  <c r="CO35" i="2" s="1"/>
  <c r="CP35" i="2" s="1"/>
  <c r="CQ35" i="2" s="1"/>
  <c r="CR35" i="2" s="1"/>
  <c r="CS35" i="2" s="1"/>
  <c r="CT35" i="2" s="1"/>
  <c r="CU35" i="2" s="1"/>
  <c r="CV35" i="2" s="1"/>
  <c r="CW35" i="2" s="1"/>
  <c r="CX35" i="2" s="1"/>
  <c r="CY35" i="2" s="1"/>
  <c r="CZ35" i="2" s="1"/>
  <c r="DA35" i="2" s="1"/>
  <c r="DB35" i="2" s="1"/>
  <c r="DC35" i="2" s="1"/>
  <c r="DD35" i="2" s="1"/>
  <c r="DE35" i="2" s="1"/>
  <c r="DF35" i="2" s="1"/>
  <c r="DG35" i="2" s="1"/>
  <c r="DH35" i="2" s="1"/>
  <c r="DI35" i="2" s="1"/>
  <c r="DJ35" i="2" s="1"/>
  <c r="DK35" i="2" s="1"/>
  <c r="DL35" i="2" s="1"/>
  <c r="DM35" i="2" s="1"/>
  <c r="DN35" i="2" s="1"/>
  <c r="DO35" i="2" s="1"/>
  <c r="DP35" i="2" s="1"/>
  <c r="DQ35" i="2" s="1"/>
  <c r="DR35" i="2" s="1"/>
  <c r="DS35" i="2" s="1"/>
  <c r="DT35" i="2" s="1"/>
  <c r="DU35" i="2" s="1"/>
  <c r="DV35" i="2" s="1"/>
  <c r="DW35" i="2" s="1"/>
  <c r="DX35" i="2" s="1"/>
  <c r="DY35" i="2" s="1"/>
  <c r="DZ35" i="2" s="1"/>
  <c r="EA35" i="2" s="1"/>
  <c r="BE41" i="2" s="1"/>
  <c r="BE43" i="2" s="1"/>
  <c r="BE44" i="2" s="1"/>
</calcChain>
</file>

<file path=xl/sharedStrings.xml><?xml version="1.0" encoding="utf-8"?>
<sst xmlns="http://schemas.openxmlformats.org/spreadsheetml/2006/main" count="117" uniqueCount="96">
  <si>
    <t>Price</t>
  </si>
  <si>
    <t>Shares</t>
  </si>
  <si>
    <t>MC</t>
  </si>
  <si>
    <t>Cash</t>
  </si>
  <si>
    <t>Debt</t>
  </si>
  <si>
    <t>EV</t>
  </si>
  <si>
    <t>Revenue</t>
  </si>
  <si>
    <t>Q114</t>
  </si>
  <si>
    <t>Q214</t>
  </si>
  <si>
    <t>Q314</t>
  </si>
  <si>
    <t>Q414</t>
  </si>
  <si>
    <t>Q115</t>
  </si>
  <si>
    <t>Q215</t>
  </si>
  <si>
    <t>Q315</t>
  </si>
  <si>
    <t>Q415</t>
  </si>
  <si>
    <t>Q116</t>
  </si>
  <si>
    <t>Q216</t>
  </si>
  <si>
    <t>Q316</t>
  </si>
  <si>
    <t>Q416</t>
  </si>
  <si>
    <t>Product Sales</t>
  </si>
  <si>
    <t>Services Sales</t>
  </si>
  <si>
    <t>COGS</t>
  </si>
  <si>
    <t>Gross Margin</t>
  </si>
  <si>
    <t>Fulfillment</t>
  </si>
  <si>
    <t>Marketing</t>
  </si>
  <si>
    <t>Technology and content</t>
  </si>
  <si>
    <t>G&amp;A</t>
  </si>
  <si>
    <t>Operating Costs</t>
  </si>
  <si>
    <t>Operating Income</t>
  </si>
  <si>
    <t>Interest Income</t>
  </si>
  <si>
    <t>Pretax Income</t>
  </si>
  <si>
    <t>Taxes</t>
  </si>
  <si>
    <t>Net Income</t>
  </si>
  <si>
    <t>EPS</t>
  </si>
  <si>
    <t>Operating Margin</t>
  </si>
  <si>
    <t>Revenue Growth</t>
  </si>
  <si>
    <t>Product Growth</t>
  </si>
  <si>
    <t>WMT</t>
  </si>
  <si>
    <t>EBAY</t>
  </si>
  <si>
    <t>AMZN</t>
  </si>
  <si>
    <t>TGT</t>
  </si>
  <si>
    <t>Market Share</t>
  </si>
  <si>
    <t>Total</t>
  </si>
  <si>
    <t>Commerce Growth</t>
  </si>
  <si>
    <t>HD</t>
  </si>
  <si>
    <t>COST</t>
  </si>
  <si>
    <t>Services Growth</t>
  </si>
  <si>
    <t>Inventories</t>
  </si>
  <si>
    <t>AR</t>
  </si>
  <si>
    <t>PP&amp;E</t>
  </si>
  <si>
    <t>Goodwill</t>
  </si>
  <si>
    <t>OA</t>
  </si>
  <si>
    <t>Assets</t>
  </si>
  <si>
    <t>AP</t>
  </si>
  <si>
    <t>AE</t>
  </si>
  <si>
    <t>DR</t>
  </si>
  <si>
    <t>OLTL</t>
  </si>
  <si>
    <t>S/E</t>
  </si>
  <si>
    <t>L+S/E</t>
  </si>
  <si>
    <t>Net Cash</t>
  </si>
  <si>
    <t>Main</t>
  </si>
  <si>
    <t>10/12/16: Amazon to create groceries/drive-ins.</t>
  </si>
  <si>
    <t>Q117</t>
  </si>
  <si>
    <t>Q217</t>
  </si>
  <si>
    <t>Q317</t>
  </si>
  <si>
    <t>Q417</t>
  </si>
  <si>
    <t>Model NI</t>
  </si>
  <si>
    <t>Reported NI</t>
  </si>
  <si>
    <t>D&amp;A</t>
  </si>
  <si>
    <t>SBC</t>
  </si>
  <si>
    <t>Other</t>
  </si>
  <si>
    <t>Marketable</t>
  </si>
  <si>
    <t>DT</t>
  </si>
  <si>
    <t>ETB</t>
  </si>
  <si>
    <t>Amortization DR</t>
  </si>
  <si>
    <t>CFFO</t>
  </si>
  <si>
    <t>CFFI</t>
  </si>
  <si>
    <t>CapEx</t>
  </si>
  <si>
    <t>Acquisitions</t>
  </si>
  <si>
    <t>Sale of Marketable</t>
  </si>
  <si>
    <t>Purchase of Marketable</t>
  </si>
  <si>
    <t>CIC</t>
  </si>
  <si>
    <t>FX</t>
  </si>
  <si>
    <t>CFFF</t>
  </si>
  <si>
    <t>Capital Lease</t>
  </si>
  <si>
    <t>Finance Lease</t>
  </si>
  <si>
    <t>Repay Debt</t>
  </si>
  <si>
    <t>Issue Debt</t>
  </si>
  <si>
    <t>2017-06-18: Bought Whole Foods Market</t>
  </si>
  <si>
    <t>ROIC</t>
  </si>
  <si>
    <t>Maturity</t>
  </si>
  <si>
    <t>Discount</t>
  </si>
  <si>
    <t>NPV</t>
  </si>
  <si>
    <t>Total Value</t>
  </si>
  <si>
    <t>Per Share</t>
  </si>
  <si>
    <t>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</si>
</sst>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3" fontId="0" fillId="0" borderId="0" xfId="0" applyNumberFormat="1" applyFont="1"/>
    <xf numFmtId="3" fontId="0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9" fontId="1" fillId="0" borderId="0" xfId="0" applyNumberFormat="1" applyFont="1" applyAlignment="1">
      <alignment horizontal="right"/>
    </xf>
    <xf numFmtId="9" fontId="1" fillId="0" borderId="0" xfId="0" applyNumberFormat="1" applyFont="1"/>
    <xf numFmtId="0" fontId="1" fillId="0" borderId="0" xfId="0" applyFont="1"/>
    <xf numFmtId="0" fontId="1" fillId="0" borderId="0" xfId="0" applyFont="1" applyAlignment="1">
      <alignment horizontal="right"/>
    </xf>
    <xf numFmtId="164" fontId="0" fillId="0" borderId="0" xfId="0" applyNumberFormat="1" applyAlignment="1">
      <alignment horizontal="right"/>
    </xf>
    <xf numFmtId="9" fontId="0" fillId="0" borderId="0" xfId="0" applyNumberFormat="1" applyFont="1" applyAlignment="1">
      <alignment horizontal="right"/>
    </xf>
    <xf numFmtId="9" fontId="0" fillId="0" borderId="0" xfId="0" applyNumberFormat="1" applyFont="1"/>
    <xf numFmtId="3" fontId="0" fillId="2" borderId="0" xfId="0" applyNumberFormat="1" applyFill="1"/>
    <xf numFmtId="3" fontId="1" fillId="0" borderId="0" xfId="0" applyNumberFormat="1" applyFont="1" applyFill="1"/>
    <xf numFmtId="3" fontId="0" fillId="0" borderId="0" xfId="0" applyNumberFormat="1" applyFont="1" applyFill="1"/>
    <xf numFmtId="3" fontId="0" fillId="0" borderId="0" xfId="0" applyNumberFormat="1" applyFill="1"/>
    <xf numFmtId="0" fontId="2" fillId="0" borderId="0" xfId="1"/>
    <xf numFmtId="14" fontId="0" fillId="0" borderId="0" xfId="0" applyNumberFormat="1"/>
    <xf numFmtId="9" fontId="0" fillId="0" borderId="0" xfId="0" applyNumberFormat="1"/>
    <xf numFmtId="164" fontId="1" fillId="0" borderId="0" xfId="0" applyNumberFormat="1" applyFont="1"/>
    <xf numFmtId="4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</xdr:colOff>
      <xdr:row>0</xdr:row>
      <xdr:rowOff>19050</xdr:rowOff>
    </xdr:from>
    <xdr:to>
      <xdr:col>15</xdr:col>
      <xdr:colOff>38100</xdr:colOff>
      <xdr:row>98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CxnSpPr/>
      </xdr:nvCxnSpPr>
      <xdr:spPr>
        <a:xfrm>
          <a:off x="9696450" y="19050"/>
          <a:ext cx="0" cy="159924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57150</xdr:colOff>
      <xdr:row>0</xdr:row>
      <xdr:rowOff>0</xdr:rowOff>
    </xdr:from>
    <xdr:to>
      <xdr:col>40</xdr:col>
      <xdr:colOff>57150</xdr:colOff>
      <xdr:row>56</xdr:row>
      <xdr:rowOff>85725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CxnSpPr/>
      </xdr:nvCxnSpPr>
      <xdr:spPr>
        <a:xfrm>
          <a:off x="24955500" y="0"/>
          <a:ext cx="0" cy="9153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0"/>
  <sheetViews>
    <sheetView workbookViewId="0">
      <selection activeCell="K7" sqref="K7"/>
    </sheetView>
  </sheetViews>
  <sheetFormatPr defaultRowHeight="12.75" x14ac:dyDescent="0.2"/>
  <cols>
    <col min="2" max="2" width="10.140625" bestFit="1" customWidth="1"/>
  </cols>
  <sheetData>
    <row r="1" spans="2:12" x14ac:dyDescent="0.2">
      <c r="L1" s="2"/>
    </row>
    <row r="2" spans="2:12" x14ac:dyDescent="0.2">
      <c r="J2" t="s">
        <v>0</v>
      </c>
      <c r="K2" s="1">
        <v>995.17</v>
      </c>
      <c r="L2" s="2"/>
    </row>
    <row r="3" spans="2:12" x14ac:dyDescent="0.2">
      <c r="J3" t="s">
        <v>1</v>
      </c>
      <c r="K3" s="3">
        <v>484</v>
      </c>
      <c r="L3" s="2" t="s">
        <v>62</v>
      </c>
    </row>
    <row r="4" spans="2:12" x14ac:dyDescent="0.2">
      <c r="J4" t="s">
        <v>2</v>
      </c>
      <c r="K4" s="3">
        <f>+K3*K2</f>
        <v>481662.27999999997</v>
      </c>
      <c r="L4" s="2"/>
    </row>
    <row r="5" spans="2:12" x14ac:dyDescent="0.2">
      <c r="J5" t="s">
        <v>3</v>
      </c>
      <c r="K5" s="3">
        <v>13840</v>
      </c>
      <c r="L5" s="2" t="s">
        <v>62</v>
      </c>
    </row>
    <row r="6" spans="2:12" x14ac:dyDescent="0.2">
      <c r="J6" t="s">
        <v>4</v>
      </c>
      <c r="K6" s="3">
        <v>7691</v>
      </c>
      <c r="L6" s="2" t="s">
        <v>62</v>
      </c>
    </row>
    <row r="7" spans="2:12" x14ac:dyDescent="0.2">
      <c r="J7" t="s">
        <v>5</v>
      </c>
      <c r="K7" s="3">
        <f>+K4-K5+K6</f>
        <v>475513.27999999997</v>
      </c>
      <c r="L7" s="2"/>
    </row>
    <row r="8" spans="2:12" x14ac:dyDescent="0.2">
      <c r="L8" s="2"/>
    </row>
    <row r="9" spans="2:12" x14ac:dyDescent="0.2">
      <c r="B9" t="s">
        <v>61</v>
      </c>
      <c r="K9" s="3"/>
    </row>
    <row r="10" spans="2:12" x14ac:dyDescent="0.2">
      <c r="B10" s="23" t="s">
        <v>88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A94"/>
  <sheetViews>
    <sheetView tabSelected="1" workbookViewId="0">
      <pane xSplit="2" ySplit="2" topLeftCell="AL12" activePane="bottomRight" state="frozen"/>
      <selection pane="topRight" activeCell="C1" sqref="C1"/>
      <selection pane="bottomLeft" activeCell="A3" sqref="A3"/>
      <selection pane="bottomRight" activeCell="AX42" sqref="AX42"/>
    </sheetView>
  </sheetViews>
  <sheetFormatPr defaultRowHeight="12.75" x14ac:dyDescent="0.2"/>
  <cols>
    <col min="1" max="1" width="5" bestFit="1" customWidth="1"/>
    <col min="2" max="2" width="21" bestFit="1" customWidth="1"/>
    <col min="3" max="18" width="9.140625" style="2"/>
    <col min="56" max="56" width="10.28515625" bestFit="1" customWidth="1"/>
  </cols>
  <sheetData>
    <row r="1" spans="1:54" x14ac:dyDescent="0.2">
      <c r="A1" s="22" t="s">
        <v>60</v>
      </c>
    </row>
    <row r="2" spans="1:54" x14ac:dyDescent="0.2"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2" t="s">
        <v>15</v>
      </c>
      <c r="L2" s="2" t="s">
        <v>16</v>
      </c>
      <c r="M2" s="2" t="s">
        <v>17</v>
      </c>
      <c r="N2" s="2" t="s">
        <v>18</v>
      </c>
      <c r="O2" s="2" t="s">
        <v>62</v>
      </c>
      <c r="P2" s="2" t="s">
        <v>63</v>
      </c>
      <c r="Q2" s="2" t="s">
        <v>64</v>
      </c>
      <c r="R2" s="2" t="s">
        <v>65</v>
      </c>
      <c r="T2">
        <f t="shared" ref="T2" si="0">+U2-1</f>
        <v>1996</v>
      </c>
      <c r="U2">
        <f t="shared" ref="U2" si="1">+V2-1</f>
        <v>1997</v>
      </c>
      <c r="V2">
        <f t="shared" ref="V2" si="2">+W2-1</f>
        <v>1998</v>
      </c>
      <c r="W2">
        <f t="shared" ref="W2:X2" si="3">+X2-1</f>
        <v>1999</v>
      </c>
      <c r="X2">
        <f t="shared" si="3"/>
        <v>2000</v>
      </c>
      <c r="Y2">
        <f t="shared" ref="Y2" si="4">+Z2-1</f>
        <v>2001</v>
      </c>
      <c r="Z2">
        <f t="shared" ref="Z2" si="5">+AA2-1</f>
        <v>2002</v>
      </c>
      <c r="AA2">
        <f t="shared" ref="AA2" si="6">+AB2-1</f>
        <v>2003</v>
      </c>
      <c r="AB2">
        <f t="shared" ref="AB2:AD2" si="7">+AC2-1</f>
        <v>2004</v>
      </c>
      <c r="AC2">
        <f t="shared" si="7"/>
        <v>2005</v>
      </c>
      <c r="AD2">
        <f t="shared" si="7"/>
        <v>2006</v>
      </c>
      <c r="AE2">
        <f t="shared" ref="AE2:AG2" si="8">+AF2-1</f>
        <v>2007</v>
      </c>
      <c r="AF2">
        <f t="shared" si="8"/>
        <v>2008</v>
      </c>
      <c r="AG2">
        <f t="shared" si="8"/>
        <v>2009</v>
      </c>
      <c r="AH2">
        <f>+AI2-1</f>
        <v>2010</v>
      </c>
      <c r="AI2">
        <v>2011</v>
      </c>
      <c r="AJ2">
        <v>2012</v>
      </c>
      <c r="AK2">
        <v>2013</v>
      </c>
      <c r="AL2">
        <f>+AK2+1</f>
        <v>2014</v>
      </c>
      <c r="AM2">
        <f t="shared" ref="AM2:BB2" si="9">+AL2+1</f>
        <v>2015</v>
      </c>
      <c r="AN2">
        <f t="shared" si="9"/>
        <v>2016</v>
      </c>
      <c r="AO2">
        <f t="shared" si="9"/>
        <v>2017</v>
      </c>
      <c r="AP2">
        <f t="shared" si="9"/>
        <v>2018</v>
      </c>
      <c r="AQ2">
        <f t="shared" si="9"/>
        <v>2019</v>
      </c>
      <c r="AR2">
        <f t="shared" si="9"/>
        <v>2020</v>
      </c>
      <c r="AS2">
        <f t="shared" si="9"/>
        <v>2021</v>
      </c>
      <c r="AT2">
        <f t="shared" si="9"/>
        <v>2022</v>
      </c>
      <c r="AU2">
        <f t="shared" si="9"/>
        <v>2023</v>
      </c>
      <c r="AV2">
        <f t="shared" si="9"/>
        <v>2024</v>
      </c>
      <c r="AW2">
        <f t="shared" si="9"/>
        <v>2025</v>
      </c>
      <c r="AX2">
        <f t="shared" si="9"/>
        <v>2026</v>
      </c>
      <c r="AY2">
        <f t="shared" si="9"/>
        <v>2027</v>
      </c>
      <c r="AZ2">
        <f t="shared" si="9"/>
        <v>2028</v>
      </c>
      <c r="BA2">
        <f t="shared" si="9"/>
        <v>2029</v>
      </c>
      <c r="BB2">
        <f t="shared" si="9"/>
        <v>2030</v>
      </c>
    </row>
    <row r="3" spans="1:54" x14ac:dyDescent="0.2">
      <c r="B3" t="s">
        <v>45</v>
      </c>
      <c r="C3" s="4">
        <v>25233</v>
      </c>
      <c r="D3" s="4">
        <v>34755</v>
      </c>
      <c r="E3" s="4">
        <v>26284</v>
      </c>
      <c r="F3" s="4">
        <v>26872</v>
      </c>
      <c r="G3" s="4">
        <v>25517</v>
      </c>
      <c r="H3" s="4">
        <v>34993</v>
      </c>
      <c r="I3" s="4">
        <v>26627</v>
      </c>
      <c r="J3" s="4">
        <v>27567</v>
      </c>
    </row>
    <row r="4" spans="1:54" x14ac:dyDescent="0.2">
      <c r="B4" s="3" t="s">
        <v>44</v>
      </c>
      <c r="C4" s="4">
        <v>19687</v>
      </c>
      <c r="D4" s="4">
        <v>23811</v>
      </c>
      <c r="E4" s="4">
        <v>20516</v>
      </c>
      <c r="F4" s="4">
        <v>19162</v>
      </c>
      <c r="G4" s="4">
        <v>20891</v>
      </c>
      <c r="H4" s="4">
        <v>24829</v>
      </c>
      <c r="I4" s="4">
        <v>21819</v>
      </c>
      <c r="J4" s="4">
        <v>20980</v>
      </c>
    </row>
    <row r="5" spans="1:54" x14ac:dyDescent="0.2">
      <c r="B5" s="3" t="s">
        <v>40</v>
      </c>
      <c r="C5" s="8">
        <v>16657</v>
      </c>
      <c r="D5" s="8">
        <v>16957</v>
      </c>
      <c r="E5" s="8">
        <v>17254</v>
      </c>
      <c r="F5" s="8">
        <v>21751</v>
      </c>
      <c r="G5" s="8">
        <v>17119</v>
      </c>
      <c r="H5" s="8">
        <v>17427</v>
      </c>
      <c r="I5" s="8">
        <v>17613</v>
      </c>
      <c r="J5" s="8">
        <v>21626</v>
      </c>
    </row>
    <row r="6" spans="1:54" x14ac:dyDescent="0.2">
      <c r="B6" s="3" t="s">
        <v>37</v>
      </c>
      <c r="C6" s="4">
        <v>114167</v>
      </c>
      <c r="D6" s="4">
        <v>119336</v>
      </c>
      <c r="E6" s="4">
        <v>118076</v>
      </c>
      <c r="F6" s="4">
        <v>130650</v>
      </c>
      <c r="G6" s="4">
        <v>114002</v>
      </c>
      <c r="H6" s="4">
        <v>119330</v>
      </c>
      <c r="I6" s="4">
        <v>116598</v>
      </c>
      <c r="J6" s="4">
        <v>128684</v>
      </c>
    </row>
    <row r="7" spans="1:54" x14ac:dyDescent="0.2">
      <c r="B7" s="3" t="s">
        <v>38</v>
      </c>
      <c r="C7" s="4"/>
      <c r="D7" s="4">
        <v>20485</v>
      </c>
      <c r="E7" s="4">
        <v>20034</v>
      </c>
      <c r="F7" s="8">
        <v>21794</v>
      </c>
      <c r="G7" s="8">
        <v>20151</v>
      </c>
      <c r="H7" s="8">
        <v>20061</v>
      </c>
      <c r="I7" s="8">
        <v>19601</v>
      </c>
      <c r="J7" s="8">
        <v>21860</v>
      </c>
    </row>
    <row r="8" spans="1:54" x14ac:dyDescent="0.2">
      <c r="B8" s="3" t="s">
        <v>39</v>
      </c>
      <c r="C8" s="4">
        <f t="shared" ref="C8:N8" si="10">+C21</f>
        <v>15705</v>
      </c>
      <c r="D8" s="4">
        <f t="shared" si="10"/>
        <v>15251</v>
      </c>
      <c r="E8" s="4">
        <f t="shared" si="10"/>
        <v>16022</v>
      </c>
      <c r="F8" s="4">
        <f t="shared" si="10"/>
        <v>23102</v>
      </c>
      <c r="G8" s="4">
        <f t="shared" si="10"/>
        <v>17084</v>
      </c>
      <c r="H8" s="4">
        <f t="shared" si="10"/>
        <v>17104</v>
      </c>
      <c r="I8" s="4">
        <f t="shared" si="10"/>
        <v>18463</v>
      </c>
      <c r="J8" s="4">
        <f t="shared" si="10"/>
        <v>26618</v>
      </c>
      <c r="K8" s="4">
        <f t="shared" si="10"/>
        <v>20581</v>
      </c>
      <c r="L8" s="4">
        <f t="shared" si="10"/>
        <v>21116</v>
      </c>
      <c r="M8" s="4">
        <f t="shared" si="10"/>
        <v>22339</v>
      </c>
      <c r="N8" s="4">
        <f t="shared" si="10"/>
        <v>30629</v>
      </c>
    </row>
    <row r="9" spans="1:54" s="13" customFormat="1" x14ac:dyDescent="0.2">
      <c r="B9" s="5" t="s">
        <v>42</v>
      </c>
      <c r="C9" s="6">
        <f>SUM(C3:C8)</f>
        <v>191449</v>
      </c>
      <c r="D9" s="6">
        <f t="shared" ref="D9:J9" si="11">SUM(D3:D8)</f>
        <v>230595</v>
      </c>
      <c r="E9" s="6">
        <f t="shared" si="11"/>
        <v>218186</v>
      </c>
      <c r="F9" s="6">
        <f t="shared" si="11"/>
        <v>243331</v>
      </c>
      <c r="G9" s="6">
        <f t="shared" si="11"/>
        <v>214764</v>
      </c>
      <c r="H9" s="6">
        <f t="shared" si="11"/>
        <v>233744</v>
      </c>
      <c r="I9" s="6">
        <f t="shared" si="11"/>
        <v>220721</v>
      </c>
      <c r="J9" s="6">
        <f t="shared" si="11"/>
        <v>247335</v>
      </c>
      <c r="K9" s="14"/>
      <c r="L9" s="14"/>
      <c r="M9" s="14"/>
      <c r="N9" s="14"/>
      <c r="O9" s="14"/>
      <c r="P9" s="14"/>
      <c r="Q9" s="14"/>
      <c r="R9" s="14"/>
    </row>
    <row r="10" spans="1:54" x14ac:dyDescent="0.2">
      <c r="B10" t="s">
        <v>41</v>
      </c>
      <c r="D10" s="15">
        <f>D8/D9</f>
        <v>6.613760055508576E-2</v>
      </c>
      <c r="E10" s="15">
        <f t="shared" ref="E10:H10" si="12">E8/E9</f>
        <v>7.3432759205448561E-2</v>
      </c>
      <c r="F10" s="15">
        <f t="shared" si="12"/>
        <v>9.4940636417061533E-2</v>
      </c>
      <c r="G10" s="15">
        <f t="shared" si="12"/>
        <v>7.9547782682386242E-2</v>
      </c>
      <c r="H10" s="15">
        <f t="shared" si="12"/>
        <v>7.3174070778287359E-2</v>
      </c>
      <c r="I10" s="15">
        <f>I8/I9</f>
        <v>8.364858803648044E-2</v>
      </c>
      <c r="J10" s="15">
        <f>J8/J9</f>
        <v>0.10761922089473791</v>
      </c>
    </row>
    <row r="11" spans="1:54" x14ac:dyDescent="0.2">
      <c r="H11" s="15"/>
      <c r="I11" s="15"/>
      <c r="J11" s="15"/>
    </row>
    <row r="12" spans="1:54" x14ac:dyDescent="0.2">
      <c r="B12" t="s">
        <v>45</v>
      </c>
      <c r="H12" s="15">
        <f t="shared" ref="H12" si="13">H3/D3-1</f>
        <v>6.8479355488419991E-3</v>
      </c>
      <c r="I12" s="15">
        <f t="shared" ref="I12" si="14">I3/E3-1</f>
        <v>1.3049764115050877E-2</v>
      </c>
      <c r="J12" s="15">
        <f t="shared" ref="J12" si="15">J3/F3-1</f>
        <v>2.5863352188151278E-2</v>
      </c>
      <c r="K12" s="15"/>
    </row>
    <row r="13" spans="1:54" x14ac:dyDescent="0.2">
      <c r="B13" s="3" t="s">
        <v>44</v>
      </c>
      <c r="H13" s="15">
        <f t="shared" ref="H13:J13" si="16">H4/D4-1</f>
        <v>4.2753349292343978E-2</v>
      </c>
      <c r="I13" s="15">
        <f t="shared" si="16"/>
        <v>6.3511405732111559E-2</v>
      </c>
      <c r="J13" s="15">
        <f t="shared" si="16"/>
        <v>9.4875273979751595E-2</v>
      </c>
      <c r="K13" s="15"/>
    </row>
    <row r="14" spans="1:54" x14ac:dyDescent="0.2">
      <c r="B14" s="3" t="s">
        <v>40</v>
      </c>
      <c r="H14" s="15">
        <f t="shared" ref="H14:J14" si="17">H5/D5-1</f>
        <v>2.7717166951701344E-2</v>
      </c>
      <c r="I14" s="15">
        <f t="shared" si="17"/>
        <v>2.0806769444766449E-2</v>
      </c>
      <c r="J14" s="15">
        <f t="shared" si="17"/>
        <v>-5.7468622132316183E-3</v>
      </c>
      <c r="K14" s="15"/>
    </row>
    <row r="15" spans="1:54" x14ac:dyDescent="0.2">
      <c r="B15" s="3" t="s">
        <v>37</v>
      </c>
      <c r="H15" s="15">
        <f t="shared" ref="H15:J15" si="18">H6/D6-1</f>
        <v>-5.0278206073617326E-5</v>
      </c>
      <c r="I15" s="15">
        <f t="shared" si="18"/>
        <v>-1.2517361699244556E-2</v>
      </c>
      <c r="J15" s="15">
        <f t="shared" si="18"/>
        <v>-1.5047837734404879E-2</v>
      </c>
      <c r="K15" s="15"/>
    </row>
    <row r="16" spans="1:54" x14ac:dyDescent="0.2">
      <c r="B16" s="3" t="s">
        <v>38</v>
      </c>
      <c r="H16" s="15">
        <f t="shared" ref="H16:J16" si="19">H7/D7-1</f>
        <v>-2.0698071759824299E-2</v>
      </c>
      <c r="I16" s="15">
        <f t="shared" si="19"/>
        <v>-2.1613257462314017E-2</v>
      </c>
      <c r="J16" s="15">
        <f t="shared" si="19"/>
        <v>3.0283564283748454E-3</v>
      </c>
      <c r="K16" s="15"/>
    </row>
    <row r="17" spans="2:54" x14ac:dyDescent="0.2">
      <c r="B17" s="3" t="s">
        <v>39</v>
      </c>
      <c r="H17" s="15">
        <f t="shared" ref="H17:J17" si="20">H8/D8-1</f>
        <v>0.12150022949314798</v>
      </c>
      <c r="I17" s="15">
        <f t="shared" si="20"/>
        <v>0.15235301460491835</v>
      </c>
      <c r="J17" s="15">
        <f t="shared" si="20"/>
        <v>0.15219461518483257</v>
      </c>
      <c r="K17" s="15"/>
    </row>
    <row r="18" spans="2:54" x14ac:dyDescent="0.2">
      <c r="B18" t="s">
        <v>43</v>
      </c>
      <c r="H18" s="15">
        <f>H9/D9-1</f>
        <v>1.3655976929248359E-2</v>
      </c>
      <c r="I18" s="15">
        <f>I9/E9-1</f>
        <v>1.1618527311559879E-2</v>
      </c>
      <c r="J18" s="15">
        <f>J9/F9-1</f>
        <v>1.645495230776195E-2</v>
      </c>
    </row>
    <row r="19" spans="2:54" x14ac:dyDescent="0.2">
      <c r="H19" s="15"/>
      <c r="I19" s="15"/>
      <c r="J19" s="15"/>
    </row>
    <row r="20" spans="2:54" x14ac:dyDescent="0.2">
      <c r="H20" s="15"/>
      <c r="I20" s="15"/>
      <c r="J20" s="15"/>
    </row>
    <row r="21" spans="2:54" s="3" customFormat="1" x14ac:dyDescent="0.2">
      <c r="B21" s="3" t="s">
        <v>19</v>
      </c>
      <c r="C21" s="4">
        <v>15705</v>
      </c>
      <c r="D21" s="4">
        <v>15251</v>
      </c>
      <c r="E21" s="4">
        <v>16022</v>
      </c>
      <c r="F21" s="4">
        <v>23102</v>
      </c>
      <c r="G21" s="4">
        <v>17084</v>
      </c>
      <c r="H21" s="4">
        <v>17104</v>
      </c>
      <c r="I21" s="4">
        <v>18463</v>
      </c>
      <c r="J21" s="4">
        <v>26618</v>
      </c>
      <c r="K21" s="4">
        <v>20581</v>
      </c>
      <c r="L21" s="4">
        <v>21116</v>
      </c>
      <c r="M21" s="4">
        <v>22339</v>
      </c>
      <c r="N21" s="4">
        <v>30629</v>
      </c>
      <c r="O21" s="4">
        <v>23734</v>
      </c>
      <c r="P21" s="4"/>
      <c r="Q21" s="4"/>
      <c r="R21" s="4"/>
      <c r="AI21" s="3">
        <v>42000</v>
      </c>
      <c r="AJ21" s="3">
        <v>51733</v>
      </c>
      <c r="AK21" s="3">
        <v>60903</v>
      </c>
      <c r="AL21" s="3">
        <v>70080</v>
      </c>
      <c r="AM21" s="3">
        <v>79268</v>
      </c>
      <c r="AN21" s="3">
        <v>94665</v>
      </c>
      <c r="AO21" s="3">
        <f>+AN21*1.15</f>
        <v>108864.74999999999</v>
      </c>
      <c r="AP21" s="3">
        <f t="shared" ref="AP21" si="21">+AO21*1.15</f>
        <v>125194.46249999998</v>
      </c>
      <c r="AQ21" s="3">
        <f t="shared" ref="AQ21" si="22">+AP21*1.15</f>
        <v>143973.63187499996</v>
      </c>
      <c r="AR21" s="3">
        <f t="shared" ref="AR21" si="23">+AQ21*1.15</f>
        <v>165569.67665624994</v>
      </c>
      <c r="AS21" s="3">
        <f t="shared" ref="AS21" si="24">+AR21*1.15</f>
        <v>190405.12815468741</v>
      </c>
      <c r="AT21" s="3">
        <f>+AS21*1.1</f>
        <v>209445.64097015618</v>
      </c>
      <c r="AU21" s="3">
        <f>+AT21*1.1</f>
        <v>230390.2050671718</v>
      </c>
      <c r="AV21" s="3">
        <f>+AU21*1.05</f>
        <v>241909.71532053041</v>
      </c>
      <c r="AW21" s="3">
        <f>+AV21*1.05</f>
        <v>254005.20108655695</v>
      </c>
      <c r="AX21" s="3">
        <f t="shared" ref="AX21:AX22" si="25">+AW21*1.03</f>
        <v>261625.35711915366</v>
      </c>
      <c r="AY21" s="3">
        <f t="shared" ref="AY21:AY22" si="26">+AX21*1.03</f>
        <v>269474.11783272825</v>
      </c>
      <c r="AZ21" s="3">
        <f t="shared" ref="AZ21:AZ22" si="27">+AY21*1.03</f>
        <v>277558.34136771009</v>
      </c>
      <c r="BA21" s="3">
        <f t="shared" ref="BA21:BA22" si="28">+AZ21*1.03</f>
        <v>285885.09160874138</v>
      </c>
      <c r="BB21" s="3">
        <f t="shared" ref="BB21:BB22" si="29">+BA21*1.03</f>
        <v>294461.64435700362</v>
      </c>
    </row>
    <row r="22" spans="2:54" s="3" customFormat="1" x14ac:dyDescent="0.2">
      <c r="B22" s="3" t="s">
        <v>20</v>
      </c>
      <c r="C22" s="4">
        <v>4036</v>
      </c>
      <c r="D22" s="4">
        <v>4089</v>
      </c>
      <c r="E22" s="4">
        <v>4557</v>
      </c>
      <c r="F22" s="4">
        <v>6226</v>
      </c>
      <c r="G22" s="4">
        <v>5633</v>
      </c>
      <c r="H22" s="4">
        <v>6081</v>
      </c>
      <c r="I22" s="4">
        <v>6895</v>
      </c>
      <c r="J22" s="4">
        <v>9129</v>
      </c>
      <c r="K22" s="4">
        <v>8547</v>
      </c>
      <c r="L22" s="4">
        <v>9288</v>
      </c>
      <c r="M22" s="4">
        <v>10375</v>
      </c>
      <c r="N22" s="4">
        <v>13112</v>
      </c>
      <c r="O22" s="4">
        <v>11980</v>
      </c>
      <c r="P22" s="4"/>
      <c r="Q22" s="4"/>
      <c r="R22" s="4"/>
      <c r="AD22" s="21"/>
      <c r="AE22" s="21"/>
      <c r="AF22" s="21"/>
      <c r="AI22" s="3">
        <v>6077</v>
      </c>
      <c r="AJ22" s="3">
        <v>9360</v>
      </c>
      <c r="AK22" s="3">
        <v>13549</v>
      </c>
      <c r="AL22" s="3">
        <v>18908</v>
      </c>
      <c r="AM22" s="3">
        <v>27738</v>
      </c>
      <c r="AN22" s="3">
        <v>41322</v>
      </c>
      <c r="AO22" s="3">
        <f>+AN22*1.4</f>
        <v>57850.799999999996</v>
      </c>
      <c r="AP22" s="3">
        <f t="shared" ref="AP22" si="30">+AO22*1.4</f>
        <v>80991.12</v>
      </c>
      <c r="AQ22" s="3">
        <f t="shared" ref="AQ22" si="31">+AP22*1.4</f>
        <v>113387.56799999998</v>
      </c>
      <c r="AR22" s="3">
        <f t="shared" ref="AR22" si="32">+AQ22*1.4</f>
        <v>158742.59519999998</v>
      </c>
      <c r="AS22" s="3">
        <f t="shared" ref="AS22" si="33">+AR22*1.4</f>
        <v>222239.63327999995</v>
      </c>
      <c r="AT22" s="3">
        <f>+AS22*1.2</f>
        <v>266687.55993599992</v>
      </c>
      <c r="AU22" s="3">
        <f>+AT22*1.2</f>
        <v>320025.07192319987</v>
      </c>
      <c r="AV22" s="3">
        <f>+AU22*1.15</f>
        <v>368028.8327116798</v>
      </c>
      <c r="AW22" s="3">
        <f>+AV22*1.15</f>
        <v>423233.15761843172</v>
      </c>
      <c r="AX22" s="3">
        <f>+AW22*1.1</f>
        <v>465556.47338027495</v>
      </c>
      <c r="AY22" s="3">
        <f>+AX22*1.1</f>
        <v>512112.1207183025</v>
      </c>
      <c r="AZ22" s="3">
        <f>+AY22*1.05</f>
        <v>537717.72675421764</v>
      </c>
      <c r="BA22" s="3">
        <f t="shared" si="28"/>
        <v>553849.2585568442</v>
      </c>
      <c r="BB22" s="3">
        <f t="shared" si="29"/>
        <v>570464.73631354957</v>
      </c>
    </row>
    <row r="23" spans="2:54" s="5" customFormat="1" x14ac:dyDescent="0.2">
      <c r="B23" s="5" t="s">
        <v>6</v>
      </c>
      <c r="C23" s="6">
        <f t="shared" ref="C23:J23" si="34">+C22+C21</f>
        <v>19741</v>
      </c>
      <c r="D23" s="6">
        <f t="shared" si="34"/>
        <v>19340</v>
      </c>
      <c r="E23" s="6">
        <f t="shared" si="34"/>
        <v>20579</v>
      </c>
      <c r="F23" s="6">
        <f t="shared" si="34"/>
        <v>29328</v>
      </c>
      <c r="G23" s="6">
        <f t="shared" si="34"/>
        <v>22717</v>
      </c>
      <c r="H23" s="6">
        <f t="shared" si="34"/>
        <v>23185</v>
      </c>
      <c r="I23" s="6">
        <f t="shared" si="34"/>
        <v>25358</v>
      </c>
      <c r="J23" s="6">
        <f t="shared" si="34"/>
        <v>35747</v>
      </c>
      <c r="K23" s="6">
        <f t="shared" ref="K23:R23" si="35">+K22+K21</f>
        <v>29128</v>
      </c>
      <c r="L23" s="6">
        <f t="shared" si="35"/>
        <v>30404</v>
      </c>
      <c r="M23" s="6">
        <f t="shared" si="35"/>
        <v>32714</v>
      </c>
      <c r="N23" s="6">
        <f t="shared" si="35"/>
        <v>43741</v>
      </c>
      <c r="O23" s="6">
        <f t="shared" si="35"/>
        <v>35714</v>
      </c>
      <c r="P23" s="6">
        <f t="shared" si="35"/>
        <v>0</v>
      </c>
      <c r="Q23" s="6">
        <f t="shared" si="35"/>
        <v>0</v>
      </c>
      <c r="R23" s="6">
        <f t="shared" si="35"/>
        <v>0</v>
      </c>
      <c r="T23" s="5">
        <v>15.746</v>
      </c>
      <c r="U23" s="5">
        <v>147.78700000000001</v>
      </c>
      <c r="V23" s="5">
        <v>609.81899999999996</v>
      </c>
      <c r="W23" s="5">
        <v>1639.8389999999999</v>
      </c>
      <c r="X23" s="5">
        <v>2761.9830000000002</v>
      </c>
      <c r="Y23" s="5">
        <v>3122.433</v>
      </c>
      <c r="Z23" s="5">
        <v>3932.9360000000001</v>
      </c>
      <c r="AA23" s="5">
        <v>5263.6989999999996</v>
      </c>
      <c r="AB23" s="5">
        <v>6921</v>
      </c>
      <c r="AC23" s="5">
        <v>8490</v>
      </c>
      <c r="AD23" s="19">
        <v>10711</v>
      </c>
      <c r="AE23" s="19">
        <v>14835</v>
      </c>
      <c r="AF23" s="19">
        <v>19166</v>
      </c>
      <c r="AG23" s="5">
        <v>24509</v>
      </c>
      <c r="AH23" s="5">
        <v>34204</v>
      </c>
      <c r="AI23" s="5">
        <f t="shared" ref="AI23:AO23" si="36">+AI22+AI21</f>
        <v>48077</v>
      </c>
      <c r="AJ23" s="5">
        <f t="shared" si="36"/>
        <v>61093</v>
      </c>
      <c r="AK23" s="5">
        <f t="shared" si="36"/>
        <v>74452</v>
      </c>
      <c r="AL23" s="5">
        <f t="shared" si="36"/>
        <v>88988</v>
      </c>
      <c r="AM23" s="5">
        <f t="shared" si="36"/>
        <v>107006</v>
      </c>
      <c r="AN23" s="5">
        <f t="shared" si="36"/>
        <v>135987</v>
      </c>
      <c r="AO23" s="5">
        <f t="shared" si="36"/>
        <v>166715.54999999999</v>
      </c>
      <c r="AP23" s="5">
        <f t="shared" ref="AP23:AS23" si="37">+AP22+AP21</f>
        <v>206185.58249999996</v>
      </c>
      <c r="AQ23" s="5">
        <f t="shared" si="37"/>
        <v>257361.19987499993</v>
      </c>
      <c r="AR23" s="5">
        <f t="shared" si="37"/>
        <v>324312.27185624989</v>
      </c>
      <c r="AS23" s="5">
        <f t="shared" si="37"/>
        <v>412644.76143468736</v>
      </c>
      <c r="AT23" s="5">
        <f t="shared" ref="AT23" si="38">+AT22+AT21</f>
        <v>476133.2009061561</v>
      </c>
      <c r="AU23" s="5">
        <f t="shared" ref="AU23" si="39">+AU22+AU21</f>
        <v>550415.27699037164</v>
      </c>
      <c r="AV23" s="5">
        <f t="shared" ref="AV23" si="40">+AV22+AV21</f>
        <v>609938.54803221021</v>
      </c>
      <c r="AW23" s="5">
        <f t="shared" ref="AW23" si="41">+AW22+AW21</f>
        <v>677238.35870498861</v>
      </c>
      <c r="AX23" s="5">
        <f t="shared" ref="AX23" si="42">+AX22+AX21</f>
        <v>727181.83049942856</v>
      </c>
      <c r="AY23" s="5">
        <f t="shared" ref="AY23" si="43">+AY22+AY21</f>
        <v>781586.23855103075</v>
      </c>
      <c r="AZ23" s="5">
        <f t="shared" ref="AZ23" si="44">+AZ22+AZ21</f>
        <v>815276.06812192779</v>
      </c>
      <c r="BA23" s="5">
        <f t="shared" ref="BA23" si="45">+BA22+BA21</f>
        <v>839734.35016558552</v>
      </c>
      <c r="BB23" s="5">
        <f t="shared" ref="BB23" si="46">+BB22+BB21</f>
        <v>864926.38067055319</v>
      </c>
    </row>
    <row r="24" spans="2:54" s="7" customFormat="1" x14ac:dyDescent="0.2">
      <c r="B24" s="7" t="s">
        <v>21</v>
      </c>
      <c r="C24" s="8">
        <v>14055</v>
      </c>
      <c r="D24" s="8">
        <v>13399</v>
      </c>
      <c r="E24" s="8">
        <v>14627</v>
      </c>
      <c r="F24" s="8">
        <v>20671</v>
      </c>
      <c r="G24" s="8">
        <v>15395</v>
      </c>
      <c r="H24" s="8">
        <v>15160</v>
      </c>
      <c r="I24" s="8">
        <v>16755</v>
      </c>
      <c r="J24" s="8">
        <v>24341</v>
      </c>
      <c r="K24" s="8">
        <v>18866</v>
      </c>
      <c r="L24" s="8">
        <v>19180</v>
      </c>
      <c r="M24" s="8">
        <v>21260</v>
      </c>
      <c r="N24" s="8">
        <v>28958</v>
      </c>
      <c r="O24" s="8">
        <v>22440</v>
      </c>
      <c r="P24" s="8"/>
      <c r="Q24" s="8"/>
      <c r="R24" s="8"/>
      <c r="T24" s="7">
        <f>+T23-3.459</f>
        <v>12.287000000000001</v>
      </c>
      <c r="U24" s="7">
        <f>+U23-28.818</f>
        <v>118.96900000000001</v>
      </c>
      <c r="V24" s="7">
        <f>+V23-133.664</f>
        <v>476.15499999999997</v>
      </c>
      <c r="W24" s="7">
        <f>+W23-290.645</f>
        <v>1349.194</v>
      </c>
      <c r="X24" s="7">
        <f>+X23-655.777</f>
        <v>2106.2060000000001</v>
      </c>
      <c r="Y24" s="7">
        <v>2323.875</v>
      </c>
      <c r="Z24" s="7">
        <v>2940.3180000000002</v>
      </c>
      <c r="AA24" s="7">
        <v>4006.5309999999999</v>
      </c>
      <c r="AB24" s="7">
        <v>5319</v>
      </c>
      <c r="AC24" s="7">
        <v>6451</v>
      </c>
      <c r="AD24" s="20">
        <v>8255</v>
      </c>
      <c r="AE24" s="20">
        <v>11482</v>
      </c>
      <c r="AF24" s="20">
        <v>14896</v>
      </c>
      <c r="AG24" s="7">
        <v>18978</v>
      </c>
      <c r="AH24" s="7">
        <v>26561</v>
      </c>
      <c r="AI24" s="7">
        <v>37288</v>
      </c>
      <c r="AJ24" s="7">
        <v>45971</v>
      </c>
      <c r="AK24" s="7">
        <v>54181</v>
      </c>
      <c r="AL24" s="7">
        <v>62752</v>
      </c>
      <c r="AM24" s="7">
        <v>71651</v>
      </c>
      <c r="AN24" s="3">
        <v>88265</v>
      </c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</row>
    <row r="25" spans="2:54" s="3" customFormat="1" x14ac:dyDescent="0.2">
      <c r="B25" s="3" t="s">
        <v>23</v>
      </c>
      <c r="C25" s="4">
        <v>2317</v>
      </c>
      <c r="D25" s="4">
        <v>2382</v>
      </c>
      <c r="E25" s="4">
        <v>2643</v>
      </c>
      <c r="F25" s="4">
        <v>3424</v>
      </c>
      <c r="G25" s="4">
        <v>2759</v>
      </c>
      <c r="H25" s="4">
        <v>3230</v>
      </c>
      <c r="I25" s="4">
        <v>3230</v>
      </c>
      <c r="J25" s="4">
        <v>4546</v>
      </c>
      <c r="K25" s="4">
        <v>3687</v>
      </c>
      <c r="L25" s="4">
        <v>3878</v>
      </c>
      <c r="M25" s="4">
        <v>4335</v>
      </c>
      <c r="N25" s="4">
        <v>5719</v>
      </c>
      <c r="O25" s="8">
        <v>4697</v>
      </c>
      <c r="P25" s="4"/>
      <c r="Q25" s="4"/>
      <c r="R25" s="4"/>
      <c r="AD25" s="18"/>
      <c r="AE25" s="18"/>
      <c r="AF25" s="21">
        <v>1658</v>
      </c>
      <c r="AG25" s="3">
        <v>2052</v>
      </c>
      <c r="AH25" s="3">
        <v>2898</v>
      </c>
      <c r="AI25" s="3">
        <v>4576</v>
      </c>
      <c r="AJ25" s="3">
        <v>6419</v>
      </c>
      <c r="AK25" s="3">
        <v>8585</v>
      </c>
      <c r="AL25" s="3">
        <v>10766</v>
      </c>
      <c r="AM25" s="3">
        <v>13410</v>
      </c>
      <c r="AN25" s="3">
        <v>17619</v>
      </c>
    </row>
    <row r="26" spans="2:54" s="3" customFormat="1" x14ac:dyDescent="0.2">
      <c r="B26" s="3" t="s">
        <v>22</v>
      </c>
      <c r="C26" s="4">
        <f t="shared" ref="C26:J26" si="47">C23-C24-C25</f>
        <v>3369</v>
      </c>
      <c r="D26" s="4">
        <f t="shared" si="47"/>
        <v>3559</v>
      </c>
      <c r="E26" s="4">
        <f t="shared" si="47"/>
        <v>3309</v>
      </c>
      <c r="F26" s="4">
        <f t="shared" si="47"/>
        <v>5233</v>
      </c>
      <c r="G26" s="4">
        <f t="shared" si="47"/>
        <v>4563</v>
      </c>
      <c r="H26" s="4">
        <f t="shared" si="47"/>
        <v>4795</v>
      </c>
      <c r="I26" s="4">
        <f t="shared" si="47"/>
        <v>5373</v>
      </c>
      <c r="J26" s="4">
        <f t="shared" si="47"/>
        <v>6860</v>
      </c>
      <c r="K26" s="4">
        <f t="shared" ref="K26:N26" si="48">K23-K24-K25</f>
        <v>6575</v>
      </c>
      <c r="L26" s="4">
        <f t="shared" si="48"/>
        <v>7346</v>
      </c>
      <c r="M26" s="4">
        <f t="shared" si="48"/>
        <v>7119</v>
      </c>
      <c r="N26" s="4">
        <f t="shared" si="48"/>
        <v>9064</v>
      </c>
      <c r="O26" s="4">
        <f t="shared" ref="O26" si="49">O23-O24-O25</f>
        <v>8577</v>
      </c>
      <c r="P26" s="4"/>
      <c r="Q26" s="4"/>
      <c r="R26" s="4"/>
      <c r="T26" s="3">
        <f t="shared" ref="T26:AC26" si="50">+T23-T24</f>
        <v>3.4589999999999996</v>
      </c>
      <c r="U26" s="3">
        <f t="shared" si="50"/>
        <v>28.817999999999998</v>
      </c>
      <c r="V26" s="3">
        <f t="shared" si="50"/>
        <v>133.66399999999999</v>
      </c>
      <c r="W26" s="3">
        <f t="shared" si="50"/>
        <v>290.64499999999998</v>
      </c>
      <c r="X26" s="3">
        <f t="shared" si="50"/>
        <v>655.77700000000004</v>
      </c>
      <c r="Y26" s="3">
        <f t="shared" si="50"/>
        <v>798.55799999999999</v>
      </c>
      <c r="Z26" s="3">
        <f t="shared" si="50"/>
        <v>992.61799999999994</v>
      </c>
      <c r="AA26" s="3">
        <f t="shared" si="50"/>
        <v>1257.1679999999997</v>
      </c>
      <c r="AB26" s="3">
        <f t="shared" si="50"/>
        <v>1602</v>
      </c>
      <c r="AC26" s="3">
        <f t="shared" si="50"/>
        <v>2039</v>
      </c>
      <c r="AD26" s="4">
        <f t="shared" ref="AD26:AN26" si="51">AD23-AD24-AD25</f>
        <v>2456</v>
      </c>
      <c r="AE26" s="4">
        <f t="shared" si="51"/>
        <v>3353</v>
      </c>
      <c r="AF26" s="4">
        <f>AF23-AF24-AF25</f>
        <v>2612</v>
      </c>
      <c r="AG26" s="4">
        <f t="shared" si="51"/>
        <v>3479</v>
      </c>
      <c r="AH26" s="4">
        <f>AH23-AH24-AH25</f>
        <v>4745</v>
      </c>
      <c r="AI26" s="4">
        <f t="shared" si="51"/>
        <v>6213</v>
      </c>
      <c r="AJ26" s="4">
        <f t="shared" si="51"/>
        <v>8703</v>
      </c>
      <c r="AK26" s="4">
        <f t="shared" si="51"/>
        <v>11686</v>
      </c>
      <c r="AL26" s="4">
        <f t="shared" si="51"/>
        <v>15470</v>
      </c>
      <c r="AM26" s="4">
        <f t="shared" si="51"/>
        <v>21945</v>
      </c>
      <c r="AN26" s="4">
        <f t="shared" si="51"/>
        <v>30103</v>
      </c>
      <c r="AO26" s="4">
        <f>+AO23*0.2</f>
        <v>33343.11</v>
      </c>
      <c r="AP26" s="4">
        <f t="shared" ref="AP26:AS26" si="52">+AP23*0.2</f>
        <v>41237.116499999996</v>
      </c>
      <c r="AQ26" s="4">
        <f t="shared" si="52"/>
        <v>51472.239974999989</v>
      </c>
      <c r="AR26" s="4">
        <f t="shared" si="52"/>
        <v>64862.45437124998</v>
      </c>
      <c r="AS26" s="4">
        <f t="shared" si="52"/>
        <v>82528.952286937478</v>
      </c>
      <c r="AT26" s="4">
        <f t="shared" ref="AT26:BB26" si="53">+AT23*0.2</f>
        <v>95226.640181231225</v>
      </c>
      <c r="AU26" s="4">
        <f t="shared" si="53"/>
        <v>110083.05539807433</v>
      </c>
      <c r="AV26" s="4">
        <f t="shared" si="53"/>
        <v>121987.70960644205</v>
      </c>
      <c r="AW26" s="4">
        <f t="shared" si="53"/>
        <v>135447.67174099773</v>
      </c>
      <c r="AX26" s="4">
        <f t="shared" si="53"/>
        <v>145436.36609988572</v>
      </c>
      <c r="AY26" s="4">
        <f t="shared" si="53"/>
        <v>156317.24771020617</v>
      </c>
      <c r="AZ26" s="4">
        <f t="shared" si="53"/>
        <v>163055.21362438556</v>
      </c>
      <c r="BA26" s="4">
        <f t="shared" si="53"/>
        <v>167946.87003311713</v>
      </c>
      <c r="BB26" s="4">
        <f t="shared" si="53"/>
        <v>172985.27613411064</v>
      </c>
    </row>
    <row r="27" spans="2:54" s="3" customFormat="1" x14ac:dyDescent="0.2">
      <c r="B27" s="3" t="s">
        <v>24</v>
      </c>
      <c r="C27" s="4">
        <v>870</v>
      </c>
      <c r="D27" s="4">
        <v>943</v>
      </c>
      <c r="E27" s="4">
        <v>993</v>
      </c>
      <c r="F27" s="4">
        <v>1526</v>
      </c>
      <c r="G27" s="4">
        <v>1083</v>
      </c>
      <c r="H27" s="4">
        <v>1150</v>
      </c>
      <c r="I27" s="4">
        <v>1264</v>
      </c>
      <c r="J27" s="4">
        <v>1755</v>
      </c>
      <c r="K27" s="4">
        <v>1436</v>
      </c>
      <c r="L27" s="4">
        <v>1546</v>
      </c>
      <c r="M27" s="4">
        <v>1738</v>
      </c>
      <c r="N27" s="4">
        <v>2513</v>
      </c>
      <c r="O27" s="4">
        <v>1920</v>
      </c>
      <c r="P27" s="4"/>
      <c r="Q27" s="4"/>
      <c r="R27" s="4"/>
      <c r="AD27" s="3">
        <v>263</v>
      </c>
      <c r="AE27" s="3">
        <v>344</v>
      </c>
      <c r="AF27" s="3">
        <v>482</v>
      </c>
      <c r="AG27" s="3">
        <v>680</v>
      </c>
      <c r="AH27" s="3">
        <v>1029</v>
      </c>
      <c r="AI27" s="3">
        <v>1630</v>
      </c>
      <c r="AJ27" s="3">
        <v>2408</v>
      </c>
      <c r="AK27" s="3">
        <v>3133</v>
      </c>
      <c r="AL27" s="3">
        <v>4332</v>
      </c>
      <c r="AM27" s="3">
        <v>5254</v>
      </c>
      <c r="AN27" s="3">
        <v>7233</v>
      </c>
      <c r="AO27" s="3">
        <f>+AN27*1.1</f>
        <v>7956.3000000000011</v>
      </c>
      <c r="AP27" s="3">
        <f t="shared" ref="AP27:AR27" si="54">+AO27*1.1</f>
        <v>8751.9300000000021</v>
      </c>
      <c r="AQ27" s="3">
        <f t="shared" si="54"/>
        <v>9627.1230000000032</v>
      </c>
      <c r="AR27" s="3">
        <f t="shared" si="54"/>
        <v>10589.835300000004</v>
      </c>
      <c r="AS27" s="3">
        <f>+AR27*1.03</f>
        <v>10907.530359000004</v>
      </c>
      <c r="AT27" s="3">
        <f t="shared" ref="AT27:BB27" si="55">+AS27*1.03</f>
        <v>11234.756269770005</v>
      </c>
      <c r="AU27" s="3">
        <f t="shared" si="55"/>
        <v>11571.798957863106</v>
      </c>
      <c r="AV27" s="3">
        <f t="shared" si="55"/>
        <v>11918.952926598999</v>
      </c>
      <c r="AW27" s="3">
        <f t="shared" si="55"/>
        <v>12276.521514396969</v>
      </c>
      <c r="AX27" s="3">
        <f t="shared" si="55"/>
        <v>12644.817159828879</v>
      </c>
      <c r="AY27" s="3">
        <f t="shared" si="55"/>
        <v>13024.161674623745</v>
      </c>
      <c r="AZ27" s="3">
        <f t="shared" si="55"/>
        <v>13414.886524862457</v>
      </c>
      <c r="BA27" s="3">
        <f t="shared" si="55"/>
        <v>13817.333120608331</v>
      </c>
      <c r="BB27" s="3">
        <f t="shared" si="55"/>
        <v>14231.853114226582</v>
      </c>
    </row>
    <row r="28" spans="2:54" s="3" customFormat="1" x14ac:dyDescent="0.2">
      <c r="B28" s="3" t="s">
        <v>25</v>
      </c>
      <c r="C28" s="4">
        <v>1991</v>
      </c>
      <c r="D28" s="4">
        <v>2226</v>
      </c>
      <c r="E28" s="4">
        <v>2423</v>
      </c>
      <c r="F28" s="4">
        <v>2635</v>
      </c>
      <c r="G28" s="4">
        <v>2754</v>
      </c>
      <c r="H28" s="4">
        <v>3020</v>
      </c>
      <c r="I28" s="4">
        <v>3197</v>
      </c>
      <c r="J28" s="4">
        <v>3571</v>
      </c>
      <c r="K28" s="4">
        <v>3526</v>
      </c>
      <c r="L28" s="4">
        <v>3880</v>
      </c>
      <c r="M28" s="4">
        <v>4135</v>
      </c>
      <c r="N28" s="4">
        <v>4545</v>
      </c>
      <c r="O28" s="4">
        <v>4813</v>
      </c>
      <c r="P28" s="4"/>
      <c r="Q28" s="4"/>
      <c r="R28" s="4"/>
      <c r="AD28" s="3">
        <v>662</v>
      </c>
      <c r="AE28" s="3">
        <v>818</v>
      </c>
      <c r="AF28" s="3">
        <v>1033</v>
      </c>
      <c r="AG28" s="3">
        <v>1240</v>
      </c>
      <c r="AH28" s="3">
        <v>1734</v>
      </c>
      <c r="AI28" s="3">
        <v>2909</v>
      </c>
      <c r="AJ28" s="3">
        <v>4564</v>
      </c>
      <c r="AK28" s="3">
        <v>6565</v>
      </c>
      <c r="AL28" s="3">
        <v>9275</v>
      </c>
      <c r="AM28" s="3">
        <v>12540</v>
      </c>
      <c r="AN28" s="3">
        <v>16085</v>
      </c>
      <c r="AO28" s="3">
        <f>+AN28*1.1</f>
        <v>17693.5</v>
      </c>
      <c r="AP28" s="3">
        <f t="shared" ref="AP28:AR28" si="56">+AO28*1.1</f>
        <v>19462.850000000002</v>
      </c>
      <c r="AQ28" s="3">
        <f t="shared" si="56"/>
        <v>21409.135000000006</v>
      </c>
      <c r="AR28" s="3">
        <f t="shared" si="56"/>
        <v>23550.048500000008</v>
      </c>
      <c r="AS28" s="3">
        <f>+AR28*1.03</f>
        <v>24256.54995500001</v>
      </c>
      <c r="AT28" s="3">
        <f t="shared" ref="AT28:BB28" si="57">+AS28*1.03</f>
        <v>24984.246453650012</v>
      </c>
      <c r="AU28" s="3">
        <f t="shared" si="57"/>
        <v>25733.773847259512</v>
      </c>
      <c r="AV28" s="3">
        <f t="shared" si="57"/>
        <v>26505.787062677296</v>
      </c>
      <c r="AW28" s="3">
        <f t="shared" si="57"/>
        <v>27300.960674557617</v>
      </c>
      <c r="AX28" s="3">
        <f t="shared" si="57"/>
        <v>28119.989494794347</v>
      </c>
      <c r="AY28" s="3">
        <f t="shared" si="57"/>
        <v>28963.589179638177</v>
      </c>
      <c r="AZ28" s="3">
        <f t="shared" si="57"/>
        <v>29832.496855027322</v>
      </c>
      <c r="BA28" s="3">
        <f t="shared" si="57"/>
        <v>30727.471760678141</v>
      </c>
      <c r="BB28" s="3">
        <f t="shared" si="57"/>
        <v>31649.295913498485</v>
      </c>
    </row>
    <row r="29" spans="2:54" s="3" customFormat="1" x14ac:dyDescent="0.2">
      <c r="B29" s="3" t="s">
        <v>26</v>
      </c>
      <c r="C29" s="4">
        <v>327</v>
      </c>
      <c r="D29" s="4">
        <f>377+28</f>
        <v>405</v>
      </c>
      <c r="E29" s="4">
        <f>406+31</f>
        <v>437</v>
      </c>
      <c r="F29" s="4">
        <f>442+39</f>
        <v>481</v>
      </c>
      <c r="G29" s="4">
        <f>427+44</f>
        <v>471</v>
      </c>
      <c r="H29" s="4">
        <f>467+48</f>
        <v>515</v>
      </c>
      <c r="I29" s="4">
        <f>463+43</f>
        <v>506</v>
      </c>
      <c r="J29" s="4">
        <f>390+36</f>
        <v>426</v>
      </c>
      <c r="K29" s="4">
        <f>497+45</f>
        <v>542</v>
      </c>
      <c r="L29" s="4">
        <v>580</v>
      </c>
      <c r="M29" s="4">
        <f>639+32</f>
        <v>671</v>
      </c>
      <c r="N29" s="4">
        <f>717+34</f>
        <v>751</v>
      </c>
      <c r="O29" s="4">
        <f>795+44</f>
        <v>839</v>
      </c>
      <c r="P29" s="4"/>
      <c r="Q29" s="4"/>
      <c r="R29" s="4"/>
      <c r="AD29" s="3">
        <f>195+10</f>
        <v>205</v>
      </c>
      <c r="AE29" s="3">
        <f>235+9</f>
        <v>244</v>
      </c>
      <c r="AF29" s="3">
        <f>279-24</f>
        <v>255</v>
      </c>
      <c r="AG29" s="3">
        <f>328+102</f>
        <v>430</v>
      </c>
      <c r="AH29" s="3">
        <f>470+106</f>
        <v>576</v>
      </c>
      <c r="AI29" s="3">
        <f>658+154</f>
        <v>812</v>
      </c>
      <c r="AJ29" s="3">
        <f>896+159</f>
        <v>1055</v>
      </c>
      <c r="AK29" s="3">
        <f>1129+114</f>
        <v>1243</v>
      </c>
      <c r="AL29" s="3">
        <f>1552+133</f>
        <v>1685</v>
      </c>
      <c r="AM29" s="3">
        <f>1747+171</f>
        <v>1918</v>
      </c>
      <c r="AN29" s="3">
        <f>2432+167</f>
        <v>2599</v>
      </c>
      <c r="AO29" s="3">
        <f>+AN29*1.1</f>
        <v>2858.9</v>
      </c>
      <c r="AP29" s="3">
        <f t="shared" ref="AP29:AR29" si="58">+AO29*1.1</f>
        <v>3144.7900000000004</v>
      </c>
      <c r="AQ29" s="3">
        <f t="shared" si="58"/>
        <v>3459.2690000000007</v>
      </c>
      <c r="AR29" s="3">
        <f t="shared" si="58"/>
        <v>3805.1959000000011</v>
      </c>
      <c r="AS29" s="3">
        <f>+AR29*1.03</f>
        <v>3919.3517770000012</v>
      </c>
      <c r="AT29" s="3">
        <f t="shared" ref="AT29:BB29" si="59">+AS29*1.03</f>
        <v>4036.9323303100014</v>
      </c>
      <c r="AU29" s="3">
        <f t="shared" si="59"/>
        <v>4158.0403002193016</v>
      </c>
      <c r="AV29" s="3">
        <f t="shared" si="59"/>
        <v>4282.7815092258807</v>
      </c>
      <c r="AW29" s="3">
        <f t="shared" si="59"/>
        <v>4411.264954502657</v>
      </c>
      <c r="AX29" s="3">
        <f t="shared" si="59"/>
        <v>4543.6029031377366</v>
      </c>
      <c r="AY29" s="3">
        <f t="shared" si="59"/>
        <v>4679.9109902318687</v>
      </c>
      <c r="AZ29" s="3">
        <f t="shared" si="59"/>
        <v>4820.3083199388248</v>
      </c>
      <c r="BA29" s="3">
        <f t="shared" si="59"/>
        <v>4964.9175695369895</v>
      </c>
      <c r="BB29" s="3">
        <f t="shared" si="59"/>
        <v>5113.8650966230989</v>
      </c>
    </row>
    <row r="30" spans="2:54" s="3" customFormat="1" x14ac:dyDescent="0.2">
      <c r="B30" s="3" t="s">
        <v>27</v>
      </c>
      <c r="C30" s="4">
        <f t="shared" ref="C30:J30" si="60">SUM(C27:C29)</f>
        <v>3188</v>
      </c>
      <c r="D30" s="4">
        <f t="shared" si="60"/>
        <v>3574</v>
      </c>
      <c r="E30" s="4">
        <f t="shared" si="60"/>
        <v>3853</v>
      </c>
      <c r="F30" s="4">
        <f t="shared" si="60"/>
        <v>4642</v>
      </c>
      <c r="G30" s="4">
        <f t="shared" si="60"/>
        <v>4308</v>
      </c>
      <c r="H30" s="4">
        <f t="shared" si="60"/>
        <v>4685</v>
      </c>
      <c r="I30" s="4">
        <f t="shared" si="60"/>
        <v>4967</v>
      </c>
      <c r="J30" s="4">
        <f t="shared" si="60"/>
        <v>5752</v>
      </c>
      <c r="K30" s="4">
        <f t="shared" ref="K30:N30" si="61">SUM(K27:K29)</f>
        <v>5504</v>
      </c>
      <c r="L30" s="4">
        <f t="shared" si="61"/>
        <v>6006</v>
      </c>
      <c r="M30" s="4">
        <f t="shared" si="61"/>
        <v>6544</v>
      </c>
      <c r="N30" s="4">
        <f t="shared" si="61"/>
        <v>7809</v>
      </c>
      <c r="O30" s="4">
        <f t="shared" ref="O30" si="62">SUM(O27:O29)</f>
        <v>7572</v>
      </c>
      <c r="P30" s="4"/>
      <c r="Q30" s="4"/>
      <c r="R30" s="4"/>
      <c r="AA30" s="4"/>
      <c r="AD30" s="4">
        <f t="shared" ref="AD30:AN30" si="63">SUM(AD27:AD29)</f>
        <v>1130</v>
      </c>
      <c r="AE30" s="4">
        <f t="shared" si="63"/>
        <v>1406</v>
      </c>
      <c r="AF30" s="4">
        <f t="shared" si="63"/>
        <v>1770</v>
      </c>
      <c r="AG30" s="4">
        <f t="shared" si="63"/>
        <v>2350</v>
      </c>
      <c r="AH30" s="4">
        <f t="shared" si="63"/>
        <v>3339</v>
      </c>
      <c r="AI30" s="4">
        <f t="shared" si="63"/>
        <v>5351</v>
      </c>
      <c r="AJ30" s="4">
        <f t="shared" si="63"/>
        <v>8027</v>
      </c>
      <c r="AK30" s="4">
        <f t="shared" si="63"/>
        <v>10941</v>
      </c>
      <c r="AL30" s="4">
        <f t="shared" si="63"/>
        <v>15292</v>
      </c>
      <c r="AM30" s="4">
        <f t="shared" si="63"/>
        <v>19712</v>
      </c>
      <c r="AN30" s="4">
        <f t="shared" si="63"/>
        <v>25917</v>
      </c>
      <c r="AO30" s="4">
        <f t="shared" ref="AO30:AS30" si="64">SUM(AO27:AO29)</f>
        <v>28508.700000000004</v>
      </c>
      <c r="AP30" s="4">
        <f t="shared" si="64"/>
        <v>31359.570000000007</v>
      </c>
      <c r="AQ30" s="4">
        <f t="shared" si="64"/>
        <v>34495.527000000009</v>
      </c>
      <c r="AR30" s="4">
        <f t="shared" si="64"/>
        <v>37945.079700000009</v>
      </c>
      <c r="AS30" s="4">
        <f t="shared" si="64"/>
        <v>39083.432091000017</v>
      </c>
      <c r="AT30" s="4">
        <f t="shared" ref="AT30:BB30" si="65">SUM(AT27:AT29)</f>
        <v>40255.93505373002</v>
      </c>
      <c r="AU30" s="4">
        <f t="shared" si="65"/>
        <v>41463.613105341923</v>
      </c>
      <c r="AV30" s="4">
        <f t="shared" si="65"/>
        <v>42707.521498502174</v>
      </c>
      <c r="AW30" s="4">
        <f t="shared" si="65"/>
        <v>43988.747143457244</v>
      </c>
      <c r="AX30" s="4">
        <f t="shared" si="65"/>
        <v>45308.40955776097</v>
      </c>
      <c r="AY30" s="4">
        <f t="shared" si="65"/>
        <v>46667.661844493785</v>
      </c>
      <c r="AZ30" s="4">
        <f t="shared" si="65"/>
        <v>48067.691699828611</v>
      </c>
      <c r="BA30" s="4">
        <f t="shared" si="65"/>
        <v>49509.722450823465</v>
      </c>
      <c r="BB30" s="4">
        <f t="shared" si="65"/>
        <v>50995.01412434817</v>
      </c>
    </row>
    <row r="31" spans="2:54" s="7" customFormat="1" x14ac:dyDescent="0.2">
      <c r="B31" s="7" t="s">
        <v>28</v>
      </c>
      <c r="C31" s="8">
        <f t="shared" ref="C31:J31" si="66">C26-C30</f>
        <v>181</v>
      </c>
      <c r="D31" s="8">
        <f t="shared" si="66"/>
        <v>-15</v>
      </c>
      <c r="E31" s="8">
        <f t="shared" si="66"/>
        <v>-544</v>
      </c>
      <c r="F31" s="8">
        <f t="shared" si="66"/>
        <v>591</v>
      </c>
      <c r="G31" s="8">
        <f t="shared" si="66"/>
        <v>255</v>
      </c>
      <c r="H31" s="8">
        <f t="shared" si="66"/>
        <v>110</v>
      </c>
      <c r="I31" s="8">
        <f t="shared" si="66"/>
        <v>406</v>
      </c>
      <c r="J31" s="8">
        <f t="shared" si="66"/>
        <v>1108</v>
      </c>
      <c r="K31" s="8">
        <f t="shared" ref="K31:O31" si="67">K26-K30</f>
        <v>1071</v>
      </c>
      <c r="L31" s="8">
        <f t="shared" si="67"/>
        <v>1340</v>
      </c>
      <c r="M31" s="8">
        <f t="shared" si="67"/>
        <v>575</v>
      </c>
      <c r="N31" s="8">
        <f t="shared" si="67"/>
        <v>1255</v>
      </c>
      <c r="O31" s="8">
        <f t="shared" si="67"/>
        <v>1005</v>
      </c>
      <c r="P31" s="8"/>
      <c r="Q31" s="8"/>
      <c r="R31" s="8"/>
      <c r="AA31" s="8"/>
      <c r="AD31" s="8">
        <f t="shared" ref="AD31:AN31" si="68">AD26-AD30</f>
        <v>1326</v>
      </c>
      <c r="AE31" s="8">
        <f t="shared" si="68"/>
        <v>1947</v>
      </c>
      <c r="AF31" s="8">
        <f t="shared" si="68"/>
        <v>842</v>
      </c>
      <c r="AG31" s="8">
        <f t="shared" si="68"/>
        <v>1129</v>
      </c>
      <c r="AH31" s="8">
        <f t="shared" si="68"/>
        <v>1406</v>
      </c>
      <c r="AI31" s="8">
        <f t="shared" si="68"/>
        <v>862</v>
      </c>
      <c r="AJ31" s="8">
        <f t="shared" si="68"/>
        <v>676</v>
      </c>
      <c r="AK31" s="8">
        <f t="shared" si="68"/>
        <v>745</v>
      </c>
      <c r="AL31" s="8">
        <f t="shared" si="68"/>
        <v>178</v>
      </c>
      <c r="AM31" s="8">
        <f t="shared" si="68"/>
        <v>2233</v>
      </c>
      <c r="AN31" s="8">
        <f t="shared" si="68"/>
        <v>4186</v>
      </c>
      <c r="AO31" s="8">
        <f t="shared" ref="AO31:AS31" si="69">AO26-AO30</f>
        <v>4834.4099999999962</v>
      </c>
      <c r="AP31" s="8">
        <f t="shared" si="69"/>
        <v>9877.5464999999895</v>
      </c>
      <c r="AQ31" s="8">
        <f t="shared" si="69"/>
        <v>16976.71297499998</v>
      </c>
      <c r="AR31" s="8">
        <f t="shared" si="69"/>
        <v>26917.374671249971</v>
      </c>
      <c r="AS31" s="8">
        <f t="shared" si="69"/>
        <v>43445.520195937461</v>
      </c>
      <c r="AT31" s="8">
        <f t="shared" ref="AT31:BB31" si="70">AT26-AT30</f>
        <v>54970.705127501205</v>
      </c>
      <c r="AU31" s="8">
        <f t="shared" si="70"/>
        <v>68619.442292732405</v>
      </c>
      <c r="AV31" s="8">
        <f t="shared" si="70"/>
        <v>79280.188107939874</v>
      </c>
      <c r="AW31" s="8">
        <f t="shared" si="70"/>
        <v>91458.924597540492</v>
      </c>
      <c r="AX31" s="8">
        <f t="shared" si="70"/>
        <v>100127.95654212475</v>
      </c>
      <c r="AY31" s="8">
        <f t="shared" si="70"/>
        <v>109649.58586571238</v>
      </c>
      <c r="AZ31" s="8">
        <f t="shared" si="70"/>
        <v>114987.52192455696</v>
      </c>
      <c r="BA31" s="8">
        <f t="shared" si="70"/>
        <v>118437.14758229366</v>
      </c>
      <c r="BB31" s="8">
        <f t="shared" si="70"/>
        <v>121990.26200976246</v>
      </c>
    </row>
    <row r="32" spans="2:54" s="3" customFormat="1" x14ac:dyDescent="0.2">
      <c r="B32" s="3" t="s">
        <v>29</v>
      </c>
      <c r="C32" s="4">
        <v>-26</v>
      </c>
      <c r="D32" s="4">
        <v>-12</v>
      </c>
      <c r="E32" s="4">
        <v>-90</v>
      </c>
      <c r="F32" s="4">
        <f>8-74-96</f>
        <v>-162</v>
      </c>
      <c r="G32" s="4">
        <v>-234</v>
      </c>
      <c r="H32" s="4">
        <v>-102</v>
      </c>
      <c r="I32" s="4">
        <f>13-116-56</f>
        <v>-159</v>
      </c>
      <c r="J32" s="4">
        <f>13-115-68</f>
        <v>-170</v>
      </c>
      <c r="K32" s="4">
        <f>21-117+81-15</f>
        <v>-30</v>
      </c>
      <c r="L32" s="4">
        <f>-55+24-116-14</f>
        <v>-161</v>
      </c>
      <c r="M32" s="4">
        <f>26-118+8</f>
        <v>-84</v>
      </c>
      <c r="N32" s="4">
        <f>30-133+14</f>
        <v>-89</v>
      </c>
      <c r="O32" s="4">
        <f>39-139+48</f>
        <v>-52</v>
      </c>
      <c r="P32" s="4"/>
      <c r="Q32" s="4"/>
      <c r="R32" s="4"/>
      <c r="AD32" s="3">
        <f>59-78+7</f>
        <v>-12</v>
      </c>
      <c r="AE32" s="3">
        <f>90-77-8</f>
        <v>5</v>
      </c>
      <c r="AF32" s="3">
        <f>83-71+47</f>
        <v>59</v>
      </c>
      <c r="AG32" s="3">
        <f>37-34+29</f>
        <v>32</v>
      </c>
      <c r="AH32" s="3">
        <f>51-39+79</f>
        <v>91</v>
      </c>
      <c r="AI32" s="3">
        <f>61-65+76</f>
        <v>72</v>
      </c>
      <c r="AJ32" s="3">
        <f>40-92-80</f>
        <v>-132</v>
      </c>
      <c r="AK32" s="3">
        <f>38-141-136</f>
        <v>-239</v>
      </c>
      <c r="AL32" s="3">
        <f>39-210-118</f>
        <v>-289</v>
      </c>
      <c r="AM32" s="3">
        <f>50-459-256</f>
        <v>-665</v>
      </c>
      <c r="AN32" s="3">
        <f>100-484+90</f>
        <v>-294</v>
      </c>
      <c r="AO32" s="3">
        <f>+AN32</f>
        <v>-294</v>
      </c>
      <c r="AP32" s="3">
        <f t="shared" ref="AP32:AR32" si="71">+AO32</f>
        <v>-294</v>
      </c>
      <c r="AQ32" s="3">
        <f t="shared" si="71"/>
        <v>-294</v>
      </c>
      <c r="AR32" s="3">
        <f t="shared" si="71"/>
        <v>-294</v>
      </c>
      <c r="AS32" s="3">
        <f>+AR32-1.03</f>
        <v>-295.02999999999997</v>
      </c>
      <c r="AT32" s="3">
        <f t="shared" ref="AT32:BB32" si="72">+AS32-1.03</f>
        <v>-296.05999999999995</v>
      </c>
      <c r="AU32" s="3">
        <f t="shared" si="72"/>
        <v>-297.08999999999992</v>
      </c>
      <c r="AV32" s="3">
        <f t="shared" si="72"/>
        <v>-298.11999999999989</v>
      </c>
      <c r="AW32" s="3">
        <f t="shared" si="72"/>
        <v>-299.14999999999986</v>
      </c>
      <c r="AX32" s="3">
        <f t="shared" si="72"/>
        <v>-300.17999999999984</v>
      </c>
      <c r="AY32" s="3">
        <f t="shared" si="72"/>
        <v>-301.20999999999981</v>
      </c>
      <c r="AZ32" s="3">
        <f t="shared" si="72"/>
        <v>-302.23999999999978</v>
      </c>
      <c r="BA32" s="3">
        <f t="shared" si="72"/>
        <v>-303.26999999999975</v>
      </c>
      <c r="BB32" s="3">
        <f t="shared" si="72"/>
        <v>-304.29999999999973</v>
      </c>
    </row>
    <row r="33" spans="2:131" s="3" customFormat="1" x14ac:dyDescent="0.2">
      <c r="B33" s="3" t="s">
        <v>30</v>
      </c>
      <c r="C33" s="4">
        <f t="shared" ref="C33:J33" si="73">+C31+C32</f>
        <v>155</v>
      </c>
      <c r="D33" s="4">
        <f t="shared" si="73"/>
        <v>-27</v>
      </c>
      <c r="E33" s="4">
        <f t="shared" si="73"/>
        <v>-634</v>
      </c>
      <c r="F33" s="4">
        <f t="shared" si="73"/>
        <v>429</v>
      </c>
      <c r="G33" s="4">
        <f t="shared" si="73"/>
        <v>21</v>
      </c>
      <c r="H33" s="4">
        <f t="shared" si="73"/>
        <v>8</v>
      </c>
      <c r="I33" s="4">
        <f t="shared" si="73"/>
        <v>247</v>
      </c>
      <c r="J33" s="4">
        <f t="shared" si="73"/>
        <v>938</v>
      </c>
      <c r="K33" s="4">
        <f t="shared" ref="K33:N33" si="74">+K31+K32</f>
        <v>1041</v>
      </c>
      <c r="L33" s="4">
        <f t="shared" si="74"/>
        <v>1179</v>
      </c>
      <c r="M33" s="4">
        <f t="shared" si="74"/>
        <v>491</v>
      </c>
      <c r="N33" s="4">
        <f t="shared" si="74"/>
        <v>1166</v>
      </c>
      <c r="O33" s="4">
        <f t="shared" ref="O33" si="75">+O31+O32</f>
        <v>953</v>
      </c>
      <c r="P33" s="4"/>
      <c r="Q33" s="4"/>
      <c r="R33" s="4"/>
      <c r="AA33" s="4"/>
      <c r="AD33" s="4">
        <f t="shared" ref="AD33:AN33" si="76">+AD31+AD32</f>
        <v>1314</v>
      </c>
      <c r="AE33" s="4">
        <f t="shared" si="76"/>
        <v>1952</v>
      </c>
      <c r="AF33" s="4">
        <f t="shared" si="76"/>
        <v>901</v>
      </c>
      <c r="AG33" s="4">
        <f t="shared" si="76"/>
        <v>1161</v>
      </c>
      <c r="AH33" s="4">
        <f t="shared" si="76"/>
        <v>1497</v>
      </c>
      <c r="AI33" s="4">
        <f t="shared" si="76"/>
        <v>934</v>
      </c>
      <c r="AJ33" s="4">
        <f t="shared" si="76"/>
        <v>544</v>
      </c>
      <c r="AK33" s="4">
        <f t="shared" si="76"/>
        <v>506</v>
      </c>
      <c r="AL33" s="4">
        <f t="shared" si="76"/>
        <v>-111</v>
      </c>
      <c r="AM33" s="4">
        <f t="shared" si="76"/>
        <v>1568</v>
      </c>
      <c r="AN33" s="4">
        <f t="shared" si="76"/>
        <v>3892</v>
      </c>
      <c r="AO33" s="4">
        <f t="shared" ref="AO33:AS33" si="77">+AO31+AO32</f>
        <v>4540.4099999999962</v>
      </c>
      <c r="AP33" s="4">
        <f t="shared" si="77"/>
        <v>9583.5464999999895</v>
      </c>
      <c r="AQ33" s="4">
        <f t="shared" si="77"/>
        <v>16682.71297499998</v>
      </c>
      <c r="AR33" s="4">
        <f t="shared" si="77"/>
        <v>26623.374671249971</v>
      </c>
      <c r="AS33" s="4">
        <f t="shared" si="77"/>
        <v>43150.490195937462</v>
      </c>
      <c r="AT33" s="4">
        <f t="shared" ref="AT33:BB33" si="78">+AT31+AT32</f>
        <v>54674.645127501208</v>
      </c>
      <c r="AU33" s="4">
        <f t="shared" si="78"/>
        <v>68322.352292732408</v>
      </c>
      <c r="AV33" s="4">
        <f t="shared" si="78"/>
        <v>78982.068107939878</v>
      </c>
      <c r="AW33" s="4">
        <f t="shared" si="78"/>
        <v>91159.774597540498</v>
      </c>
      <c r="AX33" s="4">
        <f t="shared" si="78"/>
        <v>99827.77654212476</v>
      </c>
      <c r="AY33" s="4">
        <f t="shared" si="78"/>
        <v>109348.37586571237</v>
      </c>
      <c r="AZ33" s="4">
        <f t="shared" si="78"/>
        <v>114685.28192455696</v>
      </c>
      <c r="BA33" s="4">
        <f t="shared" si="78"/>
        <v>118133.87758229366</v>
      </c>
      <c r="BB33" s="4">
        <f t="shared" si="78"/>
        <v>121685.96200976246</v>
      </c>
    </row>
    <row r="34" spans="2:131" s="3" customFormat="1" x14ac:dyDescent="0.2">
      <c r="B34" s="3" t="s">
        <v>31</v>
      </c>
      <c r="C34" s="4">
        <f>-73+61</f>
        <v>-12</v>
      </c>
      <c r="D34" s="4">
        <f>-94+5</f>
        <v>-89</v>
      </c>
      <c r="E34" s="4">
        <f>-205+8</f>
        <v>-197</v>
      </c>
      <c r="F34" s="4">
        <f>205+10</f>
        <v>215</v>
      </c>
      <c r="G34" s="4">
        <f>-71+7</f>
        <v>-64</v>
      </c>
      <c r="H34" s="4">
        <f>-266+4</f>
        <v>-262</v>
      </c>
      <c r="I34" s="4">
        <f>161+7</f>
        <v>168</v>
      </c>
      <c r="J34" s="4">
        <f>453+3</f>
        <v>456</v>
      </c>
      <c r="K34" s="4">
        <f>475</f>
        <v>475</v>
      </c>
      <c r="L34" s="4">
        <f>307+15</f>
        <v>322</v>
      </c>
      <c r="M34" s="4">
        <f>229+10</f>
        <v>239</v>
      </c>
      <c r="N34" s="4">
        <f>414+3</f>
        <v>417</v>
      </c>
      <c r="O34" s="4">
        <v>229</v>
      </c>
      <c r="P34" s="4"/>
      <c r="Q34" s="4"/>
      <c r="R34" s="4"/>
      <c r="AD34" s="3">
        <v>187</v>
      </c>
      <c r="AE34" s="3">
        <v>184</v>
      </c>
      <c r="AF34" s="3">
        <f>247+9</f>
        <v>256</v>
      </c>
      <c r="AG34" s="3">
        <f>253+6</f>
        <v>259</v>
      </c>
      <c r="AH34" s="3">
        <f>352-7</f>
        <v>345</v>
      </c>
      <c r="AI34" s="3">
        <f>291+12</f>
        <v>303</v>
      </c>
      <c r="AJ34" s="3">
        <f>428+155</f>
        <v>583</v>
      </c>
      <c r="AK34" s="3">
        <f>161+71</f>
        <v>232</v>
      </c>
      <c r="AL34" s="3">
        <f>167-37</f>
        <v>130</v>
      </c>
      <c r="AM34" s="3">
        <f>950+22</f>
        <v>972</v>
      </c>
      <c r="AN34" s="3">
        <f>1425+96</f>
        <v>1521</v>
      </c>
      <c r="AO34" s="3">
        <f>+AO33*0.2</f>
        <v>908.08199999999931</v>
      </c>
      <c r="AP34" s="3">
        <f t="shared" ref="AP34:BB34" si="79">+AP33*0.2</f>
        <v>1916.7092999999979</v>
      </c>
      <c r="AQ34" s="3">
        <f t="shared" si="79"/>
        <v>3336.5425949999963</v>
      </c>
      <c r="AR34" s="3">
        <f t="shared" si="79"/>
        <v>5324.6749342499943</v>
      </c>
      <c r="AS34" s="3">
        <f t="shared" si="79"/>
        <v>8630.0980391874928</v>
      </c>
      <c r="AT34" s="3">
        <f t="shared" si="79"/>
        <v>10934.929025500242</v>
      </c>
      <c r="AU34" s="3">
        <f t="shared" si="79"/>
        <v>13664.470458546482</v>
      </c>
      <c r="AV34" s="3">
        <f t="shared" si="79"/>
        <v>15796.413621587977</v>
      </c>
      <c r="AW34" s="3">
        <f t="shared" si="79"/>
        <v>18231.954919508102</v>
      </c>
      <c r="AX34" s="3">
        <f t="shared" si="79"/>
        <v>19965.555308424955</v>
      </c>
      <c r="AY34" s="3">
        <f t="shared" si="79"/>
        <v>21869.675173142474</v>
      </c>
      <c r="AZ34" s="3">
        <f t="shared" si="79"/>
        <v>22937.056384911393</v>
      </c>
      <c r="BA34" s="3">
        <f t="shared" si="79"/>
        <v>23626.775516458732</v>
      </c>
      <c r="BB34" s="3">
        <f t="shared" si="79"/>
        <v>24337.192401952492</v>
      </c>
    </row>
    <row r="35" spans="2:131" s="5" customFormat="1" x14ac:dyDescent="0.2">
      <c r="B35" s="5" t="s">
        <v>32</v>
      </c>
      <c r="C35" s="6">
        <f t="shared" ref="C35:J35" si="80">+C33-C34</f>
        <v>167</v>
      </c>
      <c r="D35" s="6">
        <f t="shared" si="80"/>
        <v>62</v>
      </c>
      <c r="E35" s="6">
        <f t="shared" si="80"/>
        <v>-437</v>
      </c>
      <c r="F35" s="6">
        <f t="shared" si="80"/>
        <v>214</v>
      </c>
      <c r="G35" s="6">
        <f t="shared" si="80"/>
        <v>85</v>
      </c>
      <c r="H35" s="6">
        <f t="shared" si="80"/>
        <v>270</v>
      </c>
      <c r="I35" s="6">
        <f t="shared" si="80"/>
        <v>79</v>
      </c>
      <c r="J35" s="6">
        <f t="shared" si="80"/>
        <v>482</v>
      </c>
      <c r="K35" s="6">
        <f t="shared" ref="K35:N35" si="81">+K33-K34</f>
        <v>566</v>
      </c>
      <c r="L35" s="6">
        <f t="shared" si="81"/>
        <v>857</v>
      </c>
      <c r="M35" s="6">
        <f t="shared" si="81"/>
        <v>252</v>
      </c>
      <c r="N35" s="6">
        <f t="shared" si="81"/>
        <v>749</v>
      </c>
      <c r="O35" s="6">
        <f t="shared" ref="O35" si="82">+O33-O34</f>
        <v>724</v>
      </c>
      <c r="P35" s="6"/>
      <c r="Q35" s="6"/>
      <c r="R35" s="6"/>
      <c r="AD35" s="5">
        <f t="shared" ref="AD35:AN35" si="83">+AD33-AD34</f>
        <v>1127</v>
      </c>
      <c r="AE35" s="5">
        <f t="shared" si="83"/>
        <v>1768</v>
      </c>
      <c r="AF35" s="5">
        <f t="shared" si="83"/>
        <v>645</v>
      </c>
      <c r="AG35" s="5">
        <f t="shared" si="83"/>
        <v>902</v>
      </c>
      <c r="AH35" s="5">
        <f t="shared" si="83"/>
        <v>1152</v>
      </c>
      <c r="AI35" s="5">
        <f t="shared" si="83"/>
        <v>631</v>
      </c>
      <c r="AJ35" s="5">
        <f t="shared" si="83"/>
        <v>-39</v>
      </c>
      <c r="AK35" s="5">
        <f t="shared" si="83"/>
        <v>274</v>
      </c>
      <c r="AL35" s="5">
        <f t="shared" si="83"/>
        <v>-241</v>
      </c>
      <c r="AM35" s="5">
        <f t="shared" si="83"/>
        <v>596</v>
      </c>
      <c r="AN35" s="5">
        <f t="shared" si="83"/>
        <v>2371</v>
      </c>
      <c r="AO35" s="5">
        <f t="shared" ref="AO35:AS35" si="84">+AO33-AO34</f>
        <v>3632.3279999999968</v>
      </c>
      <c r="AP35" s="5">
        <f t="shared" si="84"/>
        <v>7666.8371999999918</v>
      </c>
      <c r="AQ35" s="5">
        <f t="shared" si="84"/>
        <v>13346.170379999985</v>
      </c>
      <c r="AR35" s="5">
        <f t="shared" si="84"/>
        <v>21298.699736999977</v>
      </c>
      <c r="AS35" s="5">
        <f t="shared" si="84"/>
        <v>34520.392156749971</v>
      </c>
      <c r="AT35" s="5">
        <f t="shared" ref="AT35:BB35" si="85">+AT33-AT34</f>
        <v>43739.716102000966</v>
      </c>
      <c r="AU35" s="5">
        <f t="shared" si="85"/>
        <v>54657.88183418593</v>
      </c>
      <c r="AV35" s="5">
        <f t="shared" si="85"/>
        <v>63185.654486351901</v>
      </c>
      <c r="AW35" s="5">
        <f t="shared" si="85"/>
        <v>72927.819678032392</v>
      </c>
      <c r="AX35" s="5">
        <f t="shared" si="85"/>
        <v>79862.221233699805</v>
      </c>
      <c r="AY35" s="5">
        <f t="shared" si="85"/>
        <v>87478.700692569895</v>
      </c>
      <c r="AZ35" s="5">
        <f t="shared" si="85"/>
        <v>91748.225539645558</v>
      </c>
      <c r="BA35" s="5">
        <f t="shared" si="85"/>
        <v>94507.10206583493</v>
      </c>
      <c r="BB35" s="5">
        <f t="shared" si="85"/>
        <v>97348.769607809969</v>
      </c>
      <c r="BC35" s="5">
        <f>+BB35*(1+$BE$39)</f>
        <v>95401.794215653761</v>
      </c>
      <c r="BD35" s="5">
        <f t="shared" ref="BD35:DO35" si="86">+BC35*(1+$BE$39)</f>
        <v>93493.758331340679</v>
      </c>
      <c r="BE35" s="5">
        <f t="shared" si="86"/>
        <v>91623.883164713858</v>
      </c>
      <c r="BF35" s="5">
        <f t="shared" si="86"/>
        <v>89791.405501419576</v>
      </c>
      <c r="BG35" s="5">
        <f t="shared" si="86"/>
        <v>87995.577391391183</v>
      </c>
      <c r="BH35" s="5">
        <f t="shared" si="86"/>
        <v>86235.665843563358</v>
      </c>
      <c r="BI35" s="5">
        <f t="shared" si="86"/>
        <v>84510.952526692083</v>
      </c>
      <c r="BJ35" s="5">
        <f t="shared" si="86"/>
        <v>82820.733476158246</v>
      </c>
      <c r="BK35" s="5">
        <f t="shared" si="86"/>
        <v>81164.318806635085</v>
      </c>
      <c r="BL35" s="5">
        <f t="shared" si="86"/>
        <v>79541.032430502382</v>
      </c>
      <c r="BM35" s="5">
        <f t="shared" si="86"/>
        <v>77950.211781892329</v>
      </c>
      <c r="BN35" s="5">
        <f t="shared" si="86"/>
        <v>76391.207546254474</v>
      </c>
      <c r="BO35" s="5">
        <f t="shared" si="86"/>
        <v>74863.38339532938</v>
      </c>
      <c r="BP35" s="5">
        <f t="shared" si="86"/>
        <v>73366.115727422788</v>
      </c>
      <c r="BQ35" s="5">
        <f t="shared" si="86"/>
        <v>71898.793412874336</v>
      </c>
      <c r="BR35" s="5">
        <f t="shared" si="86"/>
        <v>70460.817544616846</v>
      </c>
      <c r="BS35" s="5">
        <f t="shared" si="86"/>
        <v>69051.601193724506</v>
      </c>
      <c r="BT35" s="5">
        <f t="shared" si="86"/>
        <v>67670.569169850016</v>
      </c>
      <c r="BU35" s="5">
        <f t="shared" si="86"/>
        <v>66317.157786453012</v>
      </c>
      <c r="BV35" s="5">
        <f t="shared" si="86"/>
        <v>64990.814630723951</v>
      </c>
      <c r="BW35" s="5">
        <f t="shared" si="86"/>
        <v>63690.998338109472</v>
      </c>
      <c r="BX35" s="5">
        <f t="shared" si="86"/>
        <v>62417.178371347283</v>
      </c>
      <c r="BY35" s="5">
        <f t="shared" si="86"/>
        <v>61168.834803920334</v>
      </c>
      <c r="BZ35" s="5">
        <f t="shared" si="86"/>
        <v>59945.458107841929</v>
      </c>
      <c r="CA35" s="5">
        <f t="shared" si="86"/>
        <v>58746.548945685092</v>
      </c>
      <c r="CB35" s="5">
        <f t="shared" si="86"/>
        <v>57571.617966771388</v>
      </c>
      <c r="CC35" s="5">
        <f t="shared" si="86"/>
        <v>56420.18560743596</v>
      </c>
      <c r="CD35" s="5">
        <f t="shared" si="86"/>
        <v>55291.78189528724</v>
      </c>
      <c r="CE35" s="5">
        <f t="shared" si="86"/>
        <v>54185.946257381496</v>
      </c>
      <c r="CF35" s="5">
        <f t="shared" si="86"/>
        <v>53102.227332233866</v>
      </c>
      <c r="CG35" s="5">
        <f t="shared" si="86"/>
        <v>52040.18278558919</v>
      </c>
      <c r="CH35" s="5">
        <f t="shared" si="86"/>
        <v>50999.379129877409</v>
      </c>
      <c r="CI35" s="5">
        <f t="shared" si="86"/>
        <v>49979.391547279862</v>
      </c>
      <c r="CJ35" s="5">
        <f t="shared" si="86"/>
        <v>48979.803716334267</v>
      </c>
      <c r="CK35" s="5">
        <f t="shared" si="86"/>
        <v>48000.207642007583</v>
      </c>
      <c r="CL35" s="5">
        <f t="shared" si="86"/>
        <v>47040.203489167434</v>
      </c>
      <c r="CM35" s="5">
        <f t="shared" si="86"/>
        <v>46099.399419384084</v>
      </c>
      <c r="CN35" s="5">
        <f t="shared" si="86"/>
        <v>45177.411430996399</v>
      </c>
      <c r="CO35" s="5">
        <f t="shared" si="86"/>
        <v>44273.863202376473</v>
      </c>
      <c r="CP35" s="5">
        <f t="shared" si="86"/>
        <v>43388.385938328945</v>
      </c>
      <c r="CQ35" s="5">
        <f t="shared" si="86"/>
        <v>42520.618219562362</v>
      </c>
      <c r="CR35" s="5">
        <f t="shared" si="86"/>
        <v>41670.205855171116</v>
      </c>
      <c r="CS35" s="5">
        <f t="shared" si="86"/>
        <v>40836.80173806769</v>
      </c>
      <c r="CT35" s="5">
        <f t="shared" si="86"/>
        <v>40020.065703306333</v>
      </c>
      <c r="CU35" s="5">
        <f t="shared" si="86"/>
        <v>39219.664389240206</v>
      </c>
      <c r="CV35" s="5">
        <f t="shared" si="86"/>
        <v>38435.271101455401</v>
      </c>
      <c r="CW35" s="5">
        <f t="shared" si="86"/>
        <v>37666.56567942629</v>
      </c>
      <c r="CX35" s="5">
        <f t="shared" si="86"/>
        <v>36913.234365837765</v>
      </c>
      <c r="CY35" s="5">
        <f t="shared" si="86"/>
        <v>36174.969678521011</v>
      </c>
      <c r="CZ35" s="5">
        <f t="shared" si="86"/>
        <v>35451.470284950592</v>
      </c>
      <c r="DA35" s="5">
        <f t="shared" si="86"/>
        <v>34742.440879251582</v>
      </c>
      <c r="DB35" s="5">
        <f t="shared" si="86"/>
        <v>34047.592061666553</v>
      </c>
      <c r="DC35" s="5">
        <f t="shared" si="86"/>
        <v>33366.640220433219</v>
      </c>
      <c r="DD35" s="5">
        <f t="shared" si="86"/>
        <v>32699.307416024552</v>
      </c>
      <c r="DE35" s="5">
        <f t="shared" si="86"/>
        <v>32045.321267704061</v>
      </c>
      <c r="DF35" s="5">
        <f t="shared" si="86"/>
        <v>31404.414842349979</v>
      </c>
      <c r="DG35" s="5">
        <f t="shared" si="86"/>
        <v>30776.32654550298</v>
      </c>
      <c r="DH35" s="5">
        <f t="shared" si="86"/>
        <v>30160.800014592918</v>
      </c>
      <c r="DI35" s="5">
        <f t="shared" si="86"/>
        <v>29557.584014301061</v>
      </c>
      <c r="DJ35" s="5">
        <f t="shared" si="86"/>
        <v>28966.43233401504</v>
      </c>
      <c r="DK35" s="5">
        <f t="shared" si="86"/>
        <v>28387.10368733474</v>
      </c>
      <c r="DL35" s="5">
        <f t="shared" si="86"/>
        <v>27819.361613588044</v>
      </c>
      <c r="DM35" s="5">
        <f t="shared" si="86"/>
        <v>27262.974381316282</v>
      </c>
      <c r="DN35" s="5">
        <f t="shared" si="86"/>
        <v>26717.714893689958</v>
      </c>
      <c r="DO35" s="5">
        <f t="shared" si="86"/>
        <v>26183.360595816157</v>
      </c>
      <c r="DP35" s="5">
        <f t="shared" ref="DP35:EA35" si="87">+DO35*(1+$BE$39)</f>
        <v>25659.693383899834</v>
      </c>
      <c r="DQ35" s="5">
        <f t="shared" si="87"/>
        <v>25146.499516221837</v>
      </c>
      <c r="DR35" s="5">
        <f t="shared" si="87"/>
        <v>24643.569525897401</v>
      </c>
      <c r="DS35" s="5">
        <f t="shared" si="87"/>
        <v>24150.698135379451</v>
      </c>
      <c r="DT35" s="5">
        <f t="shared" si="87"/>
        <v>23667.684172671863</v>
      </c>
      <c r="DU35" s="5">
        <f t="shared" si="87"/>
        <v>23194.330489218424</v>
      </c>
      <c r="DV35" s="5">
        <f t="shared" si="87"/>
        <v>22730.443879434057</v>
      </c>
      <c r="DW35" s="5">
        <f t="shared" si="87"/>
        <v>22275.835001845375</v>
      </c>
      <c r="DX35" s="5">
        <f t="shared" si="87"/>
        <v>21830.318301808467</v>
      </c>
      <c r="DY35" s="5">
        <f t="shared" si="87"/>
        <v>21393.711935772299</v>
      </c>
      <c r="DZ35" s="5">
        <f t="shared" si="87"/>
        <v>20965.837697056853</v>
      </c>
      <c r="EA35" s="5">
        <f t="shared" si="87"/>
        <v>20546.520943115716</v>
      </c>
    </row>
    <row r="36" spans="2:131" s="3" customFormat="1" x14ac:dyDescent="0.2">
      <c r="B36" s="3" t="s">
        <v>33</v>
      </c>
      <c r="C36" s="10">
        <f t="shared" ref="C36:J36" si="88">C35/C37</f>
        <v>0.35683760683760685</v>
      </c>
      <c r="D36" s="10">
        <f t="shared" si="88"/>
        <v>0.13449023861171366</v>
      </c>
      <c r="E36" s="10">
        <f t="shared" si="88"/>
        <v>-0.94384449244060475</v>
      </c>
      <c r="F36" s="10">
        <f t="shared" si="88"/>
        <v>0.45338983050847459</v>
      </c>
      <c r="G36" s="10">
        <f t="shared" si="88"/>
        <v>0.18279569892473119</v>
      </c>
      <c r="H36" s="10">
        <f t="shared" si="88"/>
        <v>0.5672268907563025</v>
      </c>
      <c r="I36" s="10">
        <f t="shared" si="88"/>
        <v>0.16527196652719664</v>
      </c>
      <c r="J36" s="10">
        <f t="shared" si="88"/>
        <v>1.002079002079002</v>
      </c>
      <c r="K36" s="10">
        <f t="shared" ref="K36:N36" si="89">K35/K37</f>
        <v>1.1767151767151767</v>
      </c>
      <c r="L36" s="10">
        <f t="shared" si="89"/>
        <v>1.7743271221532091</v>
      </c>
      <c r="M36" s="10">
        <f t="shared" si="89"/>
        <v>0.51958762886597942</v>
      </c>
      <c r="N36" s="10">
        <f t="shared" si="89"/>
        <v>1.5411522633744856</v>
      </c>
      <c r="O36" s="10">
        <f t="shared" ref="O36" si="90">O35/O37</f>
        <v>1.4775510204081632</v>
      </c>
      <c r="P36" s="10"/>
      <c r="Q36" s="10"/>
      <c r="R36" s="10"/>
      <c r="AA36" s="1"/>
      <c r="AD36" s="1">
        <f t="shared" ref="AD36:AN36" si="91">AD35/AD37</f>
        <v>2.6580188679245285</v>
      </c>
      <c r="AE36" s="1">
        <f t="shared" si="91"/>
        <v>4.1698113207547172</v>
      </c>
      <c r="AF36" s="1">
        <f t="shared" si="91"/>
        <v>1.4930555555555556</v>
      </c>
      <c r="AG36" s="1">
        <f t="shared" si="91"/>
        <v>2.0407239819004523</v>
      </c>
      <c r="AH36" s="1">
        <f t="shared" si="91"/>
        <v>2.5263157894736841</v>
      </c>
      <c r="AI36" s="1">
        <f t="shared" si="91"/>
        <v>1.3687635574837311</v>
      </c>
      <c r="AJ36" s="1">
        <f t="shared" si="91"/>
        <v>-8.6092715231788075E-2</v>
      </c>
      <c r="AK36" s="1">
        <f t="shared" si="91"/>
        <v>0.58924731182795698</v>
      </c>
      <c r="AL36" s="1">
        <f t="shared" si="91"/>
        <v>-0.52164502164502169</v>
      </c>
      <c r="AM36" s="1">
        <f t="shared" si="91"/>
        <v>1.249475890985325</v>
      </c>
      <c r="AN36" s="1">
        <f t="shared" si="91"/>
        <v>4.8987603305785123</v>
      </c>
      <c r="AO36" s="1">
        <f t="shared" ref="AO36:AS36" si="92">AO35/AO37</f>
        <v>7.5048099173553648</v>
      </c>
      <c r="AP36" s="1">
        <f t="shared" si="92"/>
        <v>15.840572727272709</v>
      </c>
      <c r="AQ36" s="1">
        <f t="shared" si="92"/>
        <v>27.574732190082614</v>
      </c>
      <c r="AR36" s="1">
        <f t="shared" si="92"/>
        <v>44.005577969008215</v>
      </c>
      <c r="AS36" s="1">
        <f t="shared" si="92"/>
        <v>71.323124290805723</v>
      </c>
      <c r="AT36" s="1">
        <f t="shared" ref="AT36:BB36" si="93">AT35/AT37</f>
        <v>90.371314260332568</v>
      </c>
      <c r="AU36" s="1">
        <f t="shared" si="93"/>
        <v>112.92950792187176</v>
      </c>
      <c r="AV36" s="1">
        <f t="shared" si="93"/>
        <v>130.54887290568576</v>
      </c>
      <c r="AW36" s="1">
        <f t="shared" si="93"/>
        <v>150.67731338436445</v>
      </c>
      <c r="AX36" s="1">
        <f t="shared" si="93"/>
        <v>165.00458932582603</v>
      </c>
      <c r="AY36" s="1">
        <f t="shared" si="93"/>
        <v>180.74111713340886</v>
      </c>
      <c r="AZ36" s="1">
        <f t="shared" si="93"/>
        <v>189.56244946207761</v>
      </c>
      <c r="BA36" s="1">
        <f t="shared" si="93"/>
        <v>195.26260757403912</v>
      </c>
      <c r="BB36" s="1">
        <f t="shared" si="93"/>
        <v>201.1338215037396</v>
      </c>
    </row>
    <row r="37" spans="2:131" s="3" customFormat="1" x14ac:dyDescent="0.2">
      <c r="B37" s="3" t="s">
        <v>1</v>
      </c>
      <c r="C37" s="4">
        <v>468</v>
      </c>
      <c r="D37" s="4">
        <v>461</v>
      </c>
      <c r="E37" s="4">
        <v>463</v>
      </c>
      <c r="F37" s="4">
        <v>472</v>
      </c>
      <c r="G37" s="4">
        <v>465</v>
      </c>
      <c r="H37" s="4">
        <v>476</v>
      </c>
      <c r="I37" s="4">
        <v>478</v>
      </c>
      <c r="J37" s="4">
        <v>481</v>
      </c>
      <c r="K37" s="4">
        <v>481</v>
      </c>
      <c r="L37" s="4">
        <v>483</v>
      </c>
      <c r="M37" s="4">
        <v>485</v>
      </c>
      <c r="N37" s="4">
        <v>486</v>
      </c>
      <c r="O37" s="4">
        <v>490</v>
      </c>
      <c r="P37" s="4"/>
      <c r="Q37" s="4"/>
      <c r="R37" s="4"/>
      <c r="AD37" s="3">
        <v>424</v>
      </c>
      <c r="AE37" s="3">
        <v>424</v>
      </c>
      <c r="AF37" s="3">
        <v>432</v>
      </c>
      <c r="AG37" s="3">
        <v>442</v>
      </c>
      <c r="AH37" s="3">
        <v>456</v>
      </c>
      <c r="AI37" s="3">
        <v>461</v>
      </c>
      <c r="AJ37" s="3">
        <v>453</v>
      </c>
      <c r="AK37" s="3">
        <v>465</v>
      </c>
      <c r="AL37" s="3">
        <v>462</v>
      </c>
      <c r="AM37" s="3">
        <v>477</v>
      </c>
      <c r="AN37" s="4">
        <v>484</v>
      </c>
      <c r="AO37" s="4">
        <v>484</v>
      </c>
      <c r="AP37" s="4">
        <v>484</v>
      </c>
      <c r="AQ37" s="4">
        <v>484</v>
      </c>
      <c r="AR37" s="4">
        <v>484</v>
      </c>
      <c r="AS37" s="4">
        <v>484</v>
      </c>
      <c r="AT37" s="4">
        <v>484</v>
      </c>
      <c r="AU37" s="4">
        <v>484</v>
      </c>
      <c r="AV37" s="4">
        <v>484</v>
      </c>
      <c r="AW37" s="4">
        <v>484</v>
      </c>
      <c r="AX37" s="4">
        <v>484</v>
      </c>
      <c r="AY37" s="4">
        <v>484</v>
      </c>
      <c r="AZ37" s="4">
        <v>484</v>
      </c>
      <c r="BA37" s="4">
        <v>484</v>
      </c>
      <c r="BB37" s="4">
        <v>484</v>
      </c>
    </row>
    <row r="38" spans="2:131" s="3" customFormat="1" x14ac:dyDescent="0.2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BD38" s="3" t="s">
        <v>89</v>
      </c>
      <c r="BE38" s="24">
        <v>0.01</v>
      </c>
    </row>
    <row r="39" spans="2:131" s="7" customFormat="1" x14ac:dyDescent="0.2">
      <c r="B39" s="7" t="s">
        <v>36</v>
      </c>
      <c r="C39" s="8"/>
      <c r="D39" s="8"/>
      <c r="E39" s="8"/>
      <c r="F39" s="8"/>
      <c r="G39" s="16">
        <f t="shared" ref="G39:K41" si="94">G21/C21-1</f>
        <v>8.7806431072906754E-2</v>
      </c>
      <c r="H39" s="16">
        <f t="shared" si="94"/>
        <v>0.12150022949314798</v>
      </c>
      <c r="I39" s="16">
        <f t="shared" si="94"/>
        <v>0.15235301460491835</v>
      </c>
      <c r="J39" s="16">
        <f t="shared" si="94"/>
        <v>0.15219461518483257</v>
      </c>
      <c r="K39" s="16">
        <f t="shared" si="94"/>
        <v>0.20469445094825578</v>
      </c>
      <c r="L39" s="16">
        <f>L21/H21-1</f>
        <v>0.23456501403180541</v>
      </c>
      <c r="M39" s="16">
        <f t="shared" ref="M39:O39" si="95">M21/I21-1</f>
        <v>0.20993338027406172</v>
      </c>
      <c r="N39" s="16">
        <f t="shared" si="95"/>
        <v>0.15068750469607028</v>
      </c>
      <c r="O39" s="16">
        <f t="shared" si="95"/>
        <v>0.15319955298576349</v>
      </c>
      <c r="P39" s="16"/>
      <c r="Q39" s="16"/>
      <c r="R39" s="16"/>
      <c r="AI39" s="17"/>
      <c r="AJ39" s="17">
        <f t="shared" ref="AJ39:AO41" si="96">AJ21/AI21-1</f>
        <v>0.23173809523809519</v>
      </c>
      <c r="AK39" s="17">
        <f t="shared" si="96"/>
        <v>0.17725629675448951</v>
      </c>
      <c r="AL39" s="17">
        <f t="shared" si="96"/>
        <v>0.15068223240234468</v>
      </c>
      <c r="AM39" s="17">
        <f t="shared" si="96"/>
        <v>0.131107305936073</v>
      </c>
      <c r="AN39" s="17">
        <f t="shared" si="96"/>
        <v>0.19423979411616288</v>
      </c>
      <c r="AO39" s="17">
        <f t="shared" si="96"/>
        <v>0.14999999999999991</v>
      </c>
      <c r="AP39" s="17">
        <f t="shared" ref="AP39:AP41" si="97">AP21/AO21-1</f>
        <v>0.14999999999999991</v>
      </c>
      <c r="AQ39" s="17">
        <f t="shared" ref="AQ39:AQ41" si="98">AQ21/AP21-1</f>
        <v>0.14999999999999991</v>
      </c>
      <c r="AR39" s="17">
        <f t="shared" ref="AR39:AR41" si="99">AR21/AQ21-1</f>
        <v>0.14999999999999991</v>
      </c>
      <c r="AS39" s="17">
        <f t="shared" ref="AS39:AS41" si="100">AS21/AR21-1</f>
        <v>0.14999999999999991</v>
      </c>
      <c r="AT39" s="17">
        <f t="shared" ref="AT39:AT41" si="101">AT21/AS21-1</f>
        <v>0.10000000000000009</v>
      </c>
      <c r="AU39" s="17">
        <f t="shared" ref="AU39:AU41" si="102">AU21/AT21-1</f>
        <v>0.10000000000000009</v>
      </c>
      <c r="AV39" s="17">
        <f t="shared" ref="AV39:AV41" si="103">AV21/AU21-1</f>
        <v>5.0000000000000044E-2</v>
      </c>
      <c r="AW39" s="17">
        <f t="shared" ref="AW39:AW41" si="104">AW21/AV21-1</f>
        <v>5.0000000000000044E-2</v>
      </c>
      <c r="AX39" s="17">
        <f t="shared" ref="AX39:AX41" si="105">AX21/AW21-1</f>
        <v>3.0000000000000027E-2</v>
      </c>
      <c r="AY39" s="17">
        <f t="shared" ref="AY39:AY41" si="106">AY21/AX21-1</f>
        <v>3.0000000000000027E-2</v>
      </c>
      <c r="AZ39" s="17">
        <f t="shared" ref="AZ39:AZ41" si="107">AZ21/AY21-1</f>
        <v>3.0000000000000027E-2</v>
      </c>
      <c r="BA39" s="17">
        <f t="shared" ref="BA39:BA41" si="108">BA21/AZ21-1</f>
        <v>3.0000000000000027E-2</v>
      </c>
      <c r="BB39" s="17">
        <f t="shared" ref="BB39:BB41" si="109">BB21/BA21-1</f>
        <v>3.0000000000000027E-2</v>
      </c>
      <c r="BD39" s="3" t="s">
        <v>90</v>
      </c>
      <c r="BE39" s="24">
        <v>-0.02</v>
      </c>
    </row>
    <row r="40" spans="2:131" s="7" customFormat="1" x14ac:dyDescent="0.2">
      <c r="B40" s="7" t="s">
        <v>46</v>
      </c>
      <c r="C40" s="8"/>
      <c r="D40" s="8"/>
      <c r="E40" s="8"/>
      <c r="F40" s="8"/>
      <c r="G40" s="16">
        <f t="shared" si="94"/>
        <v>0.39568880079286428</v>
      </c>
      <c r="H40" s="16">
        <f t="shared" si="94"/>
        <v>0.48716067498165816</v>
      </c>
      <c r="I40" s="16">
        <f t="shared" si="94"/>
        <v>0.51305683563748072</v>
      </c>
      <c r="J40" s="16">
        <f t="shared" si="94"/>
        <v>0.46627047863796989</v>
      </c>
      <c r="K40" s="16">
        <f t="shared" si="94"/>
        <v>0.5173087164921002</v>
      </c>
      <c r="L40" s="16">
        <f>L22/H22-1</f>
        <v>0.5273803650715343</v>
      </c>
      <c r="M40" s="16">
        <f t="shared" ref="M40:O40" si="110">M22/I22-1</f>
        <v>0.50471356055112393</v>
      </c>
      <c r="N40" s="16">
        <f t="shared" si="110"/>
        <v>0.43630189505969996</v>
      </c>
      <c r="O40" s="16">
        <f t="shared" si="110"/>
        <v>0.40166140166140174</v>
      </c>
      <c r="P40" s="16"/>
      <c r="Q40" s="16"/>
      <c r="R40" s="16"/>
      <c r="AI40" s="17"/>
      <c r="AJ40" s="17">
        <f t="shared" si="96"/>
        <v>0.540233667928254</v>
      </c>
      <c r="AK40" s="17">
        <f t="shared" si="96"/>
        <v>0.44754273504273501</v>
      </c>
      <c r="AL40" s="17">
        <f t="shared" si="96"/>
        <v>0.3955273451915271</v>
      </c>
      <c r="AM40" s="17">
        <f t="shared" si="96"/>
        <v>0.46699809604400255</v>
      </c>
      <c r="AN40" s="17">
        <f t="shared" si="96"/>
        <v>0.48972528661042602</v>
      </c>
      <c r="AO40" s="17">
        <f t="shared" si="96"/>
        <v>0.39999999999999991</v>
      </c>
      <c r="AP40" s="17">
        <f t="shared" si="97"/>
        <v>0.40000000000000013</v>
      </c>
      <c r="AQ40" s="17">
        <f t="shared" si="98"/>
        <v>0.39999999999999991</v>
      </c>
      <c r="AR40" s="17">
        <f t="shared" si="99"/>
        <v>0.40000000000000013</v>
      </c>
      <c r="AS40" s="17">
        <f t="shared" si="100"/>
        <v>0.39999999999999991</v>
      </c>
      <c r="AT40" s="17">
        <f t="shared" si="101"/>
        <v>0.19999999999999996</v>
      </c>
      <c r="AU40" s="17">
        <f t="shared" si="102"/>
        <v>0.19999999999999996</v>
      </c>
      <c r="AV40" s="17">
        <f t="shared" si="103"/>
        <v>0.14999999999999991</v>
      </c>
      <c r="AW40" s="17">
        <f t="shared" si="104"/>
        <v>0.14999999999999991</v>
      </c>
      <c r="AX40" s="17">
        <f t="shared" si="105"/>
        <v>0.10000000000000009</v>
      </c>
      <c r="AY40" s="17">
        <f t="shared" si="106"/>
        <v>0.10000000000000009</v>
      </c>
      <c r="AZ40" s="17">
        <f t="shared" si="107"/>
        <v>5.0000000000000044E-2</v>
      </c>
      <c r="BA40" s="17">
        <f t="shared" si="108"/>
        <v>3.0000000000000027E-2</v>
      </c>
      <c r="BB40" s="17">
        <f t="shared" si="109"/>
        <v>3.0000000000000027E-2</v>
      </c>
      <c r="BD40" s="13" t="s">
        <v>91</v>
      </c>
      <c r="BE40" s="25">
        <v>7.0000000000000007E-2</v>
      </c>
    </row>
    <row r="41" spans="2:131" s="5" customFormat="1" x14ac:dyDescent="0.2">
      <c r="B41" s="5" t="s">
        <v>35</v>
      </c>
      <c r="C41" s="6"/>
      <c r="D41" s="6"/>
      <c r="E41" s="6"/>
      <c r="F41" s="6"/>
      <c r="G41" s="11">
        <f t="shared" si="94"/>
        <v>0.15075224152778488</v>
      </c>
      <c r="H41" s="11">
        <f t="shared" si="94"/>
        <v>0.19881075491209921</v>
      </c>
      <c r="I41" s="11">
        <f t="shared" si="94"/>
        <v>0.23222702755235924</v>
      </c>
      <c r="J41" s="11">
        <f t="shared" si="94"/>
        <v>0.21886933987997814</v>
      </c>
      <c r="K41" s="11">
        <f t="shared" si="94"/>
        <v>0.28221155962495037</v>
      </c>
      <c r="L41" s="11">
        <f>L23/H23-1</f>
        <v>0.31136510675005402</v>
      </c>
      <c r="M41" s="11">
        <f t="shared" ref="M41:O41" si="111">M23/I23-1</f>
        <v>0.29008596892499416</v>
      </c>
      <c r="N41" s="11">
        <f t="shared" si="111"/>
        <v>0.22362715752370832</v>
      </c>
      <c r="O41" s="11">
        <f t="shared" si="111"/>
        <v>0.22610546553144739</v>
      </c>
      <c r="P41" s="11"/>
      <c r="Q41" s="11"/>
      <c r="R41" s="11"/>
      <c r="U41" s="12">
        <f t="shared" ref="U41:AD41" si="112">U23/T23-1</f>
        <v>8.3856852533976891</v>
      </c>
      <c r="V41" s="12">
        <f t="shared" si="112"/>
        <v>3.1263372285789677</v>
      </c>
      <c r="W41" s="12">
        <f t="shared" si="112"/>
        <v>1.6890585567192891</v>
      </c>
      <c r="X41" s="12">
        <f t="shared" si="112"/>
        <v>0.68430132470321792</v>
      </c>
      <c r="Y41" s="12">
        <f t="shared" si="112"/>
        <v>0.1305040617556299</v>
      </c>
      <c r="Z41" s="12">
        <f t="shared" si="112"/>
        <v>0.25957418461821291</v>
      </c>
      <c r="AA41" s="12">
        <f t="shared" si="112"/>
        <v>0.3383637567455966</v>
      </c>
      <c r="AB41" s="12">
        <f t="shared" si="112"/>
        <v>0.31485481977597884</v>
      </c>
      <c r="AC41" s="12">
        <f t="shared" si="112"/>
        <v>0.22670134373645423</v>
      </c>
      <c r="AD41" s="12">
        <f t="shared" si="112"/>
        <v>0.26160188457008249</v>
      </c>
      <c r="AE41" s="12">
        <f>AE23/AD23-1</f>
        <v>0.38502474092054895</v>
      </c>
      <c r="AF41" s="12">
        <f>AF23/AE23-1</f>
        <v>0.29194472531176263</v>
      </c>
      <c r="AG41" s="12">
        <f>AG23/AF23-1</f>
        <v>0.27877491391004905</v>
      </c>
      <c r="AH41" s="12">
        <f>AH23/AG23-1</f>
        <v>0.39556897466236896</v>
      </c>
      <c r="AI41" s="12">
        <f>AI23/AH23-1</f>
        <v>0.40559583674424049</v>
      </c>
      <c r="AJ41" s="12">
        <f t="shared" si="96"/>
        <v>0.27073236682821311</v>
      </c>
      <c r="AK41" s="12">
        <f t="shared" si="96"/>
        <v>0.21866662301736706</v>
      </c>
      <c r="AL41" s="12">
        <f t="shared" si="96"/>
        <v>0.1952398861011122</v>
      </c>
      <c r="AM41" s="12">
        <f t="shared" si="96"/>
        <v>0.20247673843664304</v>
      </c>
      <c r="AN41" s="12">
        <f t="shared" si="96"/>
        <v>0.27083528026465808</v>
      </c>
      <c r="AO41" s="12">
        <f t="shared" si="96"/>
        <v>0.22596682035782822</v>
      </c>
      <c r="AP41" s="12">
        <f t="shared" si="97"/>
        <v>0.23675075600326401</v>
      </c>
      <c r="AQ41" s="12">
        <f t="shared" si="98"/>
        <v>0.24820172562259524</v>
      </c>
      <c r="AR41" s="12">
        <f t="shared" si="99"/>
        <v>0.2601443885627206</v>
      </c>
      <c r="AS41" s="12">
        <f t="shared" si="100"/>
        <v>0.27236863123573229</v>
      </c>
      <c r="AT41" s="12">
        <f t="shared" si="101"/>
        <v>0.15385737419937562</v>
      </c>
      <c r="AU41" s="12">
        <f t="shared" si="102"/>
        <v>0.15601112449802934</v>
      </c>
      <c r="AV41" s="12">
        <f t="shared" si="103"/>
        <v>0.10814247629046059</v>
      </c>
      <c r="AW41" s="12">
        <f t="shared" si="104"/>
        <v>0.11033867410069709</v>
      </c>
      <c r="AX41" s="12">
        <f t="shared" si="105"/>
        <v>7.3745781160331259E-2</v>
      </c>
      <c r="AY41" s="12">
        <f t="shared" si="106"/>
        <v>7.4815411730292158E-2</v>
      </c>
      <c r="AZ41" s="12">
        <f t="shared" si="107"/>
        <v>4.3104430335613397E-2</v>
      </c>
      <c r="BA41" s="12">
        <f t="shared" si="108"/>
        <v>2.9999999999999805E-2</v>
      </c>
      <c r="BB41" s="12">
        <f t="shared" si="109"/>
        <v>3.0000000000000027E-2</v>
      </c>
      <c r="BD41" t="s">
        <v>92</v>
      </c>
      <c r="BE41" s="3">
        <f>NPV(BE40,AO35:EA35)</f>
        <v>811959.54786603665</v>
      </c>
    </row>
    <row r="42" spans="2:131" s="3" customFormat="1" x14ac:dyDescent="0.2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BD42" t="s">
        <v>59</v>
      </c>
      <c r="BE42" s="3">
        <f>+Main!K5-Main!K6</f>
        <v>6149</v>
      </c>
    </row>
    <row r="43" spans="2:131" x14ac:dyDescent="0.2">
      <c r="B43" s="3" t="s">
        <v>22</v>
      </c>
      <c r="C43" s="9">
        <f t="shared" ref="C43" si="113">C26/C23</f>
        <v>0.17066004761663542</v>
      </c>
      <c r="D43" s="9">
        <f t="shared" ref="D43:E43" si="114">D26/D23</f>
        <v>0.18402275077559463</v>
      </c>
      <c r="E43" s="9">
        <f t="shared" si="114"/>
        <v>0.16079498517906604</v>
      </c>
      <c r="F43" s="9">
        <f>F26/F23</f>
        <v>0.17843016912165849</v>
      </c>
      <c r="G43" s="9">
        <f>G26/G23</f>
        <v>0.20086278998107143</v>
      </c>
      <c r="H43" s="9">
        <f>H26/H23</f>
        <v>0.20681475091654086</v>
      </c>
      <c r="I43" s="15">
        <f>I26/I23</f>
        <v>0.21188579540973262</v>
      </c>
      <c r="J43" s="15">
        <f>J26/J23</f>
        <v>0.19190421573838365</v>
      </c>
      <c r="K43" s="15">
        <f t="shared" ref="K43:N43" si="115">K26/K23</f>
        <v>0.22572782202691569</v>
      </c>
      <c r="L43" s="15">
        <f t="shared" si="115"/>
        <v>0.24161294566504407</v>
      </c>
      <c r="M43" s="15">
        <f t="shared" si="115"/>
        <v>0.21761325426422939</v>
      </c>
      <c r="N43" s="15">
        <f t="shared" si="115"/>
        <v>0.20721977092430444</v>
      </c>
      <c r="O43" s="15">
        <f t="shared" ref="O43" si="116">O26/O23</f>
        <v>0.2401579212633701</v>
      </c>
      <c r="P43" s="9"/>
      <c r="Q43" s="9"/>
      <c r="R43" s="9"/>
      <c r="AD43" s="9">
        <f t="shared" ref="AD43:AF43" si="117">AD26/AD23</f>
        <v>0.22929698440855195</v>
      </c>
      <c r="AE43" s="9">
        <f t="shared" si="117"/>
        <v>0.22601954836535221</v>
      </c>
      <c r="AF43" s="9">
        <f t="shared" si="117"/>
        <v>0.13628300114786601</v>
      </c>
      <c r="AG43" s="9">
        <f t="shared" ref="AG43:AH43" si="118">AG26/AG23</f>
        <v>0.14194785588967318</v>
      </c>
      <c r="AH43" s="9">
        <f t="shared" si="118"/>
        <v>0.13872646474096598</v>
      </c>
      <c r="AI43" s="9">
        <f t="shared" ref="AI43:AJ43" si="119">AI26/AI23</f>
        <v>0.12923019323169083</v>
      </c>
      <c r="AJ43" s="9">
        <f t="shared" si="119"/>
        <v>0.14245494573846432</v>
      </c>
      <c r="AK43" s="9">
        <f t="shared" ref="AK43" si="120">AK26/AK23</f>
        <v>0.1569601891151346</v>
      </c>
      <c r="AL43" s="9">
        <f t="shared" ref="AL43:AN43" si="121">AL26/AL23</f>
        <v>0.17384366431428958</v>
      </c>
      <c r="AM43" s="9">
        <f t="shared" si="121"/>
        <v>0.20508195802104554</v>
      </c>
      <c r="AN43" s="9">
        <f t="shared" si="121"/>
        <v>0.22136674829211617</v>
      </c>
      <c r="AO43" s="9">
        <f t="shared" ref="AO43:AS43" si="122">AO26/AO23</f>
        <v>0.2</v>
      </c>
      <c r="AP43" s="9">
        <f t="shared" si="122"/>
        <v>0.2</v>
      </c>
      <c r="AQ43" s="9">
        <f t="shared" si="122"/>
        <v>0.2</v>
      </c>
      <c r="AR43" s="9">
        <f t="shared" si="122"/>
        <v>0.2</v>
      </c>
      <c r="AS43" s="9">
        <f t="shared" si="122"/>
        <v>0.2</v>
      </c>
      <c r="AT43" s="9">
        <f t="shared" ref="AT43:BB43" si="123">AT26/AT23</f>
        <v>0.2</v>
      </c>
      <c r="AU43" s="9">
        <f t="shared" si="123"/>
        <v>0.2</v>
      </c>
      <c r="AV43" s="9">
        <f t="shared" si="123"/>
        <v>0.2</v>
      </c>
      <c r="AW43" s="9">
        <f t="shared" si="123"/>
        <v>0.2</v>
      </c>
      <c r="AX43" s="9">
        <f t="shared" si="123"/>
        <v>0.2</v>
      </c>
      <c r="AY43" s="9">
        <f t="shared" si="123"/>
        <v>0.2</v>
      </c>
      <c r="AZ43" s="9">
        <f t="shared" si="123"/>
        <v>0.2</v>
      </c>
      <c r="BA43" s="9">
        <f t="shared" si="123"/>
        <v>0.20000000000000004</v>
      </c>
      <c r="BB43" s="9">
        <f t="shared" si="123"/>
        <v>0.2</v>
      </c>
      <c r="BD43" t="s">
        <v>93</v>
      </c>
      <c r="BE43" s="3">
        <f>BE41+BE42</f>
        <v>818108.54786603665</v>
      </c>
    </row>
    <row r="44" spans="2:131" x14ac:dyDescent="0.2">
      <c r="B44" s="3" t="s">
        <v>34</v>
      </c>
      <c r="C44" s="9">
        <f t="shared" ref="C44" si="124">C31/C23</f>
        <v>9.1687351198014282E-3</v>
      </c>
      <c r="D44" s="9">
        <f t="shared" ref="D44:E44" si="125">D31/D23</f>
        <v>-7.7559462254395031E-4</v>
      </c>
      <c r="E44" s="9">
        <f t="shared" si="125"/>
        <v>-2.6434715000728897E-2</v>
      </c>
      <c r="F44" s="9">
        <f>F31/F23</f>
        <v>2.015139116202946E-2</v>
      </c>
      <c r="G44" s="9">
        <f>G31/G23</f>
        <v>1.1225073733327463E-2</v>
      </c>
      <c r="H44" s="9">
        <f>H31/H23</f>
        <v>4.7444468406297171E-3</v>
      </c>
      <c r="I44" s="9">
        <f>I31/I23</f>
        <v>1.6010726397980915E-2</v>
      </c>
      <c r="J44" s="9">
        <f>J31/J23</f>
        <v>3.0995608023050885E-2</v>
      </c>
      <c r="K44" s="9">
        <f t="shared" ref="K44:N44" si="126">K31/K23</f>
        <v>3.6768744850315845E-2</v>
      </c>
      <c r="L44" s="9">
        <f t="shared" si="126"/>
        <v>4.4073148269964481E-2</v>
      </c>
      <c r="M44" s="9">
        <f t="shared" si="126"/>
        <v>1.7576572721159138E-2</v>
      </c>
      <c r="N44" s="9">
        <f t="shared" si="126"/>
        <v>2.8691616561121146E-2</v>
      </c>
      <c r="O44" s="9">
        <f t="shared" ref="O44" si="127">O31/O23</f>
        <v>2.8140225121800973E-2</v>
      </c>
      <c r="P44" s="9"/>
      <c r="Q44" s="9"/>
      <c r="R44" s="9"/>
      <c r="AD44" s="9">
        <f t="shared" ref="AD44:AF44" si="128">AD31/AD23</f>
        <v>0.12379796470917748</v>
      </c>
      <c r="AE44" s="9">
        <f t="shared" si="128"/>
        <v>0.13124368048533872</v>
      </c>
      <c r="AF44" s="9">
        <f t="shared" si="128"/>
        <v>4.3931962850881773E-2</v>
      </c>
      <c r="AG44" s="9">
        <f t="shared" ref="AG44:AH44" si="129">AG31/AG23</f>
        <v>4.6064710922518258E-2</v>
      </c>
      <c r="AH44" s="9">
        <f t="shared" si="129"/>
        <v>4.1106303356332592E-2</v>
      </c>
      <c r="AI44" s="9">
        <f t="shared" ref="AI44:AJ44" si="130">AI31/AI23</f>
        <v>1.79295713126859E-2</v>
      </c>
      <c r="AJ44" s="9">
        <f t="shared" si="130"/>
        <v>1.1065097474342396E-2</v>
      </c>
      <c r="AK44" s="9">
        <f t="shared" ref="AK44" si="131">AK31/AK23</f>
        <v>1.0006447106860796E-2</v>
      </c>
      <c r="AL44" s="9">
        <f t="shared" ref="AL44:AN44" si="132">AL31/AL23</f>
        <v>2.000269699285297E-3</v>
      </c>
      <c r="AM44" s="9">
        <f t="shared" si="132"/>
        <v>2.0867988710913405E-2</v>
      </c>
      <c r="AN44" s="9">
        <f t="shared" si="132"/>
        <v>3.0782354195621642E-2</v>
      </c>
      <c r="AO44" s="9">
        <f t="shared" ref="AO44:AS44" si="133">AO31/AO23</f>
        <v>2.8997954899827861E-2</v>
      </c>
      <c r="AP44" s="9">
        <f t="shared" si="133"/>
        <v>4.790609692605443E-2</v>
      </c>
      <c r="AQ44" s="9">
        <f t="shared" si="133"/>
        <v>6.596453926716829E-2</v>
      </c>
      <c r="AR44" s="9">
        <f t="shared" si="133"/>
        <v>8.2998322934819402E-2</v>
      </c>
      <c r="AS44" s="9">
        <f t="shared" si="133"/>
        <v>0.10528552463597417</v>
      </c>
      <c r="AT44" s="9">
        <f t="shared" ref="AT44:BB44" si="134">AT31/AT23</f>
        <v>0.11545236715877687</v>
      </c>
      <c r="AU44" s="9">
        <f t="shared" si="134"/>
        <v>0.12466849152141676</v>
      </c>
      <c r="AV44" s="9">
        <f t="shared" si="134"/>
        <v>0.12998061585665377</v>
      </c>
      <c r="AW44" s="9">
        <f t="shared" si="134"/>
        <v>0.13504687592183606</v>
      </c>
      <c r="AX44" s="9">
        <f t="shared" si="134"/>
        <v>0.13769314955704665</v>
      </c>
      <c r="AY44" s="9">
        <f t="shared" si="134"/>
        <v>0.1402910906786049</v>
      </c>
      <c r="AZ44" s="9">
        <f t="shared" si="134"/>
        <v>0.1410412085190266</v>
      </c>
      <c r="BA44" s="9">
        <f t="shared" si="134"/>
        <v>0.14104120851902663</v>
      </c>
      <c r="BB44" s="9">
        <f t="shared" si="134"/>
        <v>0.1410412085190266</v>
      </c>
      <c r="BD44" s="13" t="s">
        <v>94</v>
      </c>
      <c r="BE44" s="26">
        <f>+BE43/Main!K3</f>
        <v>1690.3069170785882</v>
      </c>
    </row>
    <row r="45" spans="2:131" x14ac:dyDescent="0.2">
      <c r="BD45" s="13" t="s">
        <v>95</v>
      </c>
      <c r="BE45" s="26">
        <f>+Main!K2</f>
        <v>995.17</v>
      </c>
    </row>
    <row r="46" spans="2:131" x14ac:dyDescent="0.2">
      <c r="B46" s="3" t="s">
        <v>59</v>
      </c>
      <c r="K46" s="4">
        <f>K47-K58</f>
        <v>7640</v>
      </c>
      <c r="L46" s="4">
        <f>L47-L58</f>
        <v>8328</v>
      </c>
      <c r="M46" s="4">
        <f>M47-M58</f>
        <v>10142</v>
      </c>
      <c r="O46" s="4">
        <f>O47-O58</f>
        <v>13840</v>
      </c>
    </row>
    <row r="47" spans="2:131" s="3" customFormat="1" x14ac:dyDescent="0.2">
      <c r="B47" s="3" t="s">
        <v>3</v>
      </c>
      <c r="C47" s="4"/>
      <c r="D47" s="4"/>
      <c r="E47" s="4"/>
      <c r="F47" s="4"/>
      <c r="G47" s="4"/>
      <c r="H47" s="4"/>
      <c r="I47" s="4"/>
      <c r="J47" s="4"/>
      <c r="K47" s="4">
        <f>12470+3389</f>
        <v>15859</v>
      </c>
      <c r="L47" s="4">
        <f>12521+4019</f>
        <v>16540</v>
      </c>
      <c r="M47" s="4">
        <f>13656+4691</f>
        <v>18347</v>
      </c>
      <c r="N47" s="4"/>
      <c r="O47" s="4">
        <f>15440+6091</f>
        <v>21531</v>
      </c>
      <c r="P47" s="4"/>
      <c r="Q47" s="4"/>
      <c r="R47" s="4"/>
      <c r="BD47"/>
      <c r="BE47"/>
    </row>
    <row r="48" spans="2:131" s="3" customFormat="1" x14ac:dyDescent="0.2">
      <c r="B48" s="3" t="s">
        <v>47</v>
      </c>
      <c r="C48" s="4"/>
      <c r="D48" s="4"/>
      <c r="E48" s="4"/>
      <c r="F48" s="4"/>
      <c r="G48" s="4"/>
      <c r="H48" s="4"/>
      <c r="I48" s="4"/>
      <c r="J48" s="4"/>
      <c r="K48" s="4">
        <v>9582</v>
      </c>
      <c r="L48" s="4">
        <v>9588</v>
      </c>
      <c r="M48" s="4">
        <v>10696</v>
      </c>
      <c r="N48" s="4"/>
      <c r="O48" s="4">
        <v>10600</v>
      </c>
      <c r="P48" s="4"/>
      <c r="Q48" s="4"/>
      <c r="R48" s="4"/>
    </row>
    <row r="49" spans="2:57" s="3" customFormat="1" x14ac:dyDescent="0.2">
      <c r="B49" s="3" t="s">
        <v>48</v>
      </c>
      <c r="C49" s="4"/>
      <c r="D49" s="4"/>
      <c r="E49" s="4"/>
      <c r="F49" s="4"/>
      <c r="G49" s="4"/>
      <c r="H49" s="4"/>
      <c r="I49" s="4"/>
      <c r="J49" s="4"/>
      <c r="K49" s="4">
        <v>5072</v>
      </c>
      <c r="L49" s="4">
        <v>6092</v>
      </c>
      <c r="M49" s="4">
        <v>6566</v>
      </c>
      <c r="N49" s="4"/>
      <c r="O49" s="4">
        <v>7329</v>
      </c>
      <c r="P49" s="4"/>
      <c r="Q49" s="4"/>
      <c r="R49" s="4"/>
    </row>
    <row r="50" spans="2:57" s="3" customFormat="1" x14ac:dyDescent="0.2">
      <c r="B50" s="3" t="s">
        <v>49</v>
      </c>
      <c r="C50" s="4"/>
      <c r="D50" s="4"/>
      <c r="E50" s="4"/>
      <c r="F50" s="4"/>
      <c r="G50" s="4"/>
      <c r="H50" s="4"/>
      <c r="I50" s="4"/>
      <c r="J50" s="4"/>
      <c r="K50" s="4">
        <v>23308</v>
      </c>
      <c r="L50" s="4">
        <v>25190</v>
      </c>
      <c r="M50" s="4">
        <v>27177</v>
      </c>
      <c r="N50" s="4"/>
      <c r="O50" s="4">
        <v>32632</v>
      </c>
      <c r="P50" s="4"/>
      <c r="Q50" s="4"/>
      <c r="R50" s="4"/>
    </row>
    <row r="51" spans="2:57" s="3" customFormat="1" x14ac:dyDescent="0.2">
      <c r="B51" s="3" t="s">
        <v>50</v>
      </c>
      <c r="C51" s="4"/>
      <c r="D51" s="4"/>
      <c r="E51" s="4"/>
      <c r="F51" s="4"/>
      <c r="G51" s="4"/>
      <c r="H51" s="4"/>
      <c r="I51" s="4"/>
      <c r="J51" s="4"/>
      <c r="K51" s="4">
        <v>3785</v>
      </c>
      <c r="L51" s="4">
        <v>3774</v>
      </c>
      <c r="M51" s="4">
        <v>3815</v>
      </c>
      <c r="N51" s="4"/>
      <c r="O51" s="4">
        <v>3823</v>
      </c>
      <c r="P51" s="4"/>
      <c r="Q51" s="4"/>
      <c r="R51" s="4"/>
    </row>
    <row r="52" spans="2:57" s="3" customFormat="1" x14ac:dyDescent="0.2">
      <c r="B52" s="3" t="s">
        <v>51</v>
      </c>
      <c r="C52" s="4"/>
      <c r="D52" s="4"/>
      <c r="E52" s="4"/>
      <c r="F52" s="4"/>
      <c r="G52" s="4"/>
      <c r="H52" s="4"/>
      <c r="I52" s="4"/>
      <c r="J52" s="4"/>
      <c r="K52" s="4">
        <v>3522</v>
      </c>
      <c r="L52" s="4">
        <v>3892</v>
      </c>
      <c r="M52" s="4">
        <v>4296</v>
      </c>
      <c r="N52" s="4"/>
      <c r="O52" s="4">
        <v>5054</v>
      </c>
      <c r="P52" s="4"/>
      <c r="Q52" s="4"/>
      <c r="R52" s="4"/>
    </row>
    <row r="53" spans="2:57" s="3" customFormat="1" x14ac:dyDescent="0.2">
      <c r="B53" s="3" t="s">
        <v>52</v>
      </c>
      <c r="C53" s="4"/>
      <c r="D53" s="4"/>
      <c r="E53" s="4"/>
      <c r="F53" s="4"/>
      <c r="G53" s="4"/>
      <c r="H53" s="4"/>
      <c r="I53" s="4"/>
      <c r="J53" s="4"/>
      <c r="K53" s="4">
        <f>SUM(K47:K52)</f>
        <v>61128</v>
      </c>
      <c r="L53" s="4">
        <f>SUM(L47:L52)</f>
        <v>65076</v>
      </c>
      <c r="M53" s="4">
        <f>SUM(M47:M52)</f>
        <v>70897</v>
      </c>
      <c r="N53" s="4"/>
      <c r="O53" s="4">
        <f>SUM(O47:O52)</f>
        <v>80969</v>
      </c>
      <c r="P53" s="4"/>
      <c r="Q53" s="4"/>
      <c r="R53" s="4"/>
    </row>
    <row r="54" spans="2:57" s="3" customFormat="1" x14ac:dyDescent="0.2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2:57" s="3" customFormat="1" x14ac:dyDescent="0.2">
      <c r="B55" s="3" t="s">
        <v>53</v>
      </c>
      <c r="C55" s="4"/>
      <c r="D55" s="4"/>
      <c r="E55" s="4"/>
      <c r="F55" s="4"/>
      <c r="G55" s="4"/>
      <c r="H55" s="4"/>
      <c r="I55" s="4"/>
      <c r="J55" s="4"/>
      <c r="K55" s="4">
        <v>14990</v>
      </c>
      <c r="L55" s="4">
        <v>16123</v>
      </c>
      <c r="M55" s="4">
        <v>18801</v>
      </c>
      <c r="N55" s="4"/>
      <c r="O55" s="4">
        <v>18891</v>
      </c>
      <c r="P55" s="4"/>
      <c r="Q55" s="4"/>
      <c r="R55" s="4"/>
    </row>
    <row r="56" spans="2:57" s="3" customFormat="1" x14ac:dyDescent="0.2">
      <c r="B56" s="3" t="s">
        <v>54</v>
      </c>
      <c r="C56" s="4"/>
      <c r="D56" s="4"/>
      <c r="E56" s="4"/>
      <c r="F56" s="4"/>
      <c r="G56" s="4"/>
      <c r="H56" s="4"/>
      <c r="I56" s="4"/>
      <c r="J56" s="4"/>
      <c r="K56" s="4">
        <v>9431</v>
      </c>
      <c r="L56" s="4">
        <v>9613</v>
      </c>
      <c r="M56" s="4">
        <v>10497</v>
      </c>
      <c r="N56" s="4"/>
      <c r="O56" s="4">
        <v>13054</v>
      </c>
      <c r="P56" s="4"/>
      <c r="Q56" s="4"/>
      <c r="R56" s="4"/>
    </row>
    <row r="57" spans="2:57" s="3" customFormat="1" x14ac:dyDescent="0.2">
      <c r="B57" s="3" t="s">
        <v>55</v>
      </c>
      <c r="C57" s="4"/>
      <c r="D57" s="4"/>
      <c r="E57" s="4"/>
      <c r="F57" s="4"/>
      <c r="G57" s="4"/>
      <c r="H57" s="4"/>
      <c r="I57" s="4"/>
      <c r="J57" s="4"/>
      <c r="K57" s="4">
        <v>3766</v>
      </c>
      <c r="L57" s="4">
        <v>3851</v>
      </c>
      <c r="M57" s="4">
        <v>4200</v>
      </c>
      <c r="N57" s="4"/>
      <c r="O57" s="4">
        <v>5454</v>
      </c>
      <c r="P57" s="4"/>
      <c r="Q57" s="4"/>
      <c r="R57" s="4"/>
    </row>
    <row r="58" spans="2:57" s="3" customFormat="1" x14ac:dyDescent="0.2">
      <c r="B58" s="3" t="s">
        <v>4</v>
      </c>
      <c r="C58" s="4"/>
      <c r="D58" s="4"/>
      <c r="E58" s="4"/>
      <c r="F58" s="4"/>
      <c r="G58" s="4"/>
      <c r="H58" s="4"/>
      <c r="I58" s="4"/>
      <c r="J58" s="4"/>
      <c r="K58" s="4">
        <v>8219</v>
      </c>
      <c r="L58" s="4">
        <v>8212</v>
      </c>
      <c r="M58" s="4">
        <v>8205</v>
      </c>
      <c r="N58" s="4"/>
      <c r="O58" s="4">
        <v>7691</v>
      </c>
      <c r="P58" s="4"/>
      <c r="Q58" s="4"/>
      <c r="R58" s="4"/>
    </row>
    <row r="59" spans="2:57" s="3" customFormat="1" x14ac:dyDescent="0.2">
      <c r="B59" s="3" t="s">
        <v>56</v>
      </c>
      <c r="C59" s="4"/>
      <c r="D59" s="4"/>
      <c r="E59" s="4"/>
      <c r="F59" s="4"/>
      <c r="G59" s="4"/>
      <c r="H59" s="4"/>
      <c r="I59" s="4"/>
      <c r="J59" s="4"/>
      <c r="K59" s="4">
        <v>9966</v>
      </c>
      <c r="L59" s="4">
        <v>10739</v>
      </c>
      <c r="M59" s="4">
        <v>11412</v>
      </c>
      <c r="N59" s="4"/>
      <c r="O59" s="4">
        <v>14205</v>
      </c>
      <c r="P59" s="4"/>
      <c r="Q59" s="4"/>
      <c r="R59" s="4"/>
    </row>
    <row r="60" spans="2:57" s="3" customFormat="1" x14ac:dyDescent="0.2">
      <c r="B60" s="3" t="s">
        <v>57</v>
      </c>
      <c r="C60" s="4"/>
      <c r="D60" s="4"/>
      <c r="E60" s="4"/>
      <c r="F60" s="4"/>
      <c r="G60" s="4"/>
      <c r="H60" s="4"/>
      <c r="I60" s="4"/>
      <c r="J60" s="4"/>
      <c r="K60" s="4">
        <v>14756</v>
      </c>
      <c r="L60" s="4">
        <v>16538</v>
      </c>
      <c r="M60" s="4">
        <v>17782</v>
      </c>
      <c r="N60" s="4"/>
      <c r="O60" s="4">
        <v>21674</v>
      </c>
      <c r="P60" s="4"/>
      <c r="Q60" s="4"/>
      <c r="R60" s="4"/>
    </row>
    <row r="61" spans="2:57" s="3" customFormat="1" x14ac:dyDescent="0.2">
      <c r="B61" s="3" t="s">
        <v>58</v>
      </c>
      <c r="C61" s="4"/>
      <c r="D61" s="4"/>
      <c r="E61" s="4"/>
      <c r="F61" s="4"/>
      <c r="G61" s="4"/>
      <c r="H61" s="4"/>
      <c r="I61" s="4"/>
      <c r="J61" s="4"/>
      <c r="K61" s="4">
        <f>SUM(K55:K60)</f>
        <v>61128</v>
      </c>
      <c r="L61" s="4">
        <f>SUM(L55:L60)</f>
        <v>65076</v>
      </c>
      <c r="M61" s="4">
        <f>SUM(M55:M60)</f>
        <v>70897</v>
      </c>
      <c r="N61" s="4"/>
      <c r="O61" s="4">
        <f>SUM(O55:O60)</f>
        <v>80969</v>
      </c>
      <c r="P61" s="4"/>
      <c r="Q61" s="4"/>
      <c r="R61" s="4"/>
    </row>
    <row r="62" spans="2:57" x14ac:dyDescent="0.2">
      <c r="BD62" s="3"/>
      <c r="BE62" s="3"/>
    </row>
    <row r="63" spans="2:57" s="3" customFormat="1" x14ac:dyDescent="0.2">
      <c r="B63" s="3" t="s">
        <v>66</v>
      </c>
      <c r="C63" s="4"/>
      <c r="D63" s="4"/>
      <c r="E63" s="4"/>
      <c r="F63" s="4"/>
      <c r="G63" s="4"/>
      <c r="H63" s="4"/>
      <c r="I63" s="4"/>
      <c r="J63" s="4"/>
      <c r="K63" s="4">
        <f>+K35</f>
        <v>566</v>
      </c>
      <c r="L63" s="4">
        <f>+L35</f>
        <v>857</v>
      </c>
      <c r="M63" s="4"/>
      <c r="N63" s="4"/>
      <c r="O63" s="4"/>
      <c r="P63" s="4"/>
      <c r="Q63" s="4"/>
      <c r="R63" s="4"/>
      <c r="BD63"/>
      <c r="BE63"/>
    </row>
    <row r="64" spans="2:57" s="3" customFormat="1" x14ac:dyDescent="0.2">
      <c r="B64" s="3" t="s">
        <v>67</v>
      </c>
      <c r="C64" s="4"/>
      <c r="D64" s="4"/>
      <c r="E64" s="4"/>
      <c r="F64" s="4"/>
      <c r="G64" s="4"/>
      <c r="H64" s="4"/>
      <c r="I64" s="4"/>
      <c r="J64" s="4"/>
      <c r="K64" s="4">
        <v>513</v>
      </c>
      <c r="L64" s="4">
        <v>857</v>
      </c>
      <c r="M64" s="4"/>
      <c r="N64" s="4"/>
      <c r="O64" s="4"/>
      <c r="P64" s="4"/>
      <c r="Q64" s="4"/>
      <c r="R64" s="4"/>
    </row>
    <row r="65" spans="2:18" s="3" customFormat="1" x14ac:dyDescent="0.2">
      <c r="B65" s="3" t="s">
        <v>68</v>
      </c>
      <c r="C65" s="4"/>
      <c r="D65" s="4"/>
      <c r="E65" s="4"/>
      <c r="F65" s="4"/>
      <c r="G65" s="4"/>
      <c r="H65" s="4"/>
      <c r="I65" s="4"/>
      <c r="J65" s="4"/>
      <c r="K65" s="4">
        <v>1827</v>
      </c>
      <c r="L65" s="4">
        <v>1909</v>
      </c>
      <c r="M65" s="4"/>
      <c r="N65" s="4"/>
      <c r="O65" s="4"/>
      <c r="P65" s="4"/>
      <c r="Q65" s="4"/>
      <c r="R65" s="4"/>
    </row>
    <row r="66" spans="2:18" s="3" customFormat="1" x14ac:dyDescent="0.2">
      <c r="B66" s="3" t="s">
        <v>69</v>
      </c>
      <c r="C66" s="4"/>
      <c r="D66" s="4"/>
      <c r="E66" s="4"/>
      <c r="F66" s="4"/>
      <c r="G66" s="4"/>
      <c r="H66" s="4"/>
      <c r="I66" s="4"/>
      <c r="J66" s="4"/>
      <c r="K66" s="4">
        <v>544</v>
      </c>
      <c r="L66" s="4">
        <v>768</v>
      </c>
      <c r="M66" s="4"/>
      <c r="N66" s="4"/>
      <c r="O66" s="4"/>
      <c r="P66" s="4"/>
      <c r="Q66" s="4"/>
      <c r="R66" s="4"/>
    </row>
    <row r="67" spans="2:18" s="3" customFormat="1" x14ac:dyDescent="0.2">
      <c r="B67" s="3" t="s">
        <v>70</v>
      </c>
      <c r="C67" s="4"/>
      <c r="D67" s="4"/>
      <c r="E67" s="4"/>
      <c r="F67" s="4"/>
      <c r="G67" s="4"/>
      <c r="H67" s="4"/>
      <c r="I67" s="4"/>
      <c r="J67" s="4"/>
      <c r="K67" s="4">
        <v>43</v>
      </c>
      <c r="L67" s="4">
        <v>53</v>
      </c>
      <c r="M67" s="4"/>
      <c r="N67" s="4"/>
      <c r="O67" s="4"/>
      <c r="P67" s="4"/>
      <c r="Q67" s="4"/>
      <c r="R67" s="4"/>
    </row>
    <row r="68" spans="2:18" s="3" customFormat="1" x14ac:dyDescent="0.2">
      <c r="B68" s="3" t="s">
        <v>71</v>
      </c>
      <c r="C68" s="4"/>
      <c r="D68" s="4"/>
      <c r="E68" s="4"/>
      <c r="F68" s="4"/>
      <c r="G68" s="4"/>
      <c r="H68" s="4"/>
      <c r="I68" s="4"/>
      <c r="J68" s="4"/>
      <c r="K68" s="4">
        <v>2</v>
      </c>
      <c r="L68" s="4">
        <v>1</v>
      </c>
      <c r="M68" s="4"/>
      <c r="N68" s="4"/>
      <c r="O68" s="4"/>
      <c r="P68" s="4"/>
      <c r="Q68" s="4"/>
      <c r="R68" s="4"/>
    </row>
    <row r="69" spans="2:18" s="3" customFormat="1" x14ac:dyDescent="0.2">
      <c r="B69" s="3" t="s">
        <v>70</v>
      </c>
      <c r="C69" s="4"/>
      <c r="D69" s="4"/>
      <c r="E69" s="4"/>
      <c r="F69" s="4"/>
      <c r="G69" s="4"/>
      <c r="H69" s="4"/>
      <c r="I69" s="4"/>
      <c r="J69" s="4"/>
      <c r="K69" s="4">
        <v>-52</v>
      </c>
      <c r="L69" s="4">
        <v>31</v>
      </c>
      <c r="M69" s="4"/>
      <c r="N69" s="4"/>
      <c r="O69" s="4"/>
      <c r="P69" s="4"/>
      <c r="Q69" s="4"/>
      <c r="R69" s="4"/>
    </row>
    <row r="70" spans="2:18" s="3" customFormat="1" x14ac:dyDescent="0.2">
      <c r="B70" s="3" t="s">
        <v>72</v>
      </c>
      <c r="C70" s="4"/>
      <c r="D70" s="4"/>
      <c r="E70" s="4"/>
      <c r="F70" s="4"/>
      <c r="G70" s="4"/>
      <c r="H70" s="4"/>
      <c r="I70" s="4"/>
      <c r="J70" s="4"/>
      <c r="K70" s="4">
        <v>11</v>
      </c>
      <c r="L70" s="4">
        <v>106</v>
      </c>
      <c r="M70" s="4"/>
      <c r="N70" s="4"/>
      <c r="O70" s="4"/>
      <c r="P70" s="4"/>
      <c r="Q70" s="4"/>
      <c r="R70" s="4"/>
    </row>
    <row r="71" spans="2:18" s="3" customFormat="1" x14ac:dyDescent="0.2">
      <c r="B71" s="3" t="s">
        <v>73</v>
      </c>
      <c r="C71" s="4"/>
      <c r="D71" s="4"/>
      <c r="E71" s="4"/>
      <c r="F71" s="4"/>
      <c r="G71" s="4"/>
      <c r="H71" s="4"/>
      <c r="I71" s="4"/>
      <c r="J71" s="4"/>
      <c r="K71" s="4">
        <v>-207</v>
      </c>
      <c r="L71" s="4">
        <v>-113</v>
      </c>
      <c r="M71" s="4"/>
      <c r="N71" s="4"/>
      <c r="O71" s="4"/>
      <c r="P71" s="4"/>
      <c r="Q71" s="4"/>
      <c r="R71" s="4"/>
    </row>
    <row r="72" spans="2:18" s="3" customFormat="1" x14ac:dyDescent="0.2">
      <c r="B72" s="3" t="s">
        <v>47</v>
      </c>
      <c r="C72" s="4"/>
      <c r="D72" s="4"/>
      <c r="E72" s="4"/>
      <c r="F72" s="4"/>
      <c r="G72" s="4"/>
      <c r="H72" s="4"/>
      <c r="I72" s="4"/>
      <c r="J72" s="4"/>
      <c r="K72" s="4">
        <v>769</v>
      </c>
      <c r="L72" s="4">
        <v>-57</v>
      </c>
      <c r="M72" s="4"/>
      <c r="N72" s="4"/>
      <c r="O72" s="4"/>
      <c r="P72" s="4"/>
      <c r="Q72" s="4"/>
      <c r="R72" s="4"/>
    </row>
    <row r="73" spans="2:18" s="3" customFormat="1" x14ac:dyDescent="0.2">
      <c r="B73" s="3" t="s">
        <v>48</v>
      </c>
      <c r="C73" s="4"/>
      <c r="D73" s="4"/>
      <c r="E73" s="4"/>
      <c r="F73" s="4"/>
      <c r="G73" s="4"/>
      <c r="H73" s="4"/>
      <c r="I73" s="4"/>
      <c r="J73" s="4"/>
      <c r="K73" s="4">
        <v>412</v>
      </c>
      <c r="L73" s="4">
        <v>-1184</v>
      </c>
      <c r="M73" s="4"/>
      <c r="N73" s="4"/>
      <c r="O73" s="4"/>
      <c r="P73" s="4"/>
      <c r="Q73" s="4"/>
      <c r="R73" s="4"/>
    </row>
    <row r="74" spans="2:18" s="3" customFormat="1" x14ac:dyDescent="0.2">
      <c r="B74" s="3" t="s">
        <v>53</v>
      </c>
      <c r="C74" s="4"/>
      <c r="D74" s="4"/>
      <c r="E74" s="4"/>
      <c r="F74" s="4"/>
      <c r="G74" s="4"/>
      <c r="H74" s="4"/>
      <c r="I74" s="4"/>
      <c r="J74" s="4"/>
      <c r="K74" s="4">
        <v>-5770</v>
      </c>
      <c r="L74" s="4">
        <v>977</v>
      </c>
      <c r="M74" s="4"/>
      <c r="N74" s="4"/>
      <c r="O74" s="4"/>
      <c r="P74" s="4"/>
      <c r="Q74" s="4"/>
      <c r="R74" s="4"/>
    </row>
    <row r="75" spans="2:18" s="3" customFormat="1" x14ac:dyDescent="0.2">
      <c r="B75" s="3" t="s">
        <v>54</v>
      </c>
      <c r="C75" s="4"/>
      <c r="D75" s="4"/>
      <c r="E75" s="4"/>
      <c r="F75" s="4"/>
      <c r="G75" s="4"/>
      <c r="H75" s="4"/>
      <c r="I75" s="4"/>
      <c r="J75" s="4"/>
      <c r="K75" s="4">
        <v>-956</v>
      </c>
      <c r="L75" s="4">
        <v>-15</v>
      </c>
      <c r="M75" s="4"/>
      <c r="N75" s="4"/>
      <c r="O75" s="4"/>
      <c r="P75" s="4"/>
      <c r="Q75" s="4"/>
      <c r="R75" s="4"/>
    </row>
    <row r="76" spans="2:18" s="3" customFormat="1" x14ac:dyDescent="0.2">
      <c r="B76" s="3" t="s">
        <v>55</v>
      </c>
      <c r="C76" s="4"/>
      <c r="D76" s="4"/>
      <c r="E76" s="4"/>
      <c r="F76" s="4"/>
      <c r="G76" s="4"/>
      <c r="H76" s="4"/>
      <c r="I76" s="4"/>
      <c r="J76" s="4"/>
      <c r="K76" s="4">
        <v>2814</v>
      </c>
      <c r="L76" s="4">
        <v>2340</v>
      </c>
      <c r="M76" s="4"/>
      <c r="N76" s="4"/>
      <c r="O76" s="4"/>
      <c r="P76" s="4"/>
      <c r="Q76" s="4"/>
      <c r="R76" s="4"/>
    </row>
    <row r="77" spans="2:18" s="3" customFormat="1" x14ac:dyDescent="0.2">
      <c r="B77" s="3" t="s">
        <v>74</v>
      </c>
      <c r="C77" s="4"/>
      <c r="D77" s="4"/>
      <c r="E77" s="4"/>
      <c r="F77" s="4"/>
      <c r="G77" s="4"/>
      <c r="H77" s="4"/>
      <c r="I77" s="4"/>
      <c r="J77" s="4"/>
      <c r="K77" s="4">
        <v>-2110</v>
      </c>
      <c r="L77" s="4">
        <v>-2208</v>
      </c>
      <c r="M77" s="4"/>
      <c r="N77" s="4"/>
      <c r="O77" s="4"/>
      <c r="P77" s="4"/>
      <c r="Q77" s="4"/>
      <c r="R77" s="4"/>
    </row>
    <row r="78" spans="2:18" s="3" customFormat="1" x14ac:dyDescent="0.2">
      <c r="B78" s="3" t="s">
        <v>75</v>
      </c>
      <c r="C78" s="4"/>
      <c r="D78" s="4"/>
      <c r="E78" s="4"/>
      <c r="F78" s="4"/>
      <c r="G78" s="4"/>
      <c r="H78" s="4"/>
      <c r="I78" s="4"/>
      <c r="J78" s="4"/>
      <c r="K78" s="4">
        <f>SUM(K64:K77)</f>
        <v>-2160</v>
      </c>
      <c r="L78" s="4">
        <f>SUM(L64:L77)</f>
        <v>3465</v>
      </c>
      <c r="M78" s="4"/>
      <c r="N78" s="4"/>
      <c r="O78" s="4"/>
      <c r="P78" s="4"/>
      <c r="Q78" s="4"/>
      <c r="R78" s="4"/>
    </row>
    <row r="79" spans="2:18" s="3" customFormat="1" x14ac:dyDescent="0.2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</row>
    <row r="80" spans="2:18" s="3" customFormat="1" x14ac:dyDescent="0.2">
      <c r="B80" s="3" t="s">
        <v>77</v>
      </c>
      <c r="C80" s="4"/>
      <c r="D80" s="4"/>
      <c r="E80" s="4"/>
      <c r="F80" s="4"/>
      <c r="G80" s="4"/>
      <c r="H80" s="4"/>
      <c r="I80" s="4"/>
      <c r="J80" s="4"/>
      <c r="K80" s="4">
        <v>-1179</v>
      </c>
      <c r="L80" s="4">
        <v>-1711</v>
      </c>
      <c r="M80" s="4"/>
      <c r="N80" s="4"/>
      <c r="O80" s="4"/>
      <c r="P80" s="4"/>
      <c r="Q80" s="4"/>
      <c r="R80" s="4"/>
    </row>
    <row r="81" spans="2:57" s="3" customFormat="1" x14ac:dyDescent="0.2">
      <c r="B81" s="3" t="s">
        <v>78</v>
      </c>
      <c r="C81" s="4"/>
      <c r="D81" s="4"/>
      <c r="E81" s="4"/>
      <c r="F81" s="4"/>
      <c r="G81" s="4"/>
      <c r="H81" s="4"/>
      <c r="I81" s="4"/>
      <c r="J81" s="4"/>
      <c r="K81" s="4">
        <v>-16</v>
      </c>
      <c r="L81" s="4">
        <v>-14</v>
      </c>
      <c r="M81" s="4"/>
      <c r="N81" s="4"/>
      <c r="O81" s="4"/>
      <c r="P81" s="4"/>
      <c r="Q81" s="4"/>
      <c r="R81" s="4"/>
    </row>
    <row r="82" spans="2:57" s="3" customFormat="1" x14ac:dyDescent="0.2">
      <c r="B82" s="3" t="s">
        <v>79</v>
      </c>
      <c r="C82" s="4"/>
      <c r="D82" s="4"/>
      <c r="E82" s="4"/>
      <c r="F82" s="4"/>
      <c r="G82" s="4"/>
      <c r="H82" s="4"/>
      <c r="I82" s="4"/>
      <c r="J82" s="4"/>
      <c r="K82" s="4">
        <v>1138</v>
      </c>
      <c r="L82" s="4">
        <v>931</v>
      </c>
      <c r="M82" s="4"/>
      <c r="N82" s="4"/>
      <c r="O82" s="4"/>
      <c r="P82" s="4"/>
      <c r="Q82" s="4"/>
      <c r="R82" s="4"/>
    </row>
    <row r="83" spans="2:57" s="3" customFormat="1" x14ac:dyDescent="0.2">
      <c r="B83" s="3" t="s">
        <v>80</v>
      </c>
      <c r="C83" s="4"/>
      <c r="D83" s="4"/>
      <c r="E83" s="4"/>
      <c r="F83" s="4"/>
      <c r="G83" s="4"/>
      <c r="H83" s="4"/>
      <c r="I83" s="4"/>
      <c r="J83" s="4"/>
      <c r="K83" s="4">
        <v>-636</v>
      </c>
      <c r="L83" s="4">
        <v>-1645</v>
      </c>
      <c r="M83" s="4"/>
      <c r="N83" s="4"/>
      <c r="O83" s="4"/>
      <c r="P83" s="4"/>
      <c r="Q83" s="4"/>
      <c r="R83" s="4"/>
    </row>
    <row r="84" spans="2:57" s="3" customFormat="1" x14ac:dyDescent="0.2">
      <c r="B84" s="3" t="s">
        <v>76</v>
      </c>
      <c r="C84" s="4"/>
      <c r="D84" s="4"/>
      <c r="E84" s="4"/>
      <c r="F84" s="4"/>
      <c r="G84" s="4"/>
      <c r="H84" s="4"/>
      <c r="I84" s="4"/>
      <c r="J84" s="4"/>
      <c r="K84" s="4">
        <f>SUM(K80:K83)</f>
        <v>-693</v>
      </c>
      <c r="L84" s="4">
        <f>SUM(L80:L83)</f>
        <v>-2439</v>
      </c>
      <c r="M84" s="4"/>
      <c r="N84" s="4"/>
      <c r="O84" s="4"/>
      <c r="P84" s="4"/>
      <c r="Q84" s="4"/>
      <c r="R84" s="4"/>
    </row>
    <row r="85" spans="2:57" s="3" customFormat="1" x14ac:dyDescent="0.2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</row>
    <row r="86" spans="2:57" s="3" customFormat="1" x14ac:dyDescent="0.2">
      <c r="B86" s="3" t="s">
        <v>73</v>
      </c>
      <c r="C86" s="4"/>
      <c r="D86" s="4"/>
      <c r="E86" s="4"/>
      <c r="F86" s="4"/>
      <c r="G86" s="4"/>
      <c r="H86" s="4"/>
      <c r="I86" s="4"/>
      <c r="J86" s="4"/>
      <c r="K86" s="4">
        <v>207</v>
      </c>
      <c r="L86" s="4">
        <v>113</v>
      </c>
      <c r="M86" s="4"/>
      <c r="N86" s="4"/>
      <c r="O86" s="4"/>
      <c r="P86" s="4"/>
      <c r="Q86" s="4"/>
      <c r="R86" s="4"/>
    </row>
    <row r="87" spans="2:57" s="3" customFormat="1" x14ac:dyDescent="0.2">
      <c r="B87" s="3" t="s">
        <v>87</v>
      </c>
      <c r="C87" s="4"/>
      <c r="D87" s="4"/>
      <c r="E87" s="4"/>
      <c r="F87" s="4"/>
      <c r="G87" s="4"/>
      <c r="H87" s="4"/>
      <c r="I87" s="4"/>
      <c r="J87" s="4"/>
      <c r="K87" s="4">
        <v>9</v>
      </c>
      <c r="L87" s="4">
        <v>66</v>
      </c>
      <c r="M87" s="4"/>
      <c r="N87" s="4"/>
      <c r="O87" s="4"/>
      <c r="P87" s="4"/>
      <c r="Q87" s="4"/>
      <c r="R87" s="4"/>
    </row>
    <row r="88" spans="2:57" s="3" customFormat="1" x14ac:dyDescent="0.2">
      <c r="B88" s="3" t="s">
        <v>86</v>
      </c>
      <c r="C88" s="4"/>
      <c r="D88" s="4"/>
      <c r="E88" s="4"/>
      <c r="F88" s="4"/>
      <c r="G88" s="4"/>
      <c r="H88" s="4"/>
      <c r="I88" s="4"/>
      <c r="J88" s="4"/>
      <c r="K88" s="4">
        <v>-175</v>
      </c>
      <c r="L88" s="4">
        <v>-70</v>
      </c>
      <c r="M88" s="4"/>
      <c r="N88" s="4"/>
      <c r="O88" s="4"/>
      <c r="P88" s="4"/>
      <c r="Q88" s="4"/>
      <c r="R88" s="4"/>
    </row>
    <row r="89" spans="2:57" s="3" customFormat="1" x14ac:dyDescent="0.2">
      <c r="B89" s="3" t="s">
        <v>84</v>
      </c>
      <c r="C89" s="4"/>
      <c r="D89" s="4"/>
      <c r="E89" s="4"/>
      <c r="F89" s="4"/>
      <c r="G89" s="4"/>
      <c r="H89" s="4"/>
      <c r="I89" s="4"/>
      <c r="J89" s="4"/>
      <c r="K89" s="4">
        <v>-801</v>
      </c>
      <c r="L89" s="4">
        <v>-1116</v>
      </c>
      <c r="M89" s="4"/>
      <c r="N89" s="4"/>
      <c r="O89" s="4"/>
      <c r="P89" s="4"/>
      <c r="Q89" s="4"/>
      <c r="R89" s="4"/>
    </row>
    <row r="90" spans="2:57" s="3" customFormat="1" x14ac:dyDescent="0.2">
      <c r="B90" s="3" t="s">
        <v>85</v>
      </c>
      <c r="C90" s="4"/>
      <c r="D90" s="4"/>
      <c r="E90" s="4"/>
      <c r="F90" s="4"/>
      <c r="G90" s="4"/>
      <c r="H90" s="4"/>
      <c r="I90" s="4"/>
      <c r="J90" s="4"/>
      <c r="K90" s="4">
        <v>-29</v>
      </c>
      <c r="L90" s="4">
        <v>-32</v>
      </c>
      <c r="M90" s="4"/>
      <c r="N90" s="4"/>
      <c r="O90" s="4"/>
      <c r="P90" s="4"/>
      <c r="Q90" s="4"/>
      <c r="R90" s="4"/>
    </row>
    <row r="91" spans="2:57" s="3" customFormat="1" x14ac:dyDescent="0.2">
      <c r="B91" s="3" t="s">
        <v>83</v>
      </c>
      <c r="C91" s="4"/>
      <c r="D91" s="4"/>
      <c r="E91" s="4"/>
      <c r="F91" s="4"/>
      <c r="G91" s="4"/>
      <c r="H91" s="4"/>
      <c r="I91" s="4"/>
      <c r="J91" s="4"/>
      <c r="K91" s="4">
        <f>SUM(K86:K90)</f>
        <v>-789</v>
      </c>
      <c r="L91" s="4">
        <f>SUM(L86:L90)</f>
        <v>-1039</v>
      </c>
      <c r="M91" s="4"/>
      <c r="N91" s="4"/>
      <c r="O91" s="4"/>
      <c r="P91" s="4"/>
      <c r="Q91" s="4"/>
      <c r="R91" s="4"/>
    </row>
    <row r="92" spans="2:57" s="3" customFormat="1" x14ac:dyDescent="0.2">
      <c r="B92" s="3" t="s">
        <v>82</v>
      </c>
      <c r="C92" s="4"/>
      <c r="D92" s="4"/>
      <c r="E92" s="4"/>
      <c r="F92" s="4"/>
      <c r="G92" s="4"/>
      <c r="H92" s="4"/>
      <c r="I92" s="4"/>
      <c r="J92" s="4"/>
      <c r="K92" s="4">
        <v>222</v>
      </c>
      <c r="L92" s="4">
        <v>64</v>
      </c>
      <c r="M92" s="4"/>
      <c r="N92" s="4"/>
      <c r="O92" s="4"/>
      <c r="P92" s="4"/>
      <c r="Q92" s="4"/>
      <c r="R92" s="4"/>
    </row>
    <row r="93" spans="2:57" s="3" customFormat="1" x14ac:dyDescent="0.2">
      <c r="B93" s="3" t="s">
        <v>81</v>
      </c>
      <c r="C93" s="4"/>
      <c r="D93" s="4"/>
      <c r="E93" s="4"/>
      <c r="F93" s="4"/>
      <c r="G93" s="4"/>
      <c r="H93" s="4"/>
      <c r="I93" s="4"/>
      <c r="J93" s="4"/>
      <c r="K93" s="4">
        <f>+K92+K91+K84+K78</f>
        <v>-3420</v>
      </c>
      <c r="L93" s="4">
        <f>+L92+L91+L84+L78</f>
        <v>51</v>
      </c>
      <c r="M93" s="4"/>
      <c r="N93" s="4"/>
      <c r="O93" s="4"/>
      <c r="P93" s="4"/>
      <c r="Q93" s="4"/>
      <c r="R93" s="4"/>
    </row>
    <row r="94" spans="2:57" x14ac:dyDescent="0.2">
      <c r="BD94" s="3"/>
      <c r="BE94" s="3"/>
    </row>
  </sheetData>
  <hyperlinks>
    <hyperlink ref="A1" location="Main!A1" display="Main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Benjamin</cp:lastModifiedBy>
  <cp:lastPrinted>2016-03-10T02:11:53Z</cp:lastPrinted>
  <dcterms:created xsi:type="dcterms:W3CDTF">2016-03-10T02:11:25Z</dcterms:created>
  <dcterms:modified xsi:type="dcterms:W3CDTF">2017-06-20T00:11:39Z</dcterms:modified>
</cp:coreProperties>
</file>