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945" windowHeight="12225"/>
  </bookViews>
  <sheets>
    <sheet name="Main" sheetId="1" r:id="rId1"/>
    <sheet name="Model" sheetId="2" r:id="rId2"/>
    <sheet name="Cohor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6" i="2" l="1"/>
  <c r="AI16" i="2" s="1"/>
  <c r="AJ16" i="2" s="1"/>
  <c r="AK16" i="2" s="1"/>
  <c r="AL16" i="2" s="1"/>
  <c r="AM16" i="2" s="1"/>
  <c r="AN16" i="2" s="1"/>
  <c r="AH15" i="2"/>
  <c r="AI15" i="2" s="1"/>
  <c r="AJ15" i="2" s="1"/>
  <c r="AK15" i="2" s="1"/>
  <c r="AL15" i="2" s="1"/>
  <c r="AM15" i="2" s="1"/>
  <c r="AN15" i="2" s="1"/>
  <c r="AG16" i="2"/>
  <c r="AG15" i="2"/>
  <c r="AF15" i="2"/>
  <c r="AF16" i="2"/>
  <c r="T79" i="2"/>
  <c r="T80" i="2" s="1"/>
  <c r="T70" i="2"/>
  <c r="T69" i="2"/>
  <c r="L9" i="1"/>
  <c r="L8" i="1"/>
  <c r="T68" i="2"/>
  <c r="T67" i="2"/>
  <c r="T65" i="2"/>
  <c r="T64" i="2"/>
  <c r="T61" i="2"/>
  <c r="T59" i="2"/>
  <c r="T58" i="2"/>
  <c r="T57" i="2"/>
  <c r="T56" i="2"/>
  <c r="T55" i="2"/>
  <c r="T37" i="2"/>
  <c r="T24" i="2"/>
  <c r="T53" i="2"/>
  <c r="T49" i="2"/>
  <c r="T32" i="2" s="1"/>
  <c r="T48" i="2"/>
  <c r="T44" i="2"/>
  <c r="T42" i="2"/>
  <c r="T38" i="2"/>
  <c r="T31" i="2"/>
  <c r="T30" i="2"/>
  <c r="T29" i="2"/>
  <c r="T28" i="2"/>
  <c r="T19" i="2"/>
  <c r="T20" i="2" s="1"/>
  <c r="AD5" i="2"/>
  <c r="AD28" i="2"/>
  <c r="AB28" i="2"/>
  <c r="AA13" i="2"/>
  <c r="AD33" i="2" l="1"/>
  <c r="AC33" i="2"/>
  <c r="AB33" i="2"/>
  <c r="AD34" i="2"/>
  <c r="AC34" i="2"/>
  <c r="AB34" i="2"/>
  <c r="AD38" i="2"/>
  <c r="AD41" i="2"/>
  <c r="AD43" i="2"/>
  <c r="AD52" i="2"/>
  <c r="AD51" i="2"/>
  <c r="AD50" i="2"/>
  <c r="AD37" i="2" s="1"/>
  <c r="AD49" i="2"/>
  <c r="AD48" i="2"/>
  <c r="AD47" i="2"/>
  <c r="AD46" i="2"/>
  <c r="AD42" i="2"/>
  <c r="AD40" i="2"/>
  <c r="AD39" i="2"/>
  <c r="AD44" i="2" s="1"/>
  <c r="AD76" i="2"/>
  <c r="AD75" i="2"/>
  <c r="AD74" i="2"/>
  <c r="AD73" i="2"/>
  <c r="AD72" i="2"/>
  <c r="AD69" i="2"/>
  <c r="S70" i="2"/>
  <c r="AD68" i="2"/>
  <c r="AD79" i="2" s="1"/>
  <c r="AD80" i="2" s="1"/>
  <c r="AD67" i="2"/>
  <c r="AD70" i="2" s="1"/>
  <c r="AD65" i="2"/>
  <c r="AD64" i="2"/>
  <c r="AD63" i="2"/>
  <c r="AD62" i="2"/>
  <c r="AD61" i="2"/>
  <c r="AD60" i="2"/>
  <c r="AD59" i="2"/>
  <c r="AD58" i="2"/>
  <c r="AD57" i="2"/>
  <c r="AD56" i="2"/>
  <c r="AD55" i="2"/>
  <c r="AD53" i="2" l="1"/>
  <c r="AD77" i="2"/>
  <c r="AD29" i="2"/>
  <c r="AC29" i="2"/>
  <c r="AR34" i="2" l="1"/>
  <c r="AR31" i="2"/>
  <c r="AD7" i="2"/>
  <c r="AD6" i="2"/>
  <c r="AG6" i="2"/>
  <c r="AH6" i="2" s="1"/>
  <c r="AI6" i="2" s="1"/>
  <c r="AJ6" i="2" s="1"/>
  <c r="AK6" i="2" s="1"/>
  <c r="AL6" i="2" s="1"/>
  <c r="AM6" i="2" s="1"/>
  <c r="AN6" i="2" s="1"/>
  <c r="AF6" i="2"/>
  <c r="AE6" i="2"/>
  <c r="AI3" i="2"/>
  <c r="AJ3" i="2" s="1"/>
  <c r="AK3" i="2" s="1"/>
  <c r="AL3" i="2" s="1"/>
  <c r="AM3" i="2" s="1"/>
  <c r="AN3" i="2" s="1"/>
  <c r="AH3" i="2"/>
  <c r="AG3" i="2"/>
  <c r="AF3" i="2"/>
  <c r="AC5" i="2"/>
  <c r="AB5" i="2"/>
  <c r="T5" i="2"/>
  <c r="AE30" i="2"/>
  <c r="AE3" i="2"/>
  <c r="S30" i="2"/>
  <c r="AD31" i="2"/>
  <c r="AD30" i="2"/>
  <c r="AE26" i="2"/>
  <c r="AF26" i="2" s="1"/>
  <c r="AG26" i="2" s="1"/>
  <c r="AH26" i="2" s="1"/>
  <c r="AE21" i="2"/>
  <c r="AE17" i="2"/>
  <c r="AF17" i="2" s="1"/>
  <c r="AG17" i="2" s="1"/>
  <c r="AH17" i="2" s="1"/>
  <c r="AI17" i="2" s="1"/>
  <c r="AJ17" i="2" s="1"/>
  <c r="AK17" i="2" s="1"/>
  <c r="AL17" i="2" s="1"/>
  <c r="AM17" i="2" s="1"/>
  <c r="AN17" i="2" s="1"/>
  <c r="R9" i="2"/>
  <c r="Q9" i="2"/>
  <c r="S9" i="2"/>
  <c r="M7" i="2"/>
  <c r="Q81" i="2"/>
  <c r="P81" i="2"/>
  <c r="O81" i="2"/>
  <c r="N79" i="2"/>
  <c r="N80" i="2" s="1"/>
  <c r="M79" i="2"/>
  <c r="M80" i="2" s="1"/>
  <c r="L79" i="2"/>
  <c r="L80" i="2" s="1"/>
  <c r="K79" i="2"/>
  <c r="K80" i="2" s="1"/>
  <c r="N75" i="2"/>
  <c r="N74" i="2"/>
  <c r="N73" i="2"/>
  <c r="N72" i="2"/>
  <c r="N70" i="2"/>
  <c r="N69" i="2"/>
  <c r="N68" i="2"/>
  <c r="N67" i="2"/>
  <c r="N61" i="2"/>
  <c r="N64" i="2"/>
  <c r="N63" i="2"/>
  <c r="N62" i="2"/>
  <c r="N60" i="2"/>
  <c r="N59" i="2"/>
  <c r="N58" i="2"/>
  <c r="N57" i="2"/>
  <c r="N56" i="2"/>
  <c r="S76" i="2"/>
  <c r="R76" i="2"/>
  <c r="Q76" i="2"/>
  <c r="P76" i="2"/>
  <c r="O76" i="2"/>
  <c r="N76" i="2"/>
  <c r="L76" i="2"/>
  <c r="K76" i="2"/>
  <c r="M76" i="2"/>
  <c r="M75" i="2"/>
  <c r="M73" i="2"/>
  <c r="M72" i="2"/>
  <c r="M70" i="2"/>
  <c r="M69" i="2"/>
  <c r="M68" i="2"/>
  <c r="M67" i="2"/>
  <c r="M64" i="2"/>
  <c r="M60" i="2"/>
  <c r="M59" i="2"/>
  <c r="M58" i="2"/>
  <c r="M57" i="2"/>
  <c r="M56" i="2"/>
  <c r="L75" i="2"/>
  <c r="L77" i="2" s="1"/>
  <c r="L72" i="2"/>
  <c r="L70" i="2"/>
  <c r="L69" i="2"/>
  <c r="L68" i="2"/>
  <c r="L67" i="2"/>
  <c r="O65" i="2"/>
  <c r="N65" i="2"/>
  <c r="N77" i="2" s="1"/>
  <c r="M65" i="2"/>
  <c r="L65" i="2"/>
  <c r="L64" i="2"/>
  <c r="L59" i="2"/>
  <c r="L58" i="2"/>
  <c r="L57" i="2"/>
  <c r="L56" i="2"/>
  <c r="K77" i="2"/>
  <c r="K70" i="2"/>
  <c r="K68" i="2"/>
  <c r="K67" i="2"/>
  <c r="K64" i="2"/>
  <c r="K65" i="2"/>
  <c r="N55" i="2"/>
  <c r="M55" i="2"/>
  <c r="L55" i="2"/>
  <c r="K55" i="2"/>
  <c r="J55" i="2"/>
  <c r="I55" i="2"/>
  <c r="H55" i="2"/>
  <c r="G55" i="2"/>
  <c r="F55" i="2"/>
  <c r="H10" i="3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D30" i="3"/>
  <c r="H31" i="3" s="1"/>
  <c r="H30" i="3"/>
  <c r="H28" i="3"/>
  <c r="D28" i="3"/>
  <c r="D20" i="3"/>
  <c r="D18" i="3"/>
  <c r="H20" i="3"/>
  <c r="H21" i="3" s="1"/>
  <c r="H18" i="3"/>
  <c r="D10" i="3"/>
  <c r="H11" i="3"/>
  <c r="D8" i="3"/>
  <c r="H8" i="3"/>
  <c r="C28" i="3"/>
  <c r="G28" i="3"/>
  <c r="G18" i="3"/>
  <c r="G8" i="3"/>
  <c r="C25" i="3"/>
  <c r="F25" i="3"/>
  <c r="E25" i="3"/>
  <c r="G25" i="3"/>
  <c r="C15" i="3"/>
  <c r="G15" i="3"/>
  <c r="F15" i="3"/>
  <c r="E15" i="3"/>
  <c r="C5" i="3"/>
  <c r="G5" i="3"/>
  <c r="F5" i="3"/>
  <c r="E5" i="3"/>
  <c r="H25" i="3"/>
  <c r="D25" i="3"/>
  <c r="D15" i="3"/>
  <c r="H15" i="3"/>
  <c r="D5" i="3"/>
  <c r="H5" i="3"/>
  <c r="V32" i="2"/>
  <c r="U32" i="2"/>
  <c r="V31" i="2"/>
  <c r="U31" i="2"/>
  <c r="V30" i="2"/>
  <c r="U30" i="2"/>
  <c r="U26" i="2"/>
  <c r="V26" i="2" s="1"/>
  <c r="V21" i="2"/>
  <c r="U21" i="2"/>
  <c r="V18" i="2"/>
  <c r="U18" i="2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V17" i="2"/>
  <c r="U17" i="2"/>
  <c r="V16" i="2"/>
  <c r="U16" i="2"/>
  <c r="AE16" i="2" s="1"/>
  <c r="V15" i="2"/>
  <c r="V19" i="2" s="1"/>
  <c r="U15" i="2"/>
  <c r="V14" i="2"/>
  <c r="U14" i="2"/>
  <c r="AE14" i="2" s="1"/>
  <c r="AF14" i="2" s="1"/>
  <c r="T13" i="2"/>
  <c r="V12" i="2"/>
  <c r="U12" i="2"/>
  <c r="AE12" i="2" s="1"/>
  <c r="V11" i="2"/>
  <c r="U11" i="2"/>
  <c r="AE11" i="2" s="1"/>
  <c r="F49" i="2"/>
  <c r="F48" i="2"/>
  <c r="F42" i="2"/>
  <c r="F38" i="2"/>
  <c r="F53" i="2"/>
  <c r="F44" i="2"/>
  <c r="F37" i="2"/>
  <c r="G49" i="2"/>
  <c r="G48" i="2"/>
  <c r="G42" i="2"/>
  <c r="G38" i="2"/>
  <c r="G53" i="2"/>
  <c r="G37" i="2"/>
  <c r="H49" i="2"/>
  <c r="H48" i="2"/>
  <c r="H42" i="2"/>
  <c r="H38" i="2"/>
  <c r="H53" i="2"/>
  <c r="H44" i="2"/>
  <c r="H37" i="2"/>
  <c r="I49" i="2"/>
  <c r="I48" i="2"/>
  <c r="I42" i="2"/>
  <c r="I38" i="2"/>
  <c r="I53" i="2"/>
  <c r="I44" i="2"/>
  <c r="I37" i="2"/>
  <c r="J49" i="2"/>
  <c r="J48" i="2"/>
  <c r="J42" i="2"/>
  <c r="J38" i="2"/>
  <c r="J53" i="2"/>
  <c r="J44" i="2"/>
  <c r="J37" i="2"/>
  <c r="K51" i="2"/>
  <c r="K49" i="2"/>
  <c r="K48" i="2"/>
  <c r="K42" i="2"/>
  <c r="K38" i="2"/>
  <c r="K53" i="2"/>
  <c r="K44" i="2"/>
  <c r="K37" i="2"/>
  <c r="K5" i="2"/>
  <c r="J5" i="2"/>
  <c r="I5" i="2"/>
  <c r="H5" i="2"/>
  <c r="G5" i="2"/>
  <c r="F5" i="2"/>
  <c r="E5" i="2"/>
  <c r="D5" i="2"/>
  <c r="K4" i="2"/>
  <c r="O31" i="2" s="1"/>
  <c r="J4" i="2"/>
  <c r="N31" i="2" s="1"/>
  <c r="I4" i="2"/>
  <c r="M31" i="2" s="1"/>
  <c r="H4" i="2"/>
  <c r="L31" i="2" s="1"/>
  <c r="G4" i="2"/>
  <c r="K31" i="2" s="1"/>
  <c r="F4" i="2"/>
  <c r="J31" i="2" s="1"/>
  <c r="E4" i="2"/>
  <c r="D4" i="2"/>
  <c r="O32" i="2"/>
  <c r="M32" i="2"/>
  <c r="L32" i="2"/>
  <c r="K32" i="2"/>
  <c r="J32" i="2"/>
  <c r="O30" i="2"/>
  <c r="N30" i="2"/>
  <c r="M30" i="2"/>
  <c r="L30" i="2"/>
  <c r="K30" i="2"/>
  <c r="J30" i="2"/>
  <c r="K19" i="2"/>
  <c r="K13" i="2"/>
  <c r="O28" i="2" s="1"/>
  <c r="M28" i="2"/>
  <c r="L28" i="2"/>
  <c r="K28" i="2"/>
  <c r="C19" i="2"/>
  <c r="C13" i="2"/>
  <c r="G19" i="2"/>
  <c r="G13" i="2"/>
  <c r="D19" i="2"/>
  <c r="D13" i="2"/>
  <c r="H19" i="2"/>
  <c r="H13" i="2"/>
  <c r="F19" i="2"/>
  <c r="F13" i="2"/>
  <c r="J19" i="2"/>
  <c r="J20" i="2" s="1"/>
  <c r="J22" i="2" s="1"/>
  <c r="J24" i="2" s="1"/>
  <c r="J25" i="2" s="1"/>
  <c r="E19" i="2"/>
  <c r="E13" i="2"/>
  <c r="I19" i="2"/>
  <c r="I20" i="2" s="1"/>
  <c r="I22" i="2" s="1"/>
  <c r="I24" i="2" s="1"/>
  <c r="I25" i="2" s="1"/>
  <c r="J13" i="2"/>
  <c r="J28" i="2" s="1"/>
  <c r="I13" i="2"/>
  <c r="T22" i="2" l="1"/>
  <c r="AE15" i="2"/>
  <c r="V13" i="2"/>
  <c r="V28" i="2" s="1"/>
  <c r="U5" i="2"/>
  <c r="AG14" i="2"/>
  <c r="AH14" i="2" s="1"/>
  <c r="AI14" i="2" s="1"/>
  <c r="AJ14" i="2" s="1"/>
  <c r="AK14" i="2" s="1"/>
  <c r="AL14" i="2" s="1"/>
  <c r="AM14" i="2" s="1"/>
  <c r="AN14" i="2" s="1"/>
  <c r="AF19" i="2"/>
  <c r="AE5" i="2"/>
  <c r="AF11" i="2"/>
  <c r="AE29" i="2"/>
  <c r="AE7" i="2"/>
  <c r="AF7" i="2" s="1"/>
  <c r="AG7" i="2" s="1"/>
  <c r="AH7" i="2" s="1"/>
  <c r="AI7" i="2" s="1"/>
  <c r="AJ7" i="2" s="1"/>
  <c r="AK7" i="2" s="1"/>
  <c r="AL7" i="2" s="1"/>
  <c r="AM7" i="2" s="1"/>
  <c r="AN7" i="2" s="1"/>
  <c r="V5" i="2"/>
  <c r="AE19" i="2"/>
  <c r="U19" i="2"/>
  <c r="U20" i="2" s="1"/>
  <c r="U22" i="2" s="1"/>
  <c r="AI26" i="2"/>
  <c r="AG19" i="2"/>
  <c r="U13" i="2"/>
  <c r="U28" i="2" s="1"/>
  <c r="M77" i="2"/>
  <c r="V20" i="2"/>
  <c r="V22" i="2" s="1"/>
  <c r="G44" i="2"/>
  <c r="N32" i="2"/>
  <c r="N28" i="2"/>
  <c r="K20" i="2"/>
  <c r="K22" i="2" s="1"/>
  <c r="K24" i="2" s="1"/>
  <c r="K25" i="2" s="1"/>
  <c r="C20" i="2"/>
  <c r="C22" i="2" s="1"/>
  <c r="C24" i="2" s="1"/>
  <c r="C25" i="2" s="1"/>
  <c r="G28" i="2"/>
  <c r="G20" i="2"/>
  <c r="G22" i="2" s="1"/>
  <c r="G24" i="2" s="1"/>
  <c r="G25" i="2" s="1"/>
  <c r="D20" i="2"/>
  <c r="D22" i="2" s="1"/>
  <c r="D24" i="2" s="1"/>
  <c r="D25" i="2" s="1"/>
  <c r="H28" i="2"/>
  <c r="E20" i="2"/>
  <c r="E22" i="2" s="1"/>
  <c r="E24" i="2" s="1"/>
  <c r="E25" i="2" s="1"/>
  <c r="I28" i="2"/>
  <c r="H20" i="2"/>
  <c r="H22" i="2" s="1"/>
  <c r="H24" i="2" s="1"/>
  <c r="H25" i="2" s="1"/>
  <c r="F20" i="2"/>
  <c r="F22" i="2" s="1"/>
  <c r="F24" i="2" s="1"/>
  <c r="F25" i="2" s="1"/>
  <c r="P32" i="2"/>
  <c r="L51" i="2"/>
  <c r="L49" i="2"/>
  <c r="L48" i="2"/>
  <c r="L42" i="2"/>
  <c r="L38" i="2"/>
  <c r="L44" i="2"/>
  <c r="Q32" i="2"/>
  <c r="M51" i="2"/>
  <c r="M49" i="2"/>
  <c r="M48" i="2"/>
  <c r="M53" i="2" s="1"/>
  <c r="M42" i="2"/>
  <c r="M38" i="2"/>
  <c r="M44" i="2"/>
  <c r="S32" i="2"/>
  <c r="R32" i="2"/>
  <c r="N49" i="2"/>
  <c r="N48" i="2"/>
  <c r="N53" i="2" s="1"/>
  <c r="N42" i="2"/>
  <c r="N44" i="2" s="1"/>
  <c r="N38" i="2"/>
  <c r="N37" i="2"/>
  <c r="S79" i="2"/>
  <c r="S80" i="2" s="1"/>
  <c r="T81" i="2" s="1"/>
  <c r="R79" i="2"/>
  <c r="R80" i="2" s="1"/>
  <c r="S77" i="2"/>
  <c r="R77" i="2"/>
  <c r="R75" i="2"/>
  <c r="R72" i="2"/>
  <c r="R70" i="2"/>
  <c r="R69" i="2"/>
  <c r="R68" i="2"/>
  <c r="R67" i="2"/>
  <c r="R64" i="2"/>
  <c r="R61" i="2"/>
  <c r="R60" i="2"/>
  <c r="R59" i="2"/>
  <c r="R58" i="2"/>
  <c r="R57" i="2"/>
  <c r="R56" i="2"/>
  <c r="R55" i="2"/>
  <c r="R50" i="2"/>
  <c r="R37" i="2" s="1"/>
  <c r="R53" i="2"/>
  <c r="R49" i="2"/>
  <c r="R48" i="2"/>
  <c r="R42" i="2"/>
  <c r="R38" i="2"/>
  <c r="R44" i="2"/>
  <c r="Q75" i="2"/>
  <c r="Q70" i="2"/>
  <c r="Q69" i="2"/>
  <c r="Q68" i="2"/>
  <c r="Q67" i="2"/>
  <c r="Q64" i="2"/>
  <c r="Q61" i="2"/>
  <c r="Q60" i="2"/>
  <c r="Q59" i="2"/>
  <c r="Q58" i="2"/>
  <c r="Q65" i="2" s="1"/>
  <c r="Q79" i="2" s="1"/>
  <c r="Q80" i="2" s="1"/>
  <c r="Q57" i="2"/>
  <c r="Q56" i="2"/>
  <c r="Q55" i="2"/>
  <c r="Q50" i="2"/>
  <c r="Q53" i="2" s="1"/>
  <c r="Q49" i="2"/>
  <c r="Q48" i="2"/>
  <c r="Q42" i="2"/>
  <c r="Q38" i="2"/>
  <c r="Q44" i="2"/>
  <c r="P75" i="2"/>
  <c r="P69" i="2"/>
  <c r="P70" i="2"/>
  <c r="P68" i="2"/>
  <c r="P67" i="2"/>
  <c r="P65" i="2"/>
  <c r="P79" i="2" s="1"/>
  <c r="P80" i="2" s="1"/>
  <c r="P64" i="2"/>
  <c r="P61" i="2"/>
  <c r="P59" i="2"/>
  <c r="P58" i="2"/>
  <c r="P57" i="2"/>
  <c r="P56" i="2"/>
  <c r="P55" i="2"/>
  <c r="P49" i="2"/>
  <c r="P48" i="2"/>
  <c r="P42" i="2"/>
  <c r="P44" i="2" s="1"/>
  <c r="P38" i="2"/>
  <c r="P53" i="2"/>
  <c r="P37" i="2"/>
  <c r="O70" i="2"/>
  <c r="O68" i="2"/>
  <c r="O67" i="2"/>
  <c r="O77" i="2"/>
  <c r="O64" i="2"/>
  <c r="O55" i="2"/>
  <c r="O49" i="2"/>
  <c r="O48" i="2"/>
  <c r="O42" i="2"/>
  <c r="O44" i="2" s="1"/>
  <c r="O38" i="2"/>
  <c r="O53" i="2"/>
  <c r="S81" i="2" l="1"/>
  <c r="AF12" i="2"/>
  <c r="AF5" i="2"/>
  <c r="AG11" i="2"/>
  <c r="AG12" i="2"/>
  <c r="AG29" i="2"/>
  <c r="AF13" i="2"/>
  <c r="AF29" i="2"/>
  <c r="AJ26" i="2"/>
  <c r="AF20" i="2"/>
  <c r="AH12" i="2"/>
  <c r="V23" i="2"/>
  <c r="V24" i="2" s="1"/>
  <c r="V25" i="2" s="1"/>
  <c r="U23" i="2"/>
  <c r="L53" i="2"/>
  <c r="L37" i="2"/>
  <c r="M37" i="2"/>
  <c r="O79" i="2"/>
  <c r="O80" i="2" s="1"/>
  <c r="R81" i="2" s="1"/>
  <c r="R65" i="2"/>
  <c r="Q77" i="2"/>
  <c r="P77" i="2"/>
  <c r="Q37" i="2"/>
  <c r="O37" i="2"/>
  <c r="AG13" i="2" l="1"/>
  <c r="AG33" i="2"/>
  <c r="AG34" i="2"/>
  <c r="AG20" i="2"/>
  <c r="AG4" i="2"/>
  <c r="T25" i="2"/>
  <c r="AF4" i="2"/>
  <c r="AF34" i="2"/>
  <c r="AF33" i="2"/>
  <c r="AH19" i="2"/>
  <c r="AH11" i="2"/>
  <c r="AG5" i="2"/>
  <c r="U24" i="2"/>
  <c r="AE23" i="2"/>
  <c r="AH13" i="2"/>
  <c r="AH29" i="2"/>
  <c r="AG28" i="2"/>
  <c r="AK26" i="2"/>
  <c r="AI12" i="2"/>
  <c r="T6" i="2"/>
  <c r="U6" i="2" s="1"/>
  <c r="V6" i="2" s="1"/>
  <c r="N7" i="2"/>
  <c r="R7" i="2"/>
  <c r="Q7" i="2"/>
  <c r="V3" i="2"/>
  <c r="U3" i="2"/>
  <c r="T3" i="2"/>
  <c r="L19" i="2"/>
  <c r="L13" i="2"/>
  <c r="P30" i="2"/>
  <c r="L5" i="2"/>
  <c r="L4" i="2"/>
  <c r="P19" i="2"/>
  <c r="P13" i="2"/>
  <c r="P4" i="2" s="1"/>
  <c r="T4" i="2" s="1"/>
  <c r="P5" i="2"/>
  <c r="M19" i="2"/>
  <c r="M13" i="2"/>
  <c r="Q30" i="2"/>
  <c r="Q19" i="2"/>
  <c r="Q13" i="2"/>
  <c r="Q28" i="2" s="1"/>
  <c r="M5" i="2"/>
  <c r="Q5" i="2"/>
  <c r="Q4" i="2"/>
  <c r="U4" i="2" s="1"/>
  <c r="O5" i="2"/>
  <c r="O4" i="2"/>
  <c r="S5" i="2"/>
  <c r="R30" i="2"/>
  <c r="N5" i="2"/>
  <c r="R5" i="2"/>
  <c r="S28" i="2"/>
  <c r="N19" i="2"/>
  <c r="N13" i="2"/>
  <c r="N4" i="2" s="1"/>
  <c r="R19" i="2"/>
  <c r="R13" i="2"/>
  <c r="R28" i="2" s="1"/>
  <c r="AC30" i="2"/>
  <c r="AB19" i="2"/>
  <c r="AB13" i="2"/>
  <c r="AB4" i="2" s="1"/>
  <c r="AC19" i="2"/>
  <c r="AC13" i="2"/>
  <c r="AC4" i="2" s="1"/>
  <c r="AC31" i="2" s="1"/>
  <c r="AD19" i="2"/>
  <c r="AD13" i="2"/>
  <c r="AD4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S72" i="2"/>
  <c r="S68" i="2"/>
  <c r="S67" i="2"/>
  <c r="S64" i="2"/>
  <c r="S65" i="2" s="1"/>
  <c r="S49" i="2"/>
  <c r="S48" i="2"/>
  <c r="S50" i="2"/>
  <c r="S42" i="2"/>
  <c r="S38" i="2"/>
  <c r="S37" i="2" s="1"/>
  <c r="O19" i="2"/>
  <c r="S19" i="2"/>
  <c r="O13" i="2"/>
  <c r="O7" i="2" s="1"/>
  <c r="S13" i="2"/>
  <c r="S4" i="2" s="1"/>
  <c r="S31" i="2" s="1"/>
  <c r="L4" i="1"/>
  <c r="L7" i="1" s="1"/>
  <c r="L6" i="1"/>
  <c r="L5" i="1"/>
  <c r="AH28" i="2" l="1"/>
  <c r="AH33" i="2"/>
  <c r="AH4" i="2"/>
  <c r="AH34" i="2"/>
  <c r="AH20" i="2"/>
  <c r="AI19" i="2"/>
  <c r="U25" i="2"/>
  <c r="U37" i="2"/>
  <c r="V37" i="2" s="1"/>
  <c r="AE37" i="2" s="1"/>
  <c r="AF21" i="2" s="1"/>
  <c r="AF22" i="2" s="1"/>
  <c r="AI11" i="2"/>
  <c r="AH5" i="2"/>
  <c r="AI13" i="2"/>
  <c r="AI29" i="2"/>
  <c r="AL26" i="2"/>
  <c r="AI4" i="2"/>
  <c r="AI20" i="2"/>
  <c r="AJ12" i="2"/>
  <c r="P31" i="2"/>
  <c r="P7" i="2"/>
  <c r="P28" i="2"/>
  <c r="R4" i="2"/>
  <c r="S7" i="2"/>
  <c r="T7" i="2" s="1"/>
  <c r="L20" i="2"/>
  <c r="L22" i="2" s="1"/>
  <c r="L24" i="2" s="1"/>
  <c r="L25" i="2" s="1"/>
  <c r="P20" i="2"/>
  <c r="P22" i="2" s="1"/>
  <c r="P24" i="2" s="1"/>
  <c r="P25" i="2" s="1"/>
  <c r="M20" i="2"/>
  <c r="M22" i="2" s="1"/>
  <c r="M24" i="2" s="1"/>
  <c r="M25" i="2" s="1"/>
  <c r="M4" i="2"/>
  <c r="Q31" i="2" s="1"/>
  <c r="Q20" i="2"/>
  <c r="Q22" i="2" s="1"/>
  <c r="Q24" i="2" s="1"/>
  <c r="Q25" i="2" s="1"/>
  <c r="N20" i="2"/>
  <c r="N22" i="2" s="1"/>
  <c r="N24" i="2" s="1"/>
  <c r="N25" i="2" s="1"/>
  <c r="R20" i="2"/>
  <c r="R22" i="2" s="1"/>
  <c r="R24" i="2" s="1"/>
  <c r="R25" i="2" s="1"/>
  <c r="S53" i="2"/>
  <c r="AD20" i="2"/>
  <c r="AD22" i="2" s="1"/>
  <c r="AD24" i="2" s="1"/>
  <c r="AD25" i="2" s="1"/>
  <c r="S44" i="2"/>
  <c r="AC28" i="2"/>
  <c r="S20" i="2"/>
  <c r="S22" i="2" s="1"/>
  <c r="S24" i="2" s="1"/>
  <c r="S25" i="2" s="1"/>
  <c r="AB20" i="2"/>
  <c r="AB22" i="2" s="1"/>
  <c r="AB24" i="2" s="1"/>
  <c r="AB25" i="2" s="1"/>
  <c r="AC20" i="2"/>
  <c r="AC22" i="2" s="1"/>
  <c r="AC24" i="2" s="1"/>
  <c r="AC25" i="2" s="1"/>
  <c r="O20" i="2"/>
  <c r="O22" i="2" s="1"/>
  <c r="O24" i="2" s="1"/>
  <c r="O25" i="2" s="1"/>
  <c r="AI28" i="2" l="1"/>
  <c r="AI33" i="2"/>
  <c r="AI34" i="2"/>
  <c r="AJ19" i="2"/>
  <c r="AJ11" i="2"/>
  <c r="AJ13" i="2" s="1"/>
  <c r="AJ33" i="2" s="1"/>
  <c r="AI5" i="2"/>
  <c r="AF23" i="2"/>
  <c r="AF24" i="2" s="1"/>
  <c r="AJ29" i="2"/>
  <c r="AM26" i="2"/>
  <c r="AK12" i="2"/>
  <c r="S55" i="2"/>
  <c r="U7" i="2"/>
  <c r="R31" i="2"/>
  <c r="V4" i="2"/>
  <c r="AJ34" i="2" l="1"/>
  <c r="AK19" i="2"/>
  <c r="AF25" i="2"/>
  <c r="AF37" i="2"/>
  <c r="AG21" i="2" s="1"/>
  <c r="AG22" i="2" s="1"/>
  <c r="AG23" i="2" s="1"/>
  <c r="AG24" i="2" s="1"/>
  <c r="AJ28" i="2"/>
  <c r="AJ4" i="2"/>
  <c r="AJ20" i="2"/>
  <c r="AK11" i="2"/>
  <c r="AJ5" i="2"/>
  <c r="AK13" i="2"/>
  <c r="AK29" i="2"/>
  <c r="AN26" i="2"/>
  <c r="AK20" i="2"/>
  <c r="AL12" i="2"/>
  <c r="V7" i="2"/>
  <c r="AE13" i="2"/>
  <c r="AK28" i="2" l="1"/>
  <c r="AK33" i="2"/>
  <c r="AK34" i="2"/>
  <c r="AK4" i="2"/>
  <c r="AE28" i="2"/>
  <c r="AE34" i="2"/>
  <c r="AE33" i="2"/>
  <c r="AL19" i="2"/>
  <c r="AE4" i="2"/>
  <c r="AE31" i="2" s="1"/>
  <c r="AE20" i="2"/>
  <c r="AE22" i="2" s="1"/>
  <c r="AE24" i="2" s="1"/>
  <c r="AE25" i="2" s="1"/>
  <c r="AF28" i="2"/>
  <c r="AL11" i="2"/>
  <c r="AK5" i="2"/>
  <c r="AL13" i="2"/>
  <c r="AL29" i="2"/>
  <c r="AG25" i="2"/>
  <c r="AG37" i="2"/>
  <c r="AN12" i="2"/>
  <c r="AM12" i="2"/>
  <c r="AL28" i="2" l="1"/>
  <c r="AL33" i="2"/>
  <c r="AL34" i="2"/>
  <c r="AL4" i="2"/>
  <c r="AL20" i="2"/>
  <c r="AM19" i="2"/>
  <c r="AM11" i="2"/>
  <c r="AM13" i="2" s="1"/>
  <c r="AM33" i="2" s="1"/>
  <c r="AL5" i="2"/>
  <c r="AN29" i="2"/>
  <c r="AM29" i="2"/>
  <c r="AH21" i="2"/>
  <c r="AH22" i="2" s="1"/>
  <c r="AM34" i="2" l="1"/>
  <c r="AN19" i="2"/>
  <c r="AM28" i="2"/>
  <c r="AM4" i="2"/>
  <c r="AM20" i="2"/>
  <c r="AN11" i="2"/>
  <c r="AM5" i="2"/>
  <c r="AH23" i="2"/>
  <c r="AH24" i="2" s="1"/>
  <c r="AN5" i="2" l="1"/>
  <c r="AN13" i="2"/>
  <c r="AH25" i="2"/>
  <c r="AH37" i="2"/>
  <c r="AN33" i="2" l="1"/>
  <c r="AN34" i="2"/>
  <c r="AN4" i="2"/>
  <c r="AN20" i="2"/>
  <c r="AN28" i="2"/>
  <c r="AI21" i="2"/>
  <c r="AI22" i="2" s="1"/>
  <c r="AI23" i="2" l="1"/>
  <c r="AI24" i="2" s="1"/>
  <c r="AI25" i="2" l="1"/>
  <c r="AI37" i="2"/>
  <c r="AJ21" i="2" l="1"/>
  <c r="AJ22" i="2" s="1"/>
  <c r="AJ23" i="2" l="1"/>
  <c r="AJ24" i="2" s="1"/>
  <c r="AJ25" i="2" l="1"/>
  <c r="AJ37" i="2"/>
  <c r="AK21" i="2" l="1"/>
  <c r="AK22" i="2" s="1"/>
  <c r="AK23" i="2" l="1"/>
  <c r="AK24" i="2" s="1"/>
  <c r="AK25" i="2" l="1"/>
  <c r="AK37" i="2"/>
  <c r="AL21" i="2" l="1"/>
  <c r="AL22" i="2" s="1"/>
  <c r="AL23" i="2" l="1"/>
  <c r="AL24" i="2" s="1"/>
  <c r="AL25" i="2" l="1"/>
  <c r="AL37" i="2"/>
  <c r="AM21" i="2" l="1"/>
  <c r="AM22" i="2" s="1"/>
  <c r="AM23" i="2" l="1"/>
  <c r="AM24" i="2" s="1"/>
  <c r="AM25" i="2" l="1"/>
  <c r="AM37" i="2"/>
  <c r="AN21" i="2" l="1"/>
  <c r="AN22" i="2" s="1"/>
  <c r="AN23" i="2" l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AR30" i="2" s="1"/>
  <c r="AR32" i="2" s="1"/>
  <c r="AR33" i="2" s="1"/>
  <c r="AR35" i="2" s="1"/>
  <c r="AN25" i="2" l="1"/>
  <c r="AN37" i="2"/>
</calcChain>
</file>

<file path=xl/comments1.xml><?xml version="1.0" encoding="utf-8"?>
<comments xmlns="http://schemas.openxmlformats.org/spreadsheetml/2006/main">
  <authors>
    <author>Martin Shkreli</author>
  </authors>
  <commentList>
    <comment ref="AE1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345-355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SBC addback
</t>
        </r>
      </text>
    </comment>
    <comment ref="AD2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true NI is =-16.5</t>
        </r>
      </text>
    </comment>
  </commentList>
</comments>
</file>

<file path=xl/sharedStrings.xml><?xml version="1.0" encoding="utf-8"?>
<sst xmlns="http://schemas.openxmlformats.org/spreadsheetml/2006/main" count="188" uniqueCount="153">
  <si>
    <t>Price</t>
  </si>
  <si>
    <t>Shares</t>
  </si>
  <si>
    <t>MC</t>
  </si>
  <si>
    <t>Cash</t>
  </si>
  <si>
    <t>Debt</t>
  </si>
  <si>
    <t>EV</t>
  </si>
  <si>
    <t>Q316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</si>
  <si>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</si>
  <si>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</si>
  <si>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</si>
  <si>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</si>
  <si>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</si>
  <si>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</si>
  <si>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</si>
  <si>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</si>
  <si>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</si>
  <si>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</si>
  <si>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</si>
  <si>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</si>
  <si>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Q416</t>
  </si>
  <si>
    <t>Service</t>
  </si>
  <si>
    <t>Membership</t>
  </si>
  <si>
    <t>Operating Income</t>
  </si>
  <si>
    <t>Operating Expenses</t>
  </si>
  <si>
    <t>G&amp;A</t>
  </si>
  <si>
    <t>R&amp;D</t>
  </si>
  <si>
    <t>Marketing</t>
  </si>
  <si>
    <t>Selling</t>
  </si>
  <si>
    <t>Operations &amp; Support</t>
  </si>
  <si>
    <t>Net Income</t>
  </si>
  <si>
    <t>Taxes</t>
  </si>
  <si>
    <t>Pretax Income</t>
  </si>
  <si>
    <t>Interest Income</t>
  </si>
  <si>
    <t>EPS</t>
  </si>
  <si>
    <t>L+SE</t>
  </si>
  <si>
    <t>SE</t>
  </si>
  <si>
    <t>OL</t>
  </si>
  <si>
    <t>DAR</t>
  </si>
  <si>
    <t>DMR</t>
  </si>
  <si>
    <t>AL</t>
  </si>
  <si>
    <t>AP</t>
  </si>
  <si>
    <t>Assets</t>
  </si>
  <si>
    <t>Goodwill</t>
  </si>
  <si>
    <t>PP&amp;E</t>
  </si>
  <si>
    <t>Prepaids</t>
  </si>
  <si>
    <t>AR</t>
  </si>
  <si>
    <t>Model NI</t>
  </si>
  <si>
    <t>Reported NI</t>
  </si>
  <si>
    <t>D&amp;A</t>
  </si>
  <si>
    <t>Amortization of Debt</t>
  </si>
  <si>
    <t>SBC</t>
  </si>
  <si>
    <t>Disposal</t>
  </si>
  <si>
    <t>A&amp;L</t>
  </si>
  <si>
    <t>CFFO</t>
  </si>
  <si>
    <t>Investments</t>
  </si>
  <si>
    <t>CapEx</t>
  </si>
  <si>
    <t>Intangibles</t>
  </si>
  <si>
    <t>CFFI</t>
  </si>
  <si>
    <t>Lease</t>
  </si>
  <si>
    <t>Net Share Settlement</t>
  </si>
  <si>
    <t>Home Improvement</t>
  </si>
  <si>
    <t>Health</t>
  </si>
  <si>
    <t>Auto</t>
  </si>
  <si>
    <t>Services</t>
  </si>
  <si>
    <t>Builders - Homes/Garages</t>
  </si>
  <si>
    <t>Allergy &amp; Immunology</t>
  </si>
  <si>
    <t>Accessories</t>
  </si>
  <si>
    <t>Accountants/Tax Consultants</t>
  </si>
  <si>
    <t>Electrical</t>
  </si>
  <si>
    <t>Blood Care/Hematology</t>
  </si>
  <si>
    <t>Alarms</t>
  </si>
  <si>
    <t>Cake Decorating</t>
  </si>
  <si>
    <t>Handyman</t>
  </si>
  <si>
    <t>Cancer/Oncology</t>
  </si>
  <si>
    <t>Body Work</t>
  </si>
  <si>
    <t>Carpet Cleaning</t>
  </si>
  <si>
    <t>Heating &amp; A/C</t>
  </si>
  <si>
    <t>Dentistry</t>
  </si>
  <si>
    <t>Detailing</t>
  </si>
  <si>
    <t>Child Care</t>
  </si>
  <si>
    <t>Landscaping</t>
  </si>
  <si>
    <t>Dermatology</t>
  </si>
  <si>
    <t>Glass</t>
  </si>
  <si>
    <t>Financial Planning</t>
  </si>
  <si>
    <t>Painting</t>
  </si>
  <si>
    <t>Eye Care</t>
  </si>
  <si>
    <t>Mufflers</t>
  </si>
  <si>
    <t>Housecleaning</t>
  </si>
  <si>
    <t>Plumbing</t>
  </si>
  <si>
    <t>Heart Care</t>
  </si>
  <si>
    <t>Insurance Agencies</t>
  </si>
  <si>
    <t>Remodeling</t>
  </si>
  <si>
    <t>Orthopedics</t>
  </si>
  <si>
    <t>Radiators</t>
  </si>
  <si>
    <t>Limousine Service</t>
  </si>
  <si>
    <t>Roofing</t>
  </si>
  <si>
    <t>Primary Care</t>
  </si>
  <si>
    <t>Tires</t>
  </si>
  <si>
    <t>Photography</t>
  </si>
  <si>
    <t>Windows</t>
  </si>
  <si>
    <t>Rehabilitation</t>
  </si>
  <si>
    <t>Transmission</t>
  </si>
  <si>
    <t>Rentals</t>
  </si>
  <si>
    <t>"High Cost of Failure"</t>
  </si>
  <si>
    <t>Paid Membership</t>
  </si>
  <si>
    <t>Net Cash</t>
  </si>
  <si>
    <t>Revenue Growth</t>
  </si>
  <si>
    <t>Membership Growth</t>
  </si>
  <si>
    <t>ARPU Growth</t>
  </si>
  <si>
    <t>ARPU</t>
  </si>
  <si>
    <t>Membership/User</t>
  </si>
  <si>
    <t>Service Providers</t>
  </si>
  <si>
    <t>Summer 2016: Remove paywall for review</t>
  </si>
  <si>
    <t>2003-2007</t>
  </si>
  <si>
    <t>Markets</t>
  </si>
  <si>
    <t>2003 Cohort</t>
  </si>
  <si>
    <t>OA</t>
  </si>
  <si>
    <t>Cash Change</t>
  </si>
  <si>
    <t>FCF</t>
  </si>
  <si>
    <t>FCF+SBC</t>
  </si>
  <si>
    <t>Impairment</t>
  </si>
  <si>
    <t>DT</t>
  </si>
  <si>
    <t>Bad Debt</t>
  </si>
  <si>
    <t>D/R Y/Y</t>
  </si>
  <si>
    <t>Q113</t>
  </si>
  <si>
    <t>Q213</t>
  </si>
  <si>
    <t>Q313</t>
  </si>
  <si>
    <t>Q413</t>
  </si>
  <si>
    <t>Q112</t>
  </si>
  <si>
    <t>Q212</t>
  </si>
  <si>
    <t>Q312</t>
  </si>
  <si>
    <t>Q412</t>
  </si>
  <si>
    <t>Backlog</t>
  </si>
  <si>
    <t>Revenue/Provider</t>
  </si>
  <si>
    <t>Rev/Market</t>
  </si>
  <si>
    <t>Members/Market</t>
  </si>
  <si>
    <t>Service Revenue</t>
  </si>
  <si>
    <t>Service/Member</t>
  </si>
  <si>
    <t>Service Revenue Growth</t>
  </si>
  <si>
    <t>12 MONTHS ENDED</t>
  </si>
  <si>
    <t>FCF+SBC TTM</t>
  </si>
  <si>
    <t>CoCo</t>
  </si>
  <si>
    <t>Discount</t>
  </si>
  <si>
    <t>NPV</t>
  </si>
  <si>
    <t>ROIC</t>
  </si>
  <si>
    <t>Maturity</t>
  </si>
  <si>
    <t>tNPV</t>
  </si>
  <si>
    <t>Share</t>
  </si>
  <si>
    <t>Current</t>
  </si>
  <si>
    <t>Delta</t>
  </si>
  <si>
    <t>CFFF</t>
  </si>
  <si>
    <t>G&amp;A % of revenue</t>
  </si>
  <si>
    <t>S&amp;M %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</si>
</sst>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0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Inherit"/>
    </font>
    <font>
      <sz val="10"/>
      <color theme="1"/>
      <name val="Inherit"/>
    </font>
    <font>
      <sz val="9"/>
      <color theme="1"/>
      <name val="Inheri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1"/>
    <xf numFmtId="0" fontId="7" fillId="0" borderId="0" xfId="0" applyFont="1" applyAlignment="1"/>
    <xf numFmtId="3" fontId="1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9" fillId="0" borderId="0" xfId="0" applyFont="1"/>
    <xf numFmtId="165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0</xdr:row>
      <xdr:rowOff>9525</xdr:rowOff>
    </xdr:from>
    <xdr:to>
      <xdr:col>20</xdr:col>
      <xdr:colOff>28575</xdr:colOff>
      <xdr:row>87</xdr:row>
      <xdr:rowOff>66675</xdr:rowOff>
    </xdr:to>
    <xdr:cxnSp macro="">
      <xdr:nvCxnSpPr>
        <xdr:cNvPr id="3" name="Straight Connector 2"/>
        <xdr:cNvCxnSpPr/>
      </xdr:nvCxnSpPr>
      <xdr:spPr>
        <a:xfrm>
          <a:off x="12934950" y="9525"/>
          <a:ext cx="0" cy="14144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0</xdr:rowOff>
    </xdr:from>
    <xdr:to>
      <xdr:col>30</xdr:col>
      <xdr:colOff>19050</xdr:colOff>
      <xdr:row>82</xdr:row>
      <xdr:rowOff>0</xdr:rowOff>
    </xdr:to>
    <xdr:cxnSp macro="">
      <xdr:nvCxnSpPr>
        <xdr:cNvPr id="6" name="Straight Connector 5"/>
        <xdr:cNvCxnSpPr/>
      </xdr:nvCxnSpPr>
      <xdr:spPr>
        <a:xfrm>
          <a:off x="19021425" y="0"/>
          <a:ext cx="0" cy="12792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workbookViewId="0">
      <selection activeCell="L2" sqref="L2"/>
    </sheetView>
  </sheetViews>
  <sheetFormatPr defaultRowHeight="12.75"/>
  <sheetData>
    <row r="2" spans="2:13">
      <c r="B2" t="s">
        <v>103</v>
      </c>
      <c r="K2" t="s">
        <v>0</v>
      </c>
      <c r="L2" s="26">
        <v>9.6999999999999993</v>
      </c>
    </row>
    <row r="3" spans="2:13">
      <c r="K3" t="s">
        <v>1</v>
      </c>
      <c r="L3" s="1">
        <v>67.191999999999993</v>
      </c>
      <c r="M3" s="2" t="s">
        <v>17</v>
      </c>
    </row>
    <row r="4" spans="2:13">
      <c r="K4" t="s">
        <v>2</v>
      </c>
      <c r="L4" s="1">
        <f>+L3*L2</f>
        <v>651.76239999999984</v>
      </c>
      <c r="M4" s="2"/>
    </row>
    <row r="5" spans="2:13">
      <c r="K5" t="s">
        <v>3</v>
      </c>
      <c r="L5" s="1">
        <f>35.352+23.718</f>
        <v>59.069999999999993</v>
      </c>
      <c r="M5" s="2" t="s">
        <v>17</v>
      </c>
    </row>
    <row r="6" spans="2:13">
      <c r="K6" t="s">
        <v>4</v>
      </c>
      <c r="L6" s="1">
        <f>55.542+2.25</f>
        <v>57.792000000000002</v>
      </c>
      <c r="M6" s="2" t="s">
        <v>17</v>
      </c>
    </row>
    <row r="7" spans="2:13">
      <c r="K7" t="s">
        <v>5</v>
      </c>
      <c r="L7" s="1">
        <f>+L4-L5+L6</f>
        <v>650.48439999999994</v>
      </c>
    </row>
    <row r="8" spans="2:13">
      <c r="L8">
        <f>2.1-6.7</f>
        <v>-4.5999999999999996</v>
      </c>
    </row>
    <row r="9" spans="2:13">
      <c r="L9">
        <f>+L8*2</f>
        <v>-9.1999999999999993</v>
      </c>
    </row>
    <row r="14" spans="2:13">
      <c r="B14" s="13" t="s">
        <v>60</v>
      </c>
      <c r="C14" s="14"/>
      <c r="D14" s="13" t="s">
        <v>61</v>
      </c>
      <c r="E14" s="14"/>
      <c r="F14" s="13" t="s">
        <v>62</v>
      </c>
      <c r="G14" s="14"/>
      <c r="H14" s="13" t="s">
        <v>63</v>
      </c>
    </row>
    <row r="15" spans="2:13">
      <c r="B15" s="15" t="s">
        <v>64</v>
      </c>
      <c r="C15" s="16"/>
      <c r="D15" s="15" t="s">
        <v>65</v>
      </c>
      <c r="E15" s="16"/>
      <c r="F15" s="15" t="s">
        <v>66</v>
      </c>
      <c r="G15" s="16"/>
      <c r="H15" s="15" t="s">
        <v>67</v>
      </c>
    </row>
    <row r="16" spans="2:13">
      <c r="B16" s="17" t="s">
        <v>68</v>
      </c>
      <c r="C16" s="14"/>
      <c r="D16" s="17" t="s">
        <v>69</v>
      </c>
      <c r="E16" s="14"/>
      <c r="F16" s="17" t="s">
        <v>70</v>
      </c>
      <c r="G16" s="14"/>
      <c r="H16" s="17" t="s">
        <v>71</v>
      </c>
    </row>
    <row r="17" spans="2:8">
      <c r="B17" s="15" t="s">
        <v>72</v>
      </c>
      <c r="C17" s="16"/>
      <c r="D17" s="15" t="s">
        <v>73</v>
      </c>
      <c r="E17" s="16"/>
      <c r="F17" s="15" t="s">
        <v>74</v>
      </c>
      <c r="G17" s="16"/>
      <c r="H17" s="15" t="s">
        <v>75</v>
      </c>
    </row>
    <row r="18" spans="2:8">
      <c r="B18" s="17" t="s">
        <v>76</v>
      </c>
      <c r="C18" s="14"/>
      <c r="D18" s="17" t="s">
        <v>77</v>
      </c>
      <c r="E18" s="14"/>
      <c r="F18" s="17" t="s">
        <v>78</v>
      </c>
      <c r="G18" s="14"/>
      <c r="H18" s="17" t="s">
        <v>79</v>
      </c>
    </row>
    <row r="19" spans="2:8">
      <c r="B19" s="15" t="s">
        <v>80</v>
      </c>
      <c r="C19" s="16"/>
      <c r="D19" s="15" t="s">
        <v>81</v>
      </c>
      <c r="E19" s="16"/>
      <c r="F19" s="15" t="s">
        <v>82</v>
      </c>
      <c r="G19" s="16"/>
      <c r="H19" s="15" t="s">
        <v>83</v>
      </c>
    </row>
    <row r="20" spans="2:8">
      <c r="B20" s="17" t="s">
        <v>84</v>
      </c>
      <c r="C20" s="14"/>
      <c r="D20" s="17" t="s">
        <v>85</v>
      </c>
      <c r="E20" s="14"/>
      <c r="F20" s="17" t="s">
        <v>86</v>
      </c>
      <c r="G20" s="14"/>
      <c r="H20" s="17" t="s">
        <v>87</v>
      </c>
    </row>
    <row r="21" spans="2:8">
      <c r="B21" s="15" t="s">
        <v>88</v>
      </c>
      <c r="C21" s="16"/>
      <c r="D21" s="15" t="s">
        <v>89</v>
      </c>
      <c r="E21" s="16"/>
      <c r="F21" s="15" t="s">
        <v>84</v>
      </c>
      <c r="G21" s="16"/>
      <c r="H21" s="15" t="s">
        <v>90</v>
      </c>
    </row>
    <row r="22" spans="2:8">
      <c r="B22" s="17" t="s">
        <v>91</v>
      </c>
      <c r="C22" s="14"/>
      <c r="D22" s="17" t="s">
        <v>92</v>
      </c>
      <c r="E22" s="14"/>
      <c r="F22" s="17" t="s">
        <v>93</v>
      </c>
      <c r="G22" s="14"/>
      <c r="H22" s="17" t="s">
        <v>94</v>
      </c>
    </row>
    <row r="23" spans="2:8">
      <c r="B23" s="15" t="s">
        <v>95</v>
      </c>
      <c r="C23" s="16"/>
      <c r="D23" s="15" t="s">
        <v>96</v>
      </c>
      <c r="E23" s="16"/>
      <c r="F23" s="15" t="s">
        <v>97</v>
      </c>
      <c r="G23" s="16"/>
      <c r="H23" s="15" t="s">
        <v>98</v>
      </c>
    </row>
    <row r="24" spans="2:8">
      <c r="B24" s="17" t="s">
        <v>99</v>
      </c>
      <c r="C24" s="14"/>
      <c r="D24" s="17" t="s">
        <v>100</v>
      </c>
      <c r="E24" s="14"/>
      <c r="F24" s="17" t="s">
        <v>101</v>
      </c>
      <c r="G24" s="14"/>
      <c r="H24" s="17" t="s">
        <v>102</v>
      </c>
    </row>
    <row r="27" spans="2:8">
      <c r="B27" t="s">
        <v>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81"/>
  <sheetViews>
    <sheetView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N3" sqref="AN3"/>
    </sheetView>
  </sheetViews>
  <sheetFormatPr defaultRowHeight="12.75"/>
  <cols>
    <col min="1" max="1" width="5" bestFit="1" customWidth="1"/>
    <col min="2" max="2" width="24" bestFit="1" customWidth="1"/>
    <col min="3" max="42" width="9.140625" style="2"/>
  </cols>
  <sheetData>
    <row r="1" spans="1:45">
      <c r="A1" s="18" t="s">
        <v>7</v>
      </c>
    </row>
    <row r="2" spans="1:45">
      <c r="C2" s="2" t="s">
        <v>128</v>
      </c>
      <c r="D2" s="2" t="s">
        <v>129</v>
      </c>
      <c r="E2" s="2" t="s">
        <v>130</v>
      </c>
      <c r="F2" s="2" t="s">
        <v>131</v>
      </c>
      <c r="G2" s="2" t="s">
        <v>124</v>
      </c>
      <c r="H2" s="2" t="s">
        <v>125</v>
      </c>
      <c r="I2" s="2" t="s">
        <v>126</v>
      </c>
      <c r="J2" s="2" t="s">
        <v>127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6</v>
      </c>
      <c r="V2" s="2" t="s">
        <v>19</v>
      </c>
      <c r="Y2" s="2">
        <v>2010</v>
      </c>
      <c r="Z2" s="2">
        <f>+Y2+1</f>
        <v>2011</v>
      </c>
      <c r="AA2" s="2">
        <f t="shared" ref="AA2:AS2" si="0">+Z2+1</f>
        <v>2012</v>
      </c>
      <c r="AB2" s="2">
        <f t="shared" si="0"/>
        <v>2013</v>
      </c>
      <c r="AC2" s="2">
        <f t="shared" si="0"/>
        <v>2014</v>
      </c>
      <c r="AD2" s="2">
        <f t="shared" si="0"/>
        <v>2015</v>
      </c>
      <c r="AE2" s="2">
        <f t="shared" si="0"/>
        <v>2016</v>
      </c>
      <c r="AF2" s="2">
        <f t="shared" si="0"/>
        <v>2017</v>
      </c>
      <c r="AG2" s="2">
        <f t="shared" si="0"/>
        <v>2018</v>
      </c>
      <c r="AH2" s="2">
        <f t="shared" si="0"/>
        <v>2019</v>
      </c>
      <c r="AI2" s="2">
        <f t="shared" si="0"/>
        <v>2020</v>
      </c>
      <c r="AJ2" s="2">
        <f t="shared" si="0"/>
        <v>2021</v>
      </c>
      <c r="AK2" s="2">
        <f t="shared" si="0"/>
        <v>2022</v>
      </c>
      <c r="AL2" s="2">
        <f t="shared" si="0"/>
        <v>2023</v>
      </c>
      <c r="AM2" s="2">
        <f t="shared" si="0"/>
        <v>2024</v>
      </c>
      <c r="AN2" s="2">
        <f t="shared" si="0"/>
        <v>2025</v>
      </c>
      <c r="AO2" s="2">
        <f t="shared" si="0"/>
        <v>2026</v>
      </c>
      <c r="AP2" s="2">
        <f t="shared" si="0"/>
        <v>2027</v>
      </c>
      <c r="AQ2" s="2">
        <f t="shared" si="0"/>
        <v>2028</v>
      </c>
      <c r="AR2" s="2">
        <f t="shared" si="0"/>
        <v>2029</v>
      </c>
      <c r="AS2" s="2">
        <f t="shared" si="0"/>
        <v>2030</v>
      </c>
    </row>
    <row r="3" spans="1:45" s="1" customFormat="1">
      <c r="B3" s="1" t="s">
        <v>104</v>
      </c>
      <c r="C3" s="8"/>
      <c r="D3" s="8">
        <v>1431.0730000000001</v>
      </c>
      <c r="E3" s="8">
        <v>1656.768</v>
      </c>
      <c r="F3" s="8">
        <v>1787.394</v>
      </c>
      <c r="G3" s="8">
        <v>1951.7739999999999</v>
      </c>
      <c r="H3" s="8">
        <v>2162.6010000000001</v>
      </c>
      <c r="I3" s="8">
        <v>2378.8670000000002</v>
      </c>
      <c r="J3" s="8">
        <v>2484.0590000000002</v>
      </c>
      <c r="K3" s="8">
        <v>2628.7040000000002</v>
      </c>
      <c r="L3" s="8">
        <v>2838.8629999999998</v>
      </c>
      <c r="M3" s="8">
        <v>2983.4389999999999</v>
      </c>
      <c r="N3" s="8">
        <v>3041.6509999999998</v>
      </c>
      <c r="O3" s="8">
        <v>3103.3670000000002</v>
      </c>
      <c r="P3" s="8">
        <v>3172.0659999999998</v>
      </c>
      <c r="Q3" s="8">
        <v>3248.239</v>
      </c>
      <c r="R3" s="8">
        <v>3297.395</v>
      </c>
      <c r="S3" s="8">
        <v>3309.1660000000002</v>
      </c>
      <c r="T3" s="8">
        <f>+P3*1.02</f>
        <v>3235.5073199999997</v>
      </c>
      <c r="U3" s="8">
        <f t="shared" ref="U3:V3" si="1">+Q3*1.02</f>
        <v>3313.2037800000003</v>
      </c>
      <c r="V3" s="8">
        <f t="shared" si="1"/>
        <v>3363.3429000000001</v>
      </c>
      <c r="W3" s="8"/>
      <c r="X3" s="8"/>
      <c r="Y3" s="8"/>
      <c r="Z3" s="8">
        <v>1074.7570000000001</v>
      </c>
      <c r="AA3" s="8">
        <v>1787.394</v>
      </c>
      <c r="AB3" s="8">
        <v>2484.0590000000002</v>
      </c>
      <c r="AC3" s="8">
        <v>3041.6509999999998</v>
      </c>
      <c r="AD3" s="8">
        <v>3297.395</v>
      </c>
      <c r="AE3" s="8">
        <f>V3</f>
        <v>3363.3429000000001</v>
      </c>
      <c r="AF3" s="8">
        <f>+AE3*1.05</f>
        <v>3531.5100450000004</v>
      </c>
      <c r="AG3" s="8">
        <f>+AF3*1.03</f>
        <v>3637.4553463500006</v>
      </c>
      <c r="AH3" s="8">
        <f t="shared" ref="AH3:AN3" si="2">+AG3*1.03</f>
        <v>3746.5790067405005</v>
      </c>
      <c r="AI3" s="8">
        <f t="shared" si="2"/>
        <v>3858.9763769427154</v>
      </c>
      <c r="AJ3" s="8">
        <f t="shared" si="2"/>
        <v>3974.7456682509969</v>
      </c>
      <c r="AK3" s="8">
        <f t="shared" si="2"/>
        <v>4093.988038298527</v>
      </c>
      <c r="AL3" s="8">
        <f t="shared" si="2"/>
        <v>4216.8076794474828</v>
      </c>
      <c r="AM3" s="8">
        <f t="shared" si="2"/>
        <v>4343.3119098309071</v>
      </c>
      <c r="AN3" s="8">
        <f t="shared" si="2"/>
        <v>4473.6112671258343</v>
      </c>
      <c r="AO3" s="8"/>
      <c r="AP3" s="8"/>
    </row>
    <row r="4" spans="1:45">
      <c r="B4" t="s">
        <v>109</v>
      </c>
      <c r="D4" s="7">
        <f t="shared" ref="D4" si="3">D13*1000/D3</f>
        <v>25.508132708813594</v>
      </c>
      <c r="E4" s="7">
        <f t="shared" ref="E4" si="4">E13*1000/E3</f>
        <v>25.363840924015914</v>
      </c>
      <c r="F4" s="7">
        <f t="shared" ref="F4" si="5">F13*1000/F3</f>
        <v>25.835937683577317</v>
      </c>
      <c r="G4" s="7">
        <f t="shared" ref="G4" si="6">G13*1000/G3</f>
        <v>26.730041490459449</v>
      </c>
      <c r="H4" s="7">
        <f t="shared" ref="H4" si="7">H13*1000/H3</f>
        <v>27.381380106640105</v>
      </c>
      <c r="I4" s="7">
        <f t="shared" ref="I4" si="8">I13*1000/I3</f>
        <v>27.534116030866794</v>
      </c>
      <c r="J4" s="7">
        <f t="shared" ref="J4" si="9">J13*1000/J3</f>
        <v>27.678891684939849</v>
      </c>
      <c r="K4" s="7">
        <f t="shared" ref="K4" si="10">K13*1000/K3</f>
        <v>27.639855989871812</v>
      </c>
      <c r="L4" s="7">
        <f t="shared" ref="L4:S4" si="11">L13*1000/L3</f>
        <v>27.79140803906353</v>
      </c>
      <c r="M4" s="7">
        <f t="shared" si="11"/>
        <v>27.252442567118017</v>
      </c>
      <c r="N4" s="7">
        <f t="shared" si="11"/>
        <v>27.009015827259606</v>
      </c>
      <c r="O4" s="7">
        <f t="shared" si="11"/>
        <v>26.920116119041023</v>
      </c>
      <c r="P4" s="7">
        <f t="shared" si="11"/>
        <v>27.532529272720051</v>
      </c>
      <c r="Q4" s="7">
        <f t="shared" si="11"/>
        <v>26.781280564638251</v>
      </c>
      <c r="R4" s="7">
        <f t="shared" si="11"/>
        <v>26.158528171480821</v>
      </c>
      <c r="S4" s="7">
        <f t="shared" si="11"/>
        <v>25.340523866134248</v>
      </c>
      <c r="T4" s="7">
        <f>+P4*0.9</f>
        <v>24.779276345448046</v>
      </c>
      <c r="U4" s="7">
        <f t="shared" ref="U4:V4" si="12">+Q4*0.9</f>
        <v>24.103152508174428</v>
      </c>
      <c r="V4" s="7">
        <f t="shared" si="12"/>
        <v>23.54267535433274</v>
      </c>
      <c r="AB4" s="7">
        <f>AB13*1000/AB3</f>
        <v>98.887345268369216</v>
      </c>
      <c r="AC4" s="7">
        <f>AC13*1000/AC3</f>
        <v>103.56579370874566</v>
      </c>
      <c r="AD4" s="7">
        <f>AD13*1000/AD3</f>
        <v>104.36268630236899</v>
      </c>
      <c r="AE4" s="7">
        <f t="shared" ref="AE4" si="13">AE13*1000/AE3</f>
        <v>98.562846506075829</v>
      </c>
      <c r="AF4" s="7">
        <f t="shared" ref="AF4" si="14">AF13*1000/AF3</f>
        <v>95.620215572684288</v>
      </c>
      <c r="AG4" s="7">
        <f t="shared" ref="AG4" si="15">AG13*1000/AG3</f>
        <v>95.609845230615932</v>
      </c>
      <c r="AH4" s="7">
        <f t="shared" ref="AH4" si="16">AH13*1000/AH3</f>
        <v>96.451315238571965</v>
      </c>
      <c r="AI4" s="7">
        <f t="shared" ref="AI4" si="17">AI13*1000/AI3</f>
        <v>96.25124524853031</v>
      </c>
      <c r="AJ4" s="7">
        <f t="shared" ref="AJ4" si="18">AJ13*1000/AJ3</f>
        <v>96.522603128403375</v>
      </c>
      <c r="AK4" s="7">
        <f t="shared" ref="AK4" si="19">AK13*1000/AK3</f>
        <v>97.168653618080143</v>
      </c>
      <c r="AL4" s="7">
        <f t="shared" ref="AL4" si="20">AL13*1000/AL3</f>
        <v>98.114433235768885</v>
      </c>
      <c r="AM4" s="7">
        <f t="shared" ref="AM4" si="21">AM13*1000/AM3</f>
        <v>99.301892032777218</v>
      </c>
      <c r="AN4" s="7">
        <f t="shared" ref="AN4" si="22">AN13*1000/AN3</f>
        <v>100.68612026744668</v>
      </c>
    </row>
    <row r="5" spans="1:45">
      <c r="B5" t="s">
        <v>110</v>
      </c>
      <c r="D5" s="7">
        <f t="shared" ref="D5:K5" si="23">D11*1000/D3</f>
        <v>7.8905828004581169</v>
      </c>
      <c r="E5" s="7">
        <f t="shared" si="23"/>
        <v>7.7071744504963879</v>
      </c>
      <c r="F5" s="7">
        <f t="shared" si="23"/>
        <v>7.6541601907581649</v>
      </c>
      <c r="G5" s="7">
        <f t="shared" si="23"/>
        <v>7.4993313775057979</v>
      </c>
      <c r="H5" s="7">
        <f t="shared" si="23"/>
        <v>7.3573442350206992</v>
      </c>
      <c r="I5" s="7">
        <f t="shared" si="23"/>
        <v>7.1672775316989137</v>
      </c>
      <c r="J5" s="7">
        <f t="shared" si="23"/>
        <v>7.1290577236692041</v>
      </c>
      <c r="K5" s="7">
        <f t="shared" si="23"/>
        <v>6.961605414683433</v>
      </c>
      <c r="L5" s="7">
        <f t="shared" ref="L5:V5" si="24">L11*1000/L3</f>
        <v>6.5223295382693713</v>
      </c>
      <c r="M5" s="7">
        <f t="shared" si="24"/>
        <v>6.1268221002675105</v>
      </c>
      <c r="N5" s="7">
        <f t="shared" si="24"/>
        <v>5.9237565388008031</v>
      </c>
      <c r="O5" s="7">
        <f t="shared" si="24"/>
        <v>5.5871574325563165</v>
      </c>
      <c r="P5" s="7">
        <f t="shared" si="24"/>
        <v>5.3309105169942876</v>
      </c>
      <c r="Q5" s="7">
        <f t="shared" si="24"/>
        <v>5.2884039628857362</v>
      </c>
      <c r="R5" s="7">
        <f t="shared" si="24"/>
        <v>5.0236626185215902</v>
      </c>
      <c r="S5" s="7">
        <f t="shared" si="24"/>
        <v>4.9359868921655785</v>
      </c>
      <c r="T5" s="7">
        <f t="shared" si="24"/>
        <v>4.8354086245739047</v>
      </c>
      <c r="U5" s="7">
        <f t="shared" si="24"/>
        <v>4.9254742791582826</v>
      </c>
      <c r="V5" s="7">
        <f t="shared" si="24"/>
        <v>4.6789014584269717</v>
      </c>
      <c r="AB5" s="7">
        <f t="shared" ref="AB5:AE5" si="25">AB11*1000/AB3</f>
        <v>26.290438351101965</v>
      </c>
      <c r="AC5" s="7">
        <f t="shared" si="25"/>
        <v>24.037274493359035</v>
      </c>
      <c r="AD5" s="7">
        <f>AD11*1000/AD3</f>
        <v>20.619913598461817</v>
      </c>
      <c r="AE5" s="7">
        <f t="shared" si="25"/>
        <v>19.039048917670574</v>
      </c>
      <c r="AF5" s="7">
        <f t="shared" ref="AF5:AN5" si="26">AF11*1000/AF3</f>
        <v>14.505942032510911</v>
      </c>
      <c r="AG5" s="7">
        <f t="shared" si="26"/>
        <v>11.266751093212358</v>
      </c>
      <c r="AH5" s="7">
        <f t="shared" si="26"/>
        <v>8.7508746355047453</v>
      </c>
      <c r="AI5" s="7">
        <f t="shared" si="26"/>
        <v>6.7967958334017453</v>
      </c>
      <c r="AJ5" s="7">
        <f t="shared" si="26"/>
        <v>5.2790647249722298</v>
      </c>
      <c r="AK5" s="7">
        <f t="shared" si="26"/>
        <v>4.1002444465803727</v>
      </c>
      <c r="AL5" s="7">
        <f t="shared" si="26"/>
        <v>3.1846558808391245</v>
      </c>
      <c r="AM5" s="7">
        <f t="shared" si="26"/>
        <v>2.4735191307488349</v>
      </c>
      <c r="AN5" s="7">
        <f t="shared" si="26"/>
        <v>1.9211799073777356</v>
      </c>
    </row>
    <row r="6" spans="1:45" s="1" customFormat="1">
      <c r="B6" s="1" t="s">
        <v>111</v>
      </c>
      <c r="C6" s="8"/>
      <c r="D6" s="8"/>
      <c r="E6" s="8"/>
      <c r="F6" s="8"/>
      <c r="G6" s="8"/>
      <c r="H6" s="8"/>
      <c r="I6" s="8"/>
      <c r="J6" s="8"/>
      <c r="K6" s="8"/>
      <c r="L6" s="8">
        <v>53.374000000000002</v>
      </c>
      <c r="M6" s="8">
        <v>54.392000000000003</v>
      </c>
      <c r="N6" s="8">
        <v>54.24</v>
      </c>
      <c r="O6" s="8">
        <v>54.341000000000001</v>
      </c>
      <c r="P6" s="8">
        <v>53.514000000000003</v>
      </c>
      <c r="Q6" s="8">
        <v>53.917999999999999</v>
      </c>
      <c r="R6" s="8">
        <v>54.402000000000001</v>
      </c>
      <c r="S6" s="8">
        <v>54.863999999999997</v>
      </c>
      <c r="T6" s="8">
        <f>+S6</f>
        <v>54.863999999999997</v>
      </c>
      <c r="U6" s="8">
        <f t="shared" ref="U6:V6" si="27">+T6</f>
        <v>54.863999999999997</v>
      </c>
      <c r="V6" s="8">
        <f t="shared" si="27"/>
        <v>54.863999999999997</v>
      </c>
      <c r="W6" s="8"/>
      <c r="X6" s="8"/>
      <c r="Y6" s="8"/>
      <c r="Z6" s="8"/>
      <c r="AA6" s="8"/>
      <c r="AB6" s="8"/>
      <c r="AC6" s="8"/>
      <c r="AD6" s="8">
        <f>R6</f>
        <v>54.402000000000001</v>
      </c>
      <c r="AE6" s="8">
        <f>V6</f>
        <v>54.863999999999997</v>
      </c>
      <c r="AF6" s="8">
        <f>AE6*1.02</f>
        <v>55.961279999999995</v>
      </c>
      <c r="AG6" s="8">
        <f t="shared" ref="AG6:AN6" si="28">AF6*1.02</f>
        <v>57.080505599999995</v>
      </c>
      <c r="AH6" s="8">
        <f t="shared" si="28"/>
        <v>58.222115711999997</v>
      </c>
      <c r="AI6" s="8">
        <f t="shared" si="28"/>
        <v>59.386558026239996</v>
      </c>
      <c r="AJ6" s="8">
        <f t="shared" si="28"/>
        <v>60.574289186764794</v>
      </c>
      <c r="AK6" s="8">
        <f t="shared" si="28"/>
        <v>61.785774970500093</v>
      </c>
      <c r="AL6" s="8">
        <f t="shared" si="28"/>
        <v>63.021490469910098</v>
      </c>
      <c r="AM6" s="8">
        <f t="shared" si="28"/>
        <v>64.281920279308295</v>
      </c>
      <c r="AN6" s="8">
        <f t="shared" si="28"/>
        <v>65.567558684894465</v>
      </c>
      <c r="AO6" s="8"/>
      <c r="AP6" s="8"/>
    </row>
    <row r="7" spans="1:45" s="1" customFormat="1">
      <c r="B7" s="1" t="s">
        <v>133</v>
      </c>
      <c r="C7" s="8"/>
      <c r="D7" s="8"/>
      <c r="E7" s="8"/>
      <c r="F7" s="8"/>
      <c r="G7" s="8"/>
      <c r="H7" s="8"/>
      <c r="I7" s="8"/>
      <c r="J7" s="8"/>
      <c r="K7" s="8"/>
      <c r="L7" s="8"/>
      <c r="M7" s="8">
        <f t="shared" ref="M7:N7" si="29">M13*1000/M6</f>
        <v>1494.815414031475</v>
      </c>
      <c r="N7" s="8">
        <f t="shared" si="29"/>
        <v>1514.6017699115043</v>
      </c>
      <c r="O7" s="8">
        <f t="shared" ref="O7:R7" si="30">O13*1000/O6</f>
        <v>1537.3842954675104</v>
      </c>
      <c r="P7" s="8">
        <f t="shared" si="30"/>
        <v>1632.0028403782187</v>
      </c>
      <c r="Q7" s="8">
        <f t="shared" si="30"/>
        <v>1613.4129604213804</v>
      </c>
      <c r="R7" s="8">
        <f t="shared" si="30"/>
        <v>1585.5115620749236</v>
      </c>
      <c r="S7" s="8">
        <f>S13*1000/S6</f>
        <v>1528.4339457567808</v>
      </c>
      <c r="T7" s="8">
        <f>+S7</f>
        <v>1528.4339457567808</v>
      </c>
      <c r="U7" s="8">
        <f t="shared" ref="U7:V7" si="31">+T7</f>
        <v>1528.4339457567808</v>
      </c>
      <c r="V7" s="8">
        <f t="shared" si="31"/>
        <v>1528.4339457567808</v>
      </c>
      <c r="W7" s="8"/>
      <c r="X7" s="8"/>
      <c r="Y7" s="8"/>
      <c r="Z7" s="8"/>
      <c r="AA7" s="8"/>
      <c r="AB7" s="8"/>
      <c r="AC7" s="8"/>
      <c r="AD7" s="8">
        <f>AD12*1000/AD6</f>
        <v>5075.7876548656295</v>
      </c>
      <c r="AE7" s="8">
        <f>AE12*1000/AE6</f>
        <v>4875.0692621755616</v>
      </c>
      <c r="AF7" s="8">
        <f>+AE7*1.05</f>
        <v>5118.8227252843399</v>
      </c>
      <c r="AG7" s="8">
        <f t="shared" ref="AG7:AH7" si="32">+AF7*1.05</f>
        <v>5374.7638615485575</v>
      </c>
      <c r="AH7" s="8">
        <f t="shared" si="32"/>
        <v>5643.5020546259857</v>
      </c>
      <c r="AI7" s="8">
        <f>+AH7*1.03</f>
        <v>5812.8071162647657</v>
      </c>
      <c r="AJ7" s="8">
        <f t="shared" ref="AJ7:AN7" si="33">+AI7*1.03</f>
        <v>5987.191329752709</v>
      </c>
      <c r="AK7" s="8">
        <f t="shared" si="33"/>
        <v>6166.8070696452905</v>
      </c>
      <c r="AL7" s="8">
        <f t="shared" si="33"/>
        <v>6351.8112817346491</v>
      </c>
      <c r="AM7" s="8">
        <f t="shared" si="33"/>
        <v>6542.3656201866888</v>
      </c>
      <c r="AN7" s="8">
        <f t="shared" si="33"/>
        <v>6738.6365887922893</v>
      </c>
      <c r="AO7" s="8"/>
      <c r="AP7" s="8"/>
    </row>
    <row r="8" spans="1:45">
      <c r="B8" t="s">
        <v>132</v>
      </c>
      <c r="L8" s="7"/>
      <c r="M8" s="4">
        <v>145.82900000000001</v>
      </c>
      <c r="N8" s="23">
        <v>153.137</v>
      </c>
      <c r="O8" s="23">
        <v>165.6</v>
      </c>
      <c r="P8" s="23"/>
      <c r="Q8" s="23">
        <v>162.81700000000001</v>
      </c>
      <c r="R8" s="23">
        <v>162.47800000000001</v>
      </c>
      <c r="S8" s="4">
        <v>165.36</v>
      </c>
      <c r="T8" s="7"/>
      <c r="U8" s="7"/>
      <c r="V8" s="7"/>
      <c r="AB8" s="7"/>
      <c r="AC8" s="7"/>
      <c r="AD8" s="7"/>
    </row>
    <row r="9" spans="1:45">
      <c r="L9" s="7"/>
      <c r="M9" s="4"/>
      <c r="N9" s="23"/>
      <c r="O9" s="23"/>
      <c r="P9" s="23"/>
      <c r="Q9" s="9">
        <f t="shared" ref="Q9:R9" si="34">Q8/M8-1</f>
        <v>0.11649260435167208</v>
      </c>
      <c r="R9" s="9">
        <f t="shared" si="34"/>
        <v>6.099766875412227E-2</v>
      </c>
      <c r="S9" s="9">
        <f>S8/O8-1</f>
        <v>-1.4492753623187582E-3</v>
      </c>
      <c r="T9" s="7"/>
      <c r="U9" s="7"/>
      <c r="V9" s="7"/>
      <c r="AB9" s="7"/>
      <c r="AC9" s="7"/>
      <c r="AD9" s="7"/>
    </row>
    <row r="11" spans="1:45" s="3" customFormat="1">
      <c r="B11" s="3" t="s">
        <v>21</v>
      </c>
      <c r="C11" s="4">
        <v>9.9749999999999996</v>
      </c>
      <c r="D11" s="4">
        <v>11.292</v>
      </c>
      <c r="E11" s="4">
        <v>12.769</v>
      </c>
      <c r="F11" s="4">
        <v>13.680999999999999</v>
      </c>
      <c r="G11" s="4">
        <v>14.637</v>
      </c>
      <c r="H11" s="4">
        <v>15.911</v>
      </c>
      <c r="I11" s="4">
        <v>17.05</v>
      </c>
      <c r="J11" s="4">
        <v>17.709</v>
      </c>
      <c r="K11" s="4">
        <v>18.3</v>
      </c>
      <c r="L11" s="4">
        <v>18.515999999999998</v>
      </c>
      <c r="M11" s="4">
        <v>18.279</v>
      </c>
      <c r="N11" s="4">
        <v>18.018000000000001</v>
      </c>
      <c r="O11" s="4">
        <v>17.338999999999999</v>
      </c>
      <c r="P11" s="4">
        <v>16.91</v>
      </c>
      <c r="Q11" s="4">
        <v>17.178000000000001</v>
      </c>
      <c r="R11" s="4">
        <v>16.565000000000001</v>
      </c>
      <c r="S11" s="4">
        <v>16.334</v>
      </c>
      <c r="T11" s="4">
        <v>15.645</v>
      </c>
      <c r="U11" s="4">
        <f t="shared" ref="U11:U12" si="35">+Q11*0.95</f>
        <v>16.319099999999999</v>
      </c>
      <c r="V11" s="4">
        <f t="shared" ref="V11:V12" si="36">+R11*0.95</f>
        <v>15.736750000000001</v>
      </c>
      <c r="W11" s="4"/>
      <c r="X11" s="4"/>
      <c r="Y11" s="4"/>
      <c r="Z11" s="4"/>
      <c r="AA11" s="4"/>
      <c r="AB11" s="4">
        <v>65.307000000000002</v>
      </c>
      <c r="AC11" s="4">
        <v>73.113</v>
      </c>
      <c r="AD11" s="4">
        <v>67.992000000000004</v>
      </c>
      <c r="AE11" s="4">
        <f>SUM(S11:V11)</f>
        <v>64.034850000000006</v>
      </c>
      <c r="AF11" s="4">
        <f>+AE11*0.8</f>
        <v>51.227880000000006</v>
      </c>
      <c r="AG11" s="4">
        <f t="shared" ref="AG11:AN11" si="37">+AF11*0.8</f>
        <v>40.982304000000006</v>
      </c>
      <c r="AH11" s="4">
        <f t="shared" si="37"/>
        <v>32.785843200000009</v>
      </c>
      <c r="AI11" s="4">
        <f t="shared" si="37"/>
        <v>26.228674560000009</v>
      </c>
      <c r="AJ11" s="4">
        <f t="shared" si="37"/>
        <v>20.982939648000009</v>
      </c>
      <c r="AK11" s="4">
        <f t="shared" si="37"/>
        <v>16.78635171840001</v>
      </c>
      <c r="AL11" s="4">
        <f t="shared" si="37"/>
        <v>13.429081374720008</v>
      </c>
      <c r="AM11" s="4">
        <f t="shared" si="37"/>
        <v>10.743265099776007</v>
      </c>
      <c r="AN11" s="4">
        <f t="shared" si="37"/>
        <v>8.5946120798208057</v>
      </c>
      <c r="AO11" s="4"/>
      <c r="AP11" s="4"/>
      <c r="AQ11" s="4"/>
    </row>
    <row r="12" spans="1:45" s="3" customFormat="1">
      <c r="B12" s="3" t="s">
        <v>20</v>
      </c>
      <c r="C12" s="4">
        <v>21.119</v>
      </c>
      <c r="D12" s="4">
        <v>25.212</v>
      </c>
      <c r="E12" s="4">
        <v>29.253</v>
      </c>
      <c r="F12" s="4">
        <v>32.497999999999998</v>
      </c>
      <c r="G12" s="4">
        <v>37.533999999999999</v>
      </c>
      <c r="H12" s="4">
        <v>43.304000000000002</v>
      </c>
      <c r="I12" s="4">
        <v>48.45</v>
      </c>
      <c r="J12" s="4">
        <v>51.046999999999997</v>
      </c>
      <c r="K12" s="4">
        <v>54.356999999999999</v>
      </c>
      <c r="L12" s="4">
        <v>60.38</v>
      </c>
      <c r="M12" s="4">
        <v>63.027000000000001</v>
      </c>
      <c r="N12" s="4">
        <v>64.134</v>
      </c>
      <c r="O12" s="4">
        <v>66.203999999999994</v>
      </c>
      <c r="P12" s="4">
        <v>70.424999999999997</v>
      </c>
      <c r="Q12" s="4">
        <v>69.813999999999993</v>
      </c>
      <c r="R12" s="4">
        <v>69.69</v>
      </c>
      <c r="S12" s="4">
        <v>67.522000000000006</v>
      </c>
      <c r="T12" s="4">
        <v>67.415000000000006</v>
      </c>
      <c r="U12" s="4">
        <f t="shared" si="35"/>
        <v>66.323299999999989</v>
      </c>
      <c r="V12" s="4">
        <f t="shared" si="36"/>
        <v>66.205500000000001</v>
      </c>
      <c r="W12" s="4"/>
      <c r="X12" s="4"/>
      <c r="Y12" s="4"/>
      <c r="Z12" s="4"/>
      <c r="AA12" s="4"/>
      <c r="AB12" s="4">
        <v>180.33500000000001</v>
      </c>
      <c r="AC12" s="4">
        <v>241.898</v>
      </c>
      <c r="AD12" s="4">
        <v>276.13299999999998</v>
      </c>
      <c r="AE12" s="4">
        <f>SUM(S12:V12)</f>
        <v>267.4658</v>
      </c>
      <c r="AF12" s="4">
        <f>+AF7*AF6/1000</f>
        <v>286.45587180000001</v>
      </c>
      <c r="AG12" s="4">
        <f t="shared" ref="AG12:AN12" si="38">+AG7*AG6/1000</f>
        <v>306.79423869780004</v>
      </c>
      <c r="AH12" s="4">
        <f t="shared" si="38"/>
        <v>328.57662964534387</v>
      </c>
      <c r="AI12" s="4">
        <f t="shared" si="38"/>
        <v>345.20260710539827</v>
      </c>
      <c r="AJ12" s="4">
        <f t="shared" si="38"/>
        <v>362.66985902493144</v>
      </c>
      <c r="AK12" s="4">
        <f t="shared" si="38"/>
        <v>381.02095389159302</v>
      </c>
      <c r="AL12" s="4">
        <f t="shared" si="38"/>
        <v>400.30061415850759</v>
      </c>
      <c r="AM12" s="4">
        <f t="shared" si="38"/>
        <v>420.55582523492814</v>
      </c>
      <c r="AN12" s="4">
        <f t="shared" si="38"/>
        <v>441.83594999181548</v>
      </c>
      <c r="AO12" s="4"/>
      <c r="AP12" s="4"/>
    </row>
    <row r="13" spans="1:45" s="5" customFormat="1">
      <c r="B13" s="5" t="s">
        <v>8</v>
      </c>
      <c r="C13" s="6">
        <f t="shared" ref="C13" si="39">+C12+C11</f>
        <v>31.094000000000001</v>
      </c>
      <c r="D13" s="6">
        <f t="shared" ref="D13" si="40">+D12+D11</f>
        <v>36.503999999999998</v>
      </c>
      <c r="E13" s="6">
        <f t="shared" ref="E13:F13" si="41">+E12+E11</f>
        <v>42.021999999999998</v>
      </c>
      <c r="F13" s="6">
        <f t="shared" si="41"/>
        <v>46.178999999999995</v>
      </c>
      <c r="G13" s="6">
        <f t="shared" ref="G13" si="42">+G12+G11</f>
        <v>52.170999999999999</v>
      </c>
      <c r="H13" s="6">
        <f t="shared" ref="H13" si="43">+H12+H11</f>
        <v>59.215000000000003</v>
      </c>
      <c r="I13" s="6">
        <f t="shared" ref="I13" si="44">+I12+I11</f>
        <v>65.5</v>
      </c>
      <c r="J13" s="6">
        <f t="shared" ref="J13" si="45">+J12+J11</f>
        <v>68.756</v>
      </c>
      <c r="K13" s="6">
        <f t="shared" ref="K13" si="46">+K12+K11</f>
        <v>72.656999999999996</v>
      </c>
      <c r="L13" s="6">
        <f t="shared" ref="L13:S13" si="47">+L12+L11</f>
        <v>78.896000000000001</v>
      </c>
      <c r="M13" s="6">
        <f t="shared" si="47"/>
        <v>81.305999999999997</v>
      </c>
      <c r="N13" s="6">
        <f t="shared" si="47"/>
        <v>82.152000000000001</v>
      </c>
      <c r="O13" s="6">
        <f t="shared" si="47"/>
        <v>83.542999999999992</v>
      </c>
      <c r="P13" s="6">
        <f t="shared" si="47"/>
        <v>87.334999999999994</v>
      </c>
      <c r="Q13" s="6">
        <f t="shared" si="47"/>
        <v>86.99199999999999</v>
      </c>
      <c r="R13" s="6">
        <f t="shared" si="47"/>
        <v>86.254999999999995</v>
      </c>
      <c r="S13" s="6">
        <f t="shared" si="47"/>
        <v>83.856000000000009</v>
      </c>
      <c r="T13" s="6">
        <f t="shared" ref="T13" si="48">+T12+T11</f>
        <v>83.06</v>
      </c>
      <c r="U13" s="6">
        <f t="shared" ref="U13" si="49">+U12+U11</f>
        <v>82.642399999999981</v>
      </c>
      <c r="V13" s="6">
        <f t="shared" ref="V13" si="50">+V12+V11</f>
        <v>81.942250000000001</v>
      </c>
      <c r="W13" s="6"/>
      <c r="X13" s="6"/>
      <c r="Y13" s="6"/>
      <c r="Z13" s="6"/>
      <c r="AA13" s="6">
        <f>SUM(C13:F13)</f>
        <v>155.79900000000001</v>
      </c>
      <c r="AB13" s="6">
        <f>+AB12+AB11</f>
        <v>245.642</v>
      </c>
      <c r="AC13" s="6">
        <f>+AC12+AC11</f>
        <v>315.01099999999997</v>
      </c>
      <c r="AD13" s="6">
        <f>+AD12+AD11</f>
        <v>344.125</v>
      </c>
      <c r="AE13" s="6">
        <f>SUM(S13:V13)</f>
        <v>331.50064999999995</v>
      </c>
      <c r="AF13" s="6">
        <f>+AF12+AF11</f>
        <v>337.68375180000004</v>
      </c>
      <c r="AG13" s="6">
        <f t="shared" ref="AG13:AN13" si="51">+AG12+AG11</f>
        <v>347.77654269780004</v>
      </c>
      <c r="AH13" s="6">
        <f t="shared" si="51"/>
        <v>361.36247284534386</v>
      </c>
      <c r="AI13" s="6">
        <f t="shared" si="51"/>
        <v>371.43128166539827</v>
      </c>
      <c r="AJ13" s="6">
        <f t="shared" si="51"/>
        <v>383.65279867293145</v>
      </c>
      <c r="AK13" s="6">
        <f t="shared" si="51"/>
        <v>397.80730560999302</v>
      </c>
      <c r="AL13" s="6">
        <f t="shared" si="51"/>
        <v>413.72969553322758</v>
      </c>
      <c r="AM13" s="6">
        <f t="shared" si="51"/>
        <v>431.29909033470415</v>
      </c>
      <c r="AN13" s="6">
        <f t="shared" si="51"/>
        <v>450.4305620716363</v>
      </c>
      <c r="AO13" s="6"/>
      <c r="AP13" s="6"/>
    </row>
    <row r="14" spans="1:45" s="3" customFormat="1">
      <c r="B14" s="3" t="s">
        <v>28</v>
      </c>
      <c r="C14" s="4">
        <v>5.7750000000000004</v>
      </c>
      <c r="D14" s="4">
        <v>6.7160000000000002</v>
      </c>
      <c r="E14" s="4">
        <v>7.14</v>
      </c>
      <c r="F14" s="4">
        <v>7.45</v>
      </c>
      <c r="G14" s="4">
        <v>8.298</v>
      </c>
      <c r="H14" s="4">
        <v>10.103999999999999</v>
      </c>
      <c r="I14" s="4">
        <v>11.016</v>
      </c>
      <c r="J14" s="4">
        <v>10.654</v>
      </c>
      <c r="K14" s="4">
        <v>11.548</v>
      </c>
      <c r="L14" s="4">
        <v>13.746</v>
      </c>
      <c r="M14" s="4">
        <v>14.119</v>
      </c>
      <c r="N14" s="4">
        <v>13.347</v>
      </c>
      <c r="O14" s="4">
        <v>13.997999999999999</v>
      </c>
      <c r="P14" s="4">
        <v>15.456</v>
      </c>
      <c r="Q14" s="4">
        <v>14.022</v>
      </c>
      <c r="R14" s="4">
        <v>12.598000000000001</v>
      </c>
      <c r="S14" s="4">
        <v>12.209</v>
      </c>
      <c r="T14" s="4">
        <v>10.172000000000001</v>
      </c>
      <c r="U14" s="4">
        <f t="shared" ref="U14:V15" si="52">+Q14*0.85</f>
        <v>11.918699999999999</v>
      </c>
      <c r="V14" s="4">
        <f t="shared" si="52"/>
        <v>10.708299999999999</v>
      </c>
      <c r="W14" s="4"/>
      <c r="X14" s="4"/>
      <c r="Y14" s="4"/>
      <c r="Z14" s="4"/>
      <c r="AA14" s="4"/>
      <c r="AB14" s="4">
        <v>40.072000000000003</v>
      </c>
      <c r="AC14" s="4">
        <v>52.76</v>
      </c>
      <c r="AD14" s="4">
        <v>56.073999999999998</v>
      </c>
      <c r="AE14" s="4">
        <f>SUM(S14:V14)</f>
        <v>45.008000000000003</v>
      </c>
      <c r="AF14" s="4">
        <f>+AE14*1.01</f>
        <v>45.458080000000002</v>
      </c>
      <c r="AG14" s="4">
        <f t="shared" ref="AG14:AN14" si="53">+AF14*1.01</f>
        <v>45.912660800000005</v>
      </c>
      <c r="AH14" s="4">
        <f t="shared" si="53"/>
        <v>46.371787408000003</v>
      </c>
      <c r="AI14" s="4">
        <f t="shared" si="53"/>
        <v>46.835505282080007</v>
      </c>
      <c r="AJ14" s="4">
        <f t="shared" si="53"/>
        <v>47.303860334900804</v>
      </c>
      <c r="AK14" s="4">
        <f t="shared" si="53"/>
        <v>47.776898938249815</v>
      </c>
      <c r="AL14" s="4">
        <f t="shared" si="53"/>
        <v>48.254667927632312</v>
      </c>
      <c r="AM14" s="4">
        <f t="shared" si="53"/>
        <v>48.737214606908637</v>
      </c>
      <c r="AN14" s="4">
        <f t="shared" si="53"/>
        <v>49.224586752977721</v>
      </c>
      <c r="AO14" s="4"/>
      <c r="AP14" s="4"/>
    </row>
    <row r="15" spans="1:45" s="3" customFormat="1">
      <c r="B15" s="3" t="s">
        <v>27</v>
      </c>
      <c r="C15" s="4">
        <v>12.409000000000001</v>
      </c>
      <c r="D15" s="4">
        <v>14.324999999999999</v>
      </c>
      <c r="E15" s="4">
        <v>16.239999999999998</v>
      </c>
      <c r="F15" s="4">
        <v>15.622</v>
      </c>
      <c r="G15" s="4">
        <v>19.645</v>
      </c>
      <c r="H15" s="4">
        <v>21.977</v>
      </c>
      <c r="I15" s="4">
        <v>23.96</v>
      </c>
      <c r="J15" s="4">
        <v>24.561</v>
      </c>
      <c r="K15" s="4">
        <v>26.122</v>
      </c>
      <c r="L15" s="4">
        <v>30.277999999999999</v>
      </c>
      <c r="M15" s="4">
        <v>32.078000000000003</v>
      </c>
      <c r="N15" s="4">
        <v>28.698</v>
      </c>
      <c r="O15" s="4">
        <v>28.292000000000002</v>
      </c>
      <c r="P15" s="4">
        <v>31.824000000000002</v>
      </c>
      <c r="Q15" s="4">
        <v>29.033999999999999</v>
      </c>
      <c r="R15" s="4">
        <v>27.922999999999998</v>
      </c>
      <c r="S15" s="4">
        <v>27.832000000000001</v>
      </c>
      <c r="T15" s="4">
        <v>26.983000000000001</v>
      </c>
      <c r="U15" s="4">
        <f t="shared" si="52"/>
        <v>24.678899999999999</v>
      </c>
      <c r="V15" s="4">
        <f t="shared" si="52"/>
        <v>23.734549999999999</v>
      </c>
      <c r="W15" s="4"/>
      <c r="X15" s="4"/>
      <c r="Y15" s="4"/>
      <c r="Z15" s="4"/>
      <c r="AA15" s="4"/>
      <c r="AB15" s="4">
        <v>90.143000000000001</v>
      </c>
      <c r="AC15" s="4">
        <v>117.176</v>
      </c>
      <c r="AD15" s="4">
        <v>117.39</v>
      </c>
      <c r="AE15" s="4">
        <f t="shared" ref="AE15:AE18" si="54">SUM(S15:V15)</f>
        <v>103.22845</v>
      </c>
      <c r="AF15" s="4">
        <f>+AE15*0.8</f>
        <v>82.582760000000007</v>
      </c>
      <c r="AG15" s="4">
        <f>+AF15*1.03</f>
        <v>85.060242800000012</v>
      </c>
      <c r="AH15" s="4">
        <f t="shared" ref="AH15:AN15" si="55">+AG15*1.03</f>
        <v>87.612050084000018</v>
      </c>
      <c r="AI15" s="4">
        <f t="shared" si="55"/>
        <v>90.240411586520025</v>
      </c>
      <c r="AJ15" s="4">
        <f t="shared" si="55"/>
        <v>92.947623934115626</v>
      </c>
      <c r="AK15" s="4">
        <f t="shared" si="55"/>
        <v>95.736052652139094</v>
      </c>
      <c r="AL15" s="4">
        <f t="shared" si="55"/>
        <v>98.608134231703275</v>
      </c>
      <c r="AM15" s="4">
        <f t="shared" si="55"/>
        <v>101.56637825865438</v>
      </c>
      <c r="AN15" s="4">
        <f t="shared" si="55"/>
        <v>104.61336960641401</v>
      </c>
      <c r="AO15" s="4"/>
      <c r="AP15" s="4"/>
    </row>
    <row r="16" spans="1:45" s="3" customFormat="1">
      <c r="B16" s="3" t="s">
        <v>26</v>
      </c>
      <c r="C16" s="4">
        <v>17.606000000000002</v>
      </c>
      <c r="D16" s="4">
        <v>27.622</v>
      </c>
      <c r="E16" s="4">
        <v>26.088000000000001</v>
      </c>
      <c r="F16" s="4">
        <v>8.9139999999999997</v>
      </c>
      <c r="G16" s="4">
        <v>19.722000000000001</v>
      </c>
      <c r="H16" s="4">
        <v>27.959</v>
      </c>
      <c r="I16" s="4">
        <v>28.189</v>
      </c>
      <c r="J16" s="4">
        <v>11.613</v>
      </c>
      <c r="K16" s="4">
        <v>23.481000000000002</v>
      </c>
      <c r="L16" s="4">
        <v>35.92</v>
      </c>
      <c r="M16" s="4">
        <v>22.507999999999999</v>
      </c>
      <c r="N16" s="4">
        <v>5.4770000000000003</v>
      </c>
      <c r="O16" s="4">
        <v>18.829000000000001</v>
      </c>
      <c r="P16" s="4">
        <v>25.518999999999998</v>
      </c>
      <c r="Q16" s="4">
        <v>23.45</v>
      </c>
      <c r="R16" s="4">
        <v>6.2889999999999997</v>
      </c>
      <c r="S16" s="4">
        <v>19.114999999999998</v>
      </c>
      <c r="T16" s="4">
        <v>14.432</v>
      </c>
      <c r="U16" s="4">
        <f t="shared" ref="U16:V18" si="56">+Q16</f>
        <v>23.45</v>
      </c>
      <c r="V16" s="4">
        <f t="shared" si="56"/>
        <v>6.2889999999999997</v>
      </c>
      <c r="W16" s="4"/>
      <c r="X16" s="4"/>
      <c r="Y16" s="4"/>
      <c r="Z16" s="4"/>
      <c r="AA16" s="4"/>
      <c r="AB16" s="4">
        <v>87.483000000000004</v>
      </c>
      <c r="AC16" s="4">
        <v>87.385999999999996</v>
      </c>
      <c r="AD16" s="4">
        <v>71.534000000000006</v>
      </c>
      <c r="AE16" s="4">
        <f t="shared" si="54"/>
        <v>63.286000000000001</v>
      </c>
      <c r="AF16" s="4">
        <f>+AE16*0.8</f>
        <v>50.628800000000005</v>
      </c>
      <c r="AG16" s="4">
        <f>+AF16*1.01</f>
        <v>51.135088000000003</v>
      </c>
      <c r="AH16" s="4">
        <f t="shared" ref="AH16:AN16" si="57">+AG16*1.01</f>
        <v>51.646438880000005</v>
      </c>
      <c r="AI16" s="4">
        <f t="shared" si="57"/>
        <v>52.162903268800008</v>
      </c>
      <c r="AJ16" s="4">
        <f t="shared" si="57"/>
        <v>52.684532301488005</v>
      </c>
      <c r="AK16" s="4">
        <f t="shared" si="57"/>
        <v>53.211377624502887</v>
      </c>
      <c r="AL16" s="4">
        <f t="shared" si="57"/>
        <v>53.743491400747914</v>
      </c>
      <c r="AM16" s="4">
        <f t="shared" si="57"/>
        <v>54.280926314755391</v>
      </c>
      <c r="AN16" s="4">
        <f t="shared" si="57"/>
        <v>54.823735577902944</v>
      </c>
      <c r="AO16" s="4"/>
      <c r="AP16" s="4"/>
    </row>
    <row r="17" spans="2:94" s="3" customFormat="1">
      <c r="B17" s="3" t="s">
        <v>25</v>
      </c>
      <c r="C17" s="4">
        <v>3.1269999999999998</v>
      </c>
      <c r="D17" s="4">
        <v>4.1909999999999998</v>
      </c>
      <c r="E17" s="4">
        <v>4.9050000000000002</v>
      </c>
      <c r="F17" s="4">
        <v>4.6470000000000002</v>
      </c>
      <c r="G17" s="4">
        <v>5.5949999999999998</v>
      </c>
      <c r="H17" s="4">
        <v>6.8120000000000003</v>
      </c>
      <c r="I17" s="4">
        <v>6.9420000000000002</v>
      </c>
      <c r="J17" s="4">
        <v>6.8479999999999999</v>
      </c>
      <c r="K17" s="4">
        <v>7.4569999999999999</v>
      </c>
      <c r="L17" s="4">
        <v>8.09</v>
      </c>
      <c r="M17" s="4">
        <v>8.6959999999999997</v>
      </c>
      <c r="N17" s="4">
        <v>9.7959999999999994</v>
      </c>
      <c r="O17" s="4">
        <v>8.4160000000000004</v>
      </c>
      <c r="P17" s="4">
        <v>9.5709999999999997</v>
      </c>
      <c r="Q17" s="4">
        <v>8.99</v>
      </c>
      <c r="R17" s="4">
        <v>9.6839999999999993</v>
      </c>
      <c r="S17" s="4">
        <v>10.034000000000001</v>
      </c>
      <c r="T17" s="4">
        <v>13.323</v>
      </c>
      <c r="U17" s="4">
        <f t="shared" si="56"/>
        <v>8.99</v>
      </c>
      <c r="V17" s="4">
        <f t="shared" si="56"/>
        <v>9.6839999999999993</v>
      </c>
      <c r="W17" s="4"/>
      <c r="X17" s="4"/>
      <c r="Y17" s="4"/>
      <c r="Z17" s="4"/>
      <c r="AA17" s="4"/>
      <c r="AB17" s="4">
        <v>27.57</v>
      </c>
      <c r="AC17" s="4">
        <v>34.039000000000001</v>
      </c>
      <c r="AD17" s="4">
        <v>36.661000000000001</v>
      </c>
      <c r="AE17" s="4">
        <f t="shared" si="54"/>
        <v>42.030999999999999</v>
      </c>
      <c r="AF17" s="4">
        <f>+AE17*0.99</f>
        <v>41.610689999999998</v>
      </c>
      <c r="AG17" s="4">
        <f t="shared" ref="AG17:AN17" si="58">+AF17*0.99</f>
        <v>41.194583099999996</v>
      </c>
      <c r="AH17" s="4">
        <f t="shared" si="58"/>
        <v>40.782637268999999</v>
      </c>
      <c r="AI17" s="4">
        <f t="shared" si="58"/>
        <v>40.374810896309995</v>
      </c>
      <c r="AJ17" s="4">
        <f t="shared" si="58"/>
        <v>39.971062787346895</v>
      </c>
      <c r="AK17" s="4">
        <f t="shared" si="58"/>
        <v>39.571352159473427</v>
      </c>
      <c r="AL17" s="4">
        <f t="shared" si="58"/>
        <v>39.175638637878691</v>
      </c>
      <c r="AM17" s="4">
        <f t="shared" si="58"/>
        <v>38.783882251499904</v>
      </c>
      <c r="AN17" s="4">
        <f t="shared" si="58"/>
        <v>38.396043428984903</v>
      </c>
      <c r="AO17" s="4"/>
      <c r="AP17" s="4"/>
    </row>
    <row r="18" spans="2:94" s="3" customFormat="1">
      <c r="B18" s="3" t="s">
        <v>24</v>
      </c>
      <c r="C18" s="4">
        <v>5.1710000000000003</v>
      </c>
      <c r="D18" s="4">
        <v>6.58</v>
      </c>
      <c r="E18" s="4">
        <v>5.6689999999999996</v>
      </c>
      <c r="F18" s="4">
        <v>6.6349999999999998</v>
      </c>
      <c r="G18" s="4">
        <v>6.38</v>
      </c>
      <c r="H18" s="4">
        <v>6.218</v>
      </c>
      <c r="I18" s="4">
        <v>8.4209999999999994</v>
      </c>
      <c r="J18" s="4">
        <v>11.808999999999999</v>
      </c>
      <c r="K18" s="4">
        <v>7.3559999999999999</v>
      </c>
      <c r="L18" s="4">
        <v>9.0850000000000009</v>
      </c>
      <c r="M18" s="4">
        <v>8.6389999999999993</v>
      </c>
      <c r="N18" s="4">
        <v>8.9320000000000004</v>
      </c>
      <c r="O18" s="4">
        <v>8.7260000000000009</v>
      </c>
      <c r="P18" s="4">
        <v>12.521000000000001</v>
      </c>
      <c r="Q18" s="4">
        <v>10.721</v>
      </c>
      <c r="R18" s="4">
        <v>15.004</v>
      </c>
      <c r="S18" s="4">
        <v>18.047000000000001</v>
      </c>
      <c r="T18" s="4">
        <v>11.994999999999999</v>
      </c>
      <c r="U18" s="4">
        <f t="shared" si="56"/>
        <v>10.721</v>
      </c>
      <c r="V18" s="4">
        <f t="shared" si="56"/>
        <v>15.004</v>
      </c>
      <c r="W18" s="4"/>
      <c r="X18" s="4"/>
      <c r="Y18" s="4"/>
      <c r="Z18" s="4"/>
      <c r="AA18" s="4"/>
      <c r="AB18" s="4">
        <v>31.454999999999998</v>
      </c>
      <c r="AC18" s="4">
        <v>34.012</v>
      </c>
      <c r="AD18" s="4">
        <v>49.207999999999998</v>
      </c>
      <c r="AE18" s="4">
        <f t="shared" si="54"/>
        <v>55.767000000000003</v>
      </c>
      <c r="AF18" s="4">
        <f>+AE18+10*0.99</f>
        <v>65.667000000000002</v>
      </c>
      <c r="AG18" s="4">
        <f t="shared" ref="AG18:AN18" si="59">+AF18*0.99</f>
        <v>65.010329999999996</v>
      </c>
      <c r="AH18" s="4">
        <f t="shared" si="59"/>
        <v>64.360226699999998</v>
      </c>
      <c r="AI18" s="4">
        <f t="shared" si="59"/>
        <v>63.716624433</v>
      </c>
      <c r="AJ18" s="4">
        <f t="shared" si="59"/>
        <v>63.079458188669996</v>
      </c>
      <c r="AK18" s="4">
        <f t="shared" si="59"/>
        <v>62.448663606783292</v>
      </c>
      <c r="AL18" s="4">
        <f t="shared" si="59"/>
        <v>61.824176970715456</v>
      </c>
      <c r="AM18" s="4">
        <f t="shared" si="59"/>
        <v>61.205935201008302</v>
      </c>
      <c r="AN18" s="4">
        <f t="shared" si="59"/>
        <v>60.593875848998216</v>
      </c>
      <c r="AO18" s="4"/>
      <c r="AP18" s="4"/>
    </row>
    <row r="19" spans="2:94" s="3" customFormat="1">
      <c r="B19" s="3" t="s">
        <v>23</v>
      </c>
      <c r="C19" s="4">
        <f t="shared" ref="C19" si="60">SUM(C14:C18)</f>
        <v>44.088000000000008</v>
      </c>
      <c r="D19" s="4">
        <f t="shared" ref="D19" si="61">SUM(D14:D18)</f>
        <v>59.433999999999997</v>
      </c>
      <c r="E19" s="4">
        <f t="shared" ref="E19:F19" si="62">SUM(E14:E18)</f>
        <v>60.042000000000002</v>
      </c>
      <c r="F19" s="4">
        <f t="shared" si="62"/>
        <v>43.267999999999994</v>
      </c>
      <c r="G19" s="4">
        <f t="shared" ref="G19" si="63">SUM(G14:G18)</f>
        <v>59.64</v>
      </c>
      <c r="H19" s="4">
        <f t="shared" ref="H19" si="64">SUM(H14:H18)</f>
        <v>73.070000000000007</v>
      </c>
      <c r="I19" s="4">
        <f t="shared" ref="I19:J19" si="65">SUM(I14:I18)</f>
        <v>78.527999999999992</v>
      </c>
      <c r="J19" s="4">
        <f t="shared" si="65"/>
        <v>65.484999999999999</v>
      </c>
      <c r="K19" s="4">
        <f t="shared" ref="K19" si="66">SUM(K14:K18)</f>
        <v>75.963999999999999</v>
      </c>
      <c r="L19" s="4">
        <f t="shared" ref="L19:S19" si="67">SUM(L14:L18)</f>
        <v>97.119</v>
      </c>
      <c r="M19" s="4">
        <f t="shared" si="67"/>
        <v>86.039999999999992</v>
      </c>
      <c r="N19" s="4">
        <f t="shared" si="67"/>
        <v>66.25</v>
      </c>
      <c r="O19" s="4">
        <f t="shared" si="67"/>
        <v>78.260999999999996</v>
      </c>
      <c r="P19" s="4">
        <f t="shared" si="67"/>
        <v>94.891000000000005</v>
      </c>
      <c r="Q19" s="4">
        <f t="shared" si="67"/>
        <v>86.216999999999999</v>
      </c>
      <c r="R19" s="4">
        <f t="shared" si="67"/>
        <v>71.498000000000005</v>
      </c>
      <c r="S19" s="4">
        <f t="shared" si="67"/>
        <v>87.236999999999995</v>
      </c>
      <c r="T19" s="4">
        <f>SUM(T14:T18)</f>
        <v>76.905000000000001</v>
      </c>
      <c r="U19" s="4">
        <f t="shared" ref="U19" si="68">SUM(U14:U18)</f>
        <v>79.758600000000001</v>
      </c>
      <c r="V19" s="4">
        <f t="shared" ref="V19" si="69">SUM(V14:V18)</f>
        <v>65.419849999999997</v>
      </c>
      <c r="W19" s="4"/>
      <c r="X19" s="4"/>
      <c r="Y19" s="4"/>
      <c r="Z19" s="4"/>
      <c r="AA19" s="4"/>
      <c r="AB19" s="4">
        <f>SUM(AB14:AB18)</f>
        <v>276.72300000000001</v>
      </c>
      <c r="AC19" s="4">
        <f>SUM(AC14:AC18)</f>
        <v>325.37299999999999</v>
      </c>
      <c r="AD19" s="4">
        <f>SUM(AD14:AD18)</f>
        <v>330.86699999999996</v>
      </c>
      <c r="AE19" s="4">
        <f t="shared" ref="AE19" si="70">SUM(AE14:AE18)</f>
        <v>309.32044999999999</v>
      </c>
      <c r="AF19" s="4">
        <f t="shared" ref="AF19" si="71">SUM(AF14:AF18)</f>
        <v>285.94733000000002</v>
      </c>
      <c r="AG19" s="4">
        <f t="shared" ref="AG19" si="72">SUM(AG14:AG18)</f>
        <v>288.31290469999999</v>
      </c>
      <c r="AH19" s="4">
        <f t="shared" ref="AH19" si="73">SUM(AH14:AH18)</f>
        <v>290.77314034100004</v>
      </c>
      <c r="AI19" s="4">
        <f t="shared" ref="AI19" si="74">SUM(AI14:AI18)</f>
        <v>293.33025546671001</v>
      </c>
      <c r="AJ19" s="4">
        <f t="shared" ref="AJ19" si="75">SUM(AJ14:AJ18)</f>
        <v>295.98653754652133</v>
      </c>
      <c r="AK19" s="4">
        <f t="shared" ref="AK19" si="76">SUM(AK14:AK18)</f>
        <v>298.74434498114852</v>
      </c>
      <c r="AL19" s="4">
        <f t="shared" ref="AL19" si="77">SUM(AL14:AL18)</f>
        <v>301.60610916867768</v>
      </c>
      <c r="AM19" s="4">
        <f t="shared" ref="AM19" si="78">SUM(AM14:AM18)</f>
        <v>304.5743366328266</v>
      </c>
      <c r="AN19" s="4">
        <f t="shared" ref="AN19" si="79">SUM(AN14:AN18)</f>
        <v>307.6516112152778</v>
      </c>
      <c r="AO19" s="4"/>
      <c r="AP19" s="4"/>
    </row>
    <row r="20" spans="2:94" s="3" customFormat="1">
      <c r="B20" s="3" t="s">
        <v>22</v>
      </c>
      <c r="C20" s="4">
        <f t="shared" ref="C20" si="80">C13-C19</f>
        <v>-12.994000000000007</v>
      </c>
      <c r="D20" s="4">
        <f t="shared" ref="D20" si="81">D13-D19</f>
        <v>-22.93</v>
      </c>
      <c r="E20" s="4">
        <f t="shared" ref="E20:F20" si="82">E13-E19</f>
        <v>-18.020000000000003</v>
      </c>
      <c r="F20" s="4">
        <f t="shared" si="82"/>
        <v>2.9110000000000014</v>
      </c>
      <c r="G20" s="4">
        <f t="shared" ref="G20" si="83">G13-G19</f>
        <v>-7.4690000000000012</v>
      </c>
      <c r="H20" s="4">
        <f t="shared" ref="H20" si="84">H13-H19</f>
        <v>-13.855000000000004</v>
      </c>
      <c r="I20" s="4">
        <f t="shared" ref="I20:J20" si="85">I13-I19</f>
        <v>-13.027999999999992</v>
      </c>
      <c r="J20" s="4">
        <f t="shared" si="85"/>
        <v>3.2710000000000008</v>
      </c>
      <c r="K20" s="4">
        <f t="shared" ref="K20" si="86">K13-K19</f>
        <v>-3.3070000000000022</v>
      </c>
      <c r="L20" s="4">
        <f t="shared" ref="L20:S20" si="87">L13-L19</f>
        <v>-18.222999999999999</v>
      </c>
      <c r="M20" s="4">
        <f t="shared" si="87"/>
        <v>-4.7339999999999947</v>
      </c>
      <c r="N20" s="4">
        <f t="shared" si="87"/>
        <v>15.902000000000001</v>
      </c>
      <c r="O20" s="4">
        <f t="shared" si="87"/>
        <v>5.2819999999999965</v>
      </c>
      <c r="P20" s="4">
        <f t="shared" si="87"/>
        <v>-7.5560000000000116</v>
      </c>
      <c r="Q20" s="4">
        <f t="shared" si="87"/>
        <v>0.77499999999999147</v>
      </c>
      <c r="R20" s="4">
        <f t="shared" si="87"/>
        <v>14.756999999999991</v>
      </c>
      <c r="S20" s="4">
        <f t="shared" si="87"/>
        <v>-3.380999999999986</v>
      </c>
      <c r="T20" s="4">
        <f>T13-T19</f>
        <v>6.1550000000000011</v>
      </c>
      <c r="U20" s="4">
        <f t="shared" ref="U20" si="88">U13-U19</f>
        <v>2.8837999999999795</v>
      </c>
      <c r="V20" s="4">
        <f t="shared" ref="V20" si="89">V13-V19</f>
        <v>16.522400000000005</v>
      </c>
      <c r="W20" s="4"/>
      <c r="X20" s="4"/>
      <c r="Y20" s="4"/>
      <c r="Z20" s="4"/>
      <c r="AA20" s="4"/>
      <c r="AB20" s="4">
        <f>AB13-AB19</f>
        <v>-31.081000000000017</v>
      </c>
      <c r="AC20" s="4">
        <f>AC13-AC19</f>
        <v>-10.362000000000023</v>
      </c>
      <c r="AD20" s="4">
        <f>AD13-AD19</f>
        <v>13.258000000000038</v>
      </c>
      <c r="AE20" s="4">
        <f t="shared" ref="AE20" si="90">AE13-AE19</f>
        <v>22.180199999999957</v>
      </c>
      <c r="AF20" s="4">
        <f t="shared" ref="AF20" si="91">AF13-AF19</f>
        <v>51.736421800000016</v>
      </c>
      <c r="AG20" s="4">
        <f t="shared" ref="AG20" si="92">AG13-AG19</f>
        <v>59.463637997800049</v>
      </c>
      <c r="AH20" s="4">
        <f t="shared" ref="AH20" si="93">AH13-AH19</f>
        <v>70.589332504343815</v>
      </c>
      <c r="AI20" s="4">
        <f t="shared" ref="AI20" si="94">AI13-AI19</f>
        <v>78.10102619868826</v>
      </c>
      <c r="AJ20" s="4">
        <f t="shared" ref="AJ20" si="95">AJ13-AJ19</f>
        <v>87.66626112641012</v>
      </c>
      <c r="AK20" s="4">
        <f t="shared" ref="AK20" si="96">AK13-AK19</f>
        <v>99.062960628844507</v>
      </c>
      <c r="AL20" s="4">
        <f t="shared" ref="AL20" si="97">AL13-AL19</f>
        <v>112.12358636454991</v>
      </c>
      <c r="AM20" s="4">
        <f t="shared" ref="AM20" si="98">AM13-AM19</f>
        <v>126.72475370187755</v>
      </c>
      <c r="AN20" s="4">
        <f t="shared" ref="AN20" si="99">AN13-AN19</f>
        <v>142.77895085635851</v>
      </c>
      <c r="AO20" s="4"/>
      <c r="AP20" s="4"/>
    </row>
    <row r="21" spans="2:94" s="3" customFormat="1">
      <c r="B21" s="3" t="s">
        <v>32</v>
      </c>
      <c r="C21" s="4">
        <v>-0.45</v>
      </c>
      <c r="D21" s="4">
        <v>-0.45700000000000002</v>
      </c>
      <c r="E21" s="4">
        <v>-0.46700000000000003</v>
      </c>
      <c r="F21" s="4">
        <v>-0.47599999999999998</v>
      </c>
      <c r="G21" s="4">
        <v>-0.46300000000000002</v>
      </c>
      <c r="H21" s="4">
        <v>-0.46400000000000002</v>
      </c>
      <c r="I21" s="4">
        <v>-0.46800000000000003</v>
      </c>
      <c r="J21" s="4">
        <v>-0.47299999999999998</v>
      </c>
      <c r="K21" s="4">
        <v>-0.46100000000000002</v>
      </c>
      <c r="L21" s="4">
        <v>-0.11799999999999999</v>
      </c>
      <c r="M21" s="4">
        <v>0</v>
      </c>
      <c r="N21" s="4">
        <v>-0.624</v>
      </c>
      <c r="O21" s="4">
        <v>-0.91200000000000003</v>
      </c>
      <c r="P21" s="4">
        <v>-0.78400000000000003</v>
      </c>
      <c r="Q21" s="4">
        <v>-0.68400000000000005</v>
      </c>
      <c r="R21" s="4">
        <v>-0.59099999999999997</v>
      </c>
      <c r="S21" s="4">
        <v>-0.61599999999999999</v>
      </c>
      <c r="T21" s="4">
        <v>-1.3520000000000001</v>
      </c>
      <c r="U21" s="4">
        <f t="shared" ref="U21:V21" si="100">+Q21</f>
        <v>-0.68400000000000005</v>
      </c>
      <c r="V21" s="4">
        <f t="shared" si="100"/>
        <v>-0.59099999999999997</v>
      </c>
      <c r="W21" s="4"/>
      <c r="X21" s="4"/>
      <c r="Y21" s="4"/>
      <c r="Z21" s="4"/>
      <c r="AA21" s="4"/>
      <c r="AB21" s="4">
        <v>-1.8680000000000001</v>
      </c>
      <c r="AC21" s="4">
        <v>-1.2030000000000001</v>
      </c>
      <c r="AD21" s="4">
        <v>-2.9710000000000001</v>
      </c>
      <c r="AE21" s="4">
        <f t="shared" ref="AE21:AE23" si="101">SUM(S21:V21)</f>
        <v>-3.2430000000000003</v>
      </c>
      <c r="AF21" s="4">
        <f>+AE37*$AR$28</f>
        <v>0.12323279999999986</v>
      </c>
      <c r="AG21" s="4">
        <f t="shared" ref="AG21:AN21" si="102">+AF37*$AR$28</f>
        <v>0.4603205548999999</v>
      </c>
      <c r="AH21" s="4">
        <f t="shared" si="102"/>
        <v>0.84982628549255024</v>
      </c>
      <c r="AI21" s="4">
        <f t="shared" si="102"/>
        <v>1.3141808176264869</v>
      </c>
      <c r="AJ21" s="4">
        <f t="shared" si="102"/>
        <v>1.8303796632325326</v>
      </c>
      <c r="AK21" s="4">
        <f t="shared" si="102"/>
        <v>2.41210782836521</v>
      </c>
      <c r="AL21" s="4">
        <f t="shared" si="102"/>
        <v>3.0716957733370731</v>
      </c>
      <c r="AM21" s="4">
        <f t="shared" si="102"/>
        <v>3.8204651072333391</v>
      </c>
      <c r="AN21" s="4">
        <f t="shared" si="102"/>
        <v>4.6690090294925595</v>
      </c>
      <c r="AO21" s="4"/>
      <c r="AP21" s="4"/>
    </row>
    <row r="22" spans="2:94" s="3" customFormat="1">
      <c r="B22" s="3" t="s">
        <v>31</v>
      </c>
      <c r="C22" s="4">
        <f t="shared" ref="C22" si="103">+C20+C21</f>
        <v>-13.444000000000006</v>
      </c>
      <c r="D22" s="4">
        <f t="shared" ref="D22" si="104">+D20+D21</f>
        <v>-23.387</v>
      </c>
      <c r="E22" s="4">
        <f t="shared" ref="E22:F22" si="105">+E20+E21</f>
        <v>-18.487000000000002</v>
      </c>
      <c r="F22" s="4">
        <f t="shared" si="105"/>
        <v>2.4350000000000014</v>
      </c>
      <c r="G22" s="4">
        <f t="shared" ref="G22" si="106">+G20+G21</f>
        <v>-7.9320000000000013</v>
      </c>
      <c r="H22" s="4">
        <f t="shared" ref="H22" si="107">+H20+H21</f>
        <v>-14.319000000000004</v>
      </c>
      <c r="I22" s="4">
        <f t="shared" ref="I22:J22" si="108">+I20+I21</f>
        <v>-13.495999999999992</v>
      </c>
      <c r="J22" s="4">
        <f t="shared" si="108"/>
        <v>2.7980000000000009</v>
      </c>
      <c r="K22" s="4">
        <f t="shared" ref="K22" si="109">+K20+K21</f>
        <v>-3.768000000000002</v>
      </c>
      <c r="L22" s="4">
        <f t="shared" ref="L22:S22" si="110">+L20+L21</f>
        <v>-18.340999999999998</v>
      </c>
      <c r="M22" s="4">
        <f t="shared" si="110"/>
        <v>-4.7339999999999947</v>
      </c>
      <c r="N22" s="4">
        <f t="shared" si="110"/>
        <v>15.278</v>
      </c>
      <c r="O22" s="4">
        <f t="shared" si="110"/>
        <v>4.3699999999999966</v>
      </c>
      <c r="P22" s="4">
        <f t="shared" si="110"/>
        <v>-8.3400000000000123</v>
      </c>
      <c r="Q22" s="4">
        <f t="shared" si="110"/>
        <v>9.0999999999991421E-2</v>
      </c>
      <c r="R22" s="4">
        <f t="shared" si="110"/>
        <v>14.165999999999991</v>
      </c>
      <c r="S22" s="4">
        <f t="shared" si="110"/>
        <v>-3.9969999999999861</v>
      </c>
      <c r="T22" s="4">
        <f t="shared" ref="T22" si="111">+T20+T21</f>
        <v>4.8030000000000008</v>
      </c>
      <c r="U22" s="4">
        <f t="shared" ref="U22" si="112">+U20+U21</f>
        <v>2.1997999999999793</v>
      </c>
      <c r="V22" s="4">
        <f t="shared" ref="V22" si="113">+V20+V21</f>
        <v>15.931400000000005</v>
      </c>
      <c r="W22" s="4"/>
      <c r="X22" s="4"/>
      <c r="Y22" s="4"/>
      <c r="Z22" s="4"/>
      <c r="AA22" s="4"/>
      <c r="AB22" s="4">
        <f>+AB20+AB21</f>
        <v>-32.949000000000019</v>
      </c>
      <c r="AC22" s="4">
        <f>+AC20+AC21</f>
        <v>-11.565000000000023</v>
      </c>
      <c r="AD22" s="4">
        <f>+AD20+AD21</f>
        <v>10.287000000000038</v>
      </c>
      <c r="AE22" s="4">
        <f>+AE20+AE21</f>
        <v>18.937199999999955</v>
      </c>
      <c r="AF22" s="4">
        <f t="shared" ref="AF22:AN22" si="114">+AF20+AF21</f>
        <v>51.859654600000013</v>
      </c>
      <c r="AG22" s="4">
        <f t="shared" si="114"/>
        <v>59.92395855270005</v>
      </c>
      <c r="AH22" s="4">
        <f t="shared" si="114"/>
        <v>71.43915878983637</v>
      </c>
      <c r="AI22" s="4">
        <f t="shared" si="114"/>
        <v>79.415207016314753</v>
      </c>
      <c r="AJ22" s="4">
        <f t="shared" si="114"/>
        <v>89.496640789642655</v>
      </c>
      <c r="AK22" s="4">
        <f t="shared" si="114"/>
        <v>101.47506845720972</v>
      </c>
      <c r="AL22" s="4">
        <f t="shared" si="114"/>
        <v>115.19528213788698</v>
      </c>
      <c r="AM22" s="4">
        <f t="shared" si="114"/>
        <v>130.54521880911088</v>
      </c>
      <c r="AN22" s="4">
        <f t="shared" si="114"/>
        <v>147.44795988585108</v>
      </c>
      <c r="AO22" s="4"/>
      <c r="AP22" s="4"/>
    </row>
    <row r="23" spans="2:94" s="3" customFormat="1">
      <c r="B23" s="3" t="s">
        <v>30</v>
      </c>
      <c r="C23" s="4">
        <v>0</v>
      </c>
      <c r="D23" s="4">
        <v>0</v>
      </c>
      <c r="E23" s="4">
        <v>0</v>
      </c>
      <c r="F23" s="4">
        <v>5.0000000000000001E-3</v>
      </c>
      <c r="G23" s="4">
        <v>1.4999999999999999E-2</v>
      </c>
      <c r="H23" s="4">
        <v>1.4999999999999999E-2</v>
      </c>
      <c r="I23" s="4">
        <v>1.4999999999999999E-2</v>
      </c>
      <c r="J23" s="4">
        <v>-5.0000000000000001E-3</v>
      </c>
      <c r="K23" s="4">
        <v>1.4999999999999999E-2</v>
      </c>
      <c r="L23" s="4">
        <v>1.4999999999999999E-2</v>
      </c>
      <c r="M23" s="4">
        <v>1.4999999999999999E-2</v>
      </c>
      <c r="N23" s="4">
        <v>6.0000000000000001E-3</v>
      </c>
      <c r="O23" s="4">
        <v>0.01</v>
      </c>
      <c r="P23" s="4">
        <v>8.9999999999999993E-3</v>
      </c>
      <c r="Q23" s="4">
        <v>8.9999999999999993E-3</v>
      </c>
      <c r="R23" s="4">
        <v>1.6E-2</v>
      </c>
      <c r="S23" s="4">
        <v>7.0000000000000001E-3</v>
      </c>
      <c r="T23" s="4">
        <v>6.0000000000000001E-3</v>
      </c>
      <c r="U23" s="4">
        <f t="shared" ref="U23:V23" si="115">+U22*0.35</f>
        <v>0.76992999999999268</v>
      </c>
      <c r="V23" s="4">
        <f t="shared" si="115"/>
        <v>5.5759900000000018</v>
      </c>
      <c r="W23" s="4"/>
      <c r="X23" s="4"/>
      <c r="Y23" s="4"/>
      <c r="Z23" s="4"/>
      <c r="AA23" s="4"/>
      <c r="AB23" s="4">
        <v>0.04</v>
      </c>
      <c r="AC23" s="4">
        <v>5.0999999999999997E-2</v>
      </c>
      <c r="AD23" s="4">
        <v>4.3999999999999997E-2</v>
      </c>
      <c r="AE23" s="4">
        <f t="shared" si="101"/>
        <v>6.3589199999999941</v>
      </c>
      <c r="AF23" s="4">
        <f>+AF22*0.35</f>
        <v>18.150879110000002</v>
      </c>
      <c r="AG23" s="4">
        <f t="shared" ref="AG23:AN23" si="116">+AG22*0.35</f>
        <v>20.973385493445015</v>
      </c>
      <c r="AH23" s="4">
        <f t="shared" si="116"/>
        <v>25.003705576442727</v>
      </c>
      <c r="AI23" s="4">
        <f t="shared" si="116"/>
        <v>27.795322455710163</v>
      </c>
      <c r="AJ23" s="4">
        <f t="shared" si="116"/>
        <v>31.323824276374928</v>
      </c>
      <c r="AK23" s="4">
        <f t="shared" si="116"/>
        <v>35.516273960023398</v>
      </c>
      <c r="AL23" s="4">
        <f t="shared" si="116"/>
        <v>40.318348748260441</v>
      </c>
      <c r="AM23" s="4">
        <f t="shared" si="116"/>
        <v>45.690826583188802</v>
      </c>
      <c r="AN23" s="4">
        <f t="shared" si="116"/>
        <v>51.606785960047873</v>
      </c>
      <c r="AO23" s="4"/>
      <c r="AP23" s="4"/>
    </row>
    <row r="24" spans="2:94" s="3" customFormat="1">
      <c r="B24" s="3" t="s">
        <v>29</v>
      </c>
      <c r="C24" s="4">
        <f t="shared" ref="C24" si="117">+C22-C23</f>
        <v>-13.444000000000006</v>
      </c>
      <c r="D24" s="4">
        <f t="shared" ref="D24" si="118">+D22-D23</f>
        <v>-23.387</v>
      </c>
      <c r="E24" s="4">
        <f t="shared" ref="E24:F24" si="119">+E22-E23</f>
        <v>-18.487000000000002</v>
      </c>
      <c r="F24" s="4">
        <f t="shared" si="119"/>
        <v>2.4300000000000015</v>
      </c>
      <c r="G24" s="4">
        <f t="shared" ref="G24" si="120">+G22-G23</f>
        <v>-7.947000000000001</v>
      </c>
      <c r="H24" s="4">
        <f t="shared" ref="H24" si="121">+H22-H23</f>
        <v>-14.334000000000005</v>
      </c>
      <c r="I24" s="4">
        <f t="shared" ref="I24:J24" si="122">+I22-I23</f>
        <v>-13.510999999999992</v>
      </c>
      <c r="J24" s="4">
        <f t="shared" si="122"/>
        <v>2.8030000000000008</v>
      </c>
      <c r="K24" s="4">
        <f t="shared" ref="K24" si="123">+K22-K23</f>
        <v>-3.7830000000000021</v>
      </c>
      <c r="L24" s="4">
        <f t="shared" ref="L24:S24" si="124">+L22-L23</f>
        <v>-18.355999999999998</v>
      </c>
      <c r="M24" s="4">
        <f t="shared" si="124"/>
        <v>-4.7489999999999943</v>
      </c>
      <c r="N24" s="4">
        <f t="shared" si="124"/>
        <v>15.272</v>
      </c>
      <c r="O24" s="4">
        <f t="shared" si="124"/>
        <v>4.3599999999999968</v>
      </c>
      <c r="P24" s="4">
        <f t="shared" si="124"/>
        <v>-8.3490000000000126</v>
      </c>
      <c r="Q24" s="4">
        <f t="shared" si="124"/>
        <v>8.1999999999991427E-2</v>
      </c>
      <c r="R24" s="4">
        <f t="shared" si="124"/>
        <v>14.149999999999991</v>
      </c>
      <c r="S24" s="4">
        <f t="shared" si="124"/>
        <v>-4.0039999999999862</v>
      </c>
      <c r="T24" s="4">
        <f>+T22-T23</f>
        <v>4.7970000000000006</v>
      </c>
      <c r="U24" s="4">
        <f t="shared" ref="U24" si="125">+U22-U23</f>
        <v>1.4298699999999867</v>
      </c>
      <c r="V24" s="4">
        <f t="shared" ref="V24" si="126">+V22-V23</f>
        <v>10.355410000000003</v>
      </c>
      <c r="W24" s="4"/>
      <c r="X24" s="4"/>
      <c r="Y24" s="4"/>
      <c r="Z24" s="4"/>
      <c r="AA24" s="4"/>
      <c r="AB24" s="4">
        <f>+AB22-AB23</f>
        <v>-32.989000000000019</v>
      </c>
      <c r="AC24" s="4">
        <f>+AC22-AC23</f>
        <v>-11.616000000000023</v>
      </c>
      <c r="AD24" s="4">
        <f>+AD22-AD23</f>
        <v>10.243000000000038</v>
      </c>
      <c r="AE24" s="4">
        <f>+AE22-AE23</f>
        <v>12.57827999999996</v>
      </c>
      <c r="AF24" s="4">
        <f t="shared" ref="AF24:AN24" si="127">+AF22-AF23</f>
        <v>33.708775490000008</v>
      </c>
      <c r="AG24" s="4">
        <f t="shared" si="127"/>
        <v>38.950573059255035</v>
      </c>
      <c r="AH24" s="4">
        <f t="shared" si="127"/>
        <v>46.435453213393643</v>
      </c>
      <c r="AI24" s="4">
        <f t="shared" si="127"/>
        <v>51.619884560604589</v>
      </c>
      <c r="AJ24" s="4">
        <f t="shared" si="127"/>
        <v>58.172816513267726</v>
      </c>
      <c r="AK24" s="4">
        <f t="shared" si="127"/>
        <v>65.958794497186318</v>
      </c>
      <c r="AL24" s="4">
        <f t="shared" si="127"/>
        <v>74.876933389626544</v>
      </c>
      <c r="AM24" s="4">
        <f t="shared" si="127"/>
        <v>84.854392225922084</v>
      </c>
      <c r="AN24" s="4">
        <f t="shared" si="127"/>
        <v>95.841173925803204</v>
      </c>
      <c r="AO24" s="4">
        <f>+AN24*(1+$AR$27)</f>
        <v>94.882762186545165</v>
      </c>
      <c r="AP24" s="4">
        <f t="shared" ref="AP24:CP24" si="128">+AO24*(1+$AR$27)</f>
        <v>93.933934564679717</v>
      </c>
      <c r="AQ24" s="4">
        <f t="shared" si="128"/>
        <v>92.994595219032917</v>
      </c>
      <c r="AR24" s="4">
        <f t="shared" si="128"/>
        <v>92.064649266842594</v>
      </c>
      <c r="AS24" s="4">
        <f t="shared" si="128"/>
        <v>91.144002774174169</v>
      </c>
      <c r="AT24" s="4">
        <f t="shared" si="128"/>
        <v>90.232562746432421</v>
      </c>
      <c r="AU24" s="4">
        <f t="shared" si="128"/>
        <v>89.3302371189681</v>
      </c>
      <c r="AV24" s="4">
        <f t="shared" si="128"/>
        <v>88.436934747778423</v>
      </c>
      <c r="AW24" s="4">
        <f t="shared" si="128"/>
        <v>87.552565400300637</v>
      </c>
      <c r="AX24" s="4">
        <f t="shared" si="128"/>
        <v>86.677039746297623</v>
      </c>
      <c r="AY24" s="4">
        <f t="shared" si="128"/>
        <v>85.810269348834652</v>
      </c>
      <c r="AZ24" s="4">
        <f t="shared" si="128"/>
        <v>84.952166655346304</v>
      </c>
      <c r="BA24" s="4">
        <f t="shared" si="128"/>
        <v>84.102644988792846</v>
      </c>
      <c r="BB24" s="4">
        <f t="shared" si="128"/>
        <v>83.261618538904912</v>
      </c>
      <c r="BC24" s="4">
        <f t="shared" si="128"/>
        <v>82.429002353515855</v>
      </c>
      <c r="BD24" s="4">
        <f t="shared" si="128"/>
        <v>81.6047123299807</v>
      </c>
      <c r="BE24" s="4">
        <f t="shared" si="128"/>
        <v>80.788665206680889</v>
      </c>
      <c r="BF24" s="4">
        <f t="shared" si="128"/>
        <v>79.980778554614076</v>
      </c>
      <c r="BG24" s="4">
        <f t="shared" si="128"/>
        <v>79.18097076906794</v>
      </c>
      <c r="BH24" s="4">
        <f t="shared" si="128"/>
        <v>78.389161061377266</v>
      </c>
      <c r="BI24" s="4">
        <f t="shared" si="128"/>
        <v>77.605269450763487</v>
      </c>
      <c r="BJ24" s="4">
        <f t="shared" si="128"/>
        <v>76.829216756255846</v>
      </c>
      <c r="BK24" s="4">
        <f t="shared" si="128"/>
        <v>76.060924588693283</v>
      </c>
      <c r="BL24" s="4">
        <f t="shared" si="128"/>
        <v>75.300315342806343</v>
      </c>
      <c r="BM24" s="4">
        <f t="shared" si="128"/>
        <v>74.547312189378275</v>
      </c>
      <c r="BN24" s="4">
        <f t="shared" si="128"/>
        <v>73.801839067484494</v>
      </c>
      <c r="BO24" s="4">
        <f t="shared" si="128"/>
        <v>73.063820676809655</v>
      </c>
      <c r="BP24" s="4">
        <f t="shared" si="128"/>
        <v>72.333182470041564</v>
      </c>
      <c r="BQ24" s="4">
        <f t="shared" si="128"/>
        <v>71.609850645341155</v>
      </c>
      <c r="BR24" s="4">
        <f t="shared" si="128"/>
        <v>70.893752138887749</v>
      </c>
      <c r="BS24" s="4">
        <f t="shared" si="128"/>
        <v>70.184814617498873</v>
      </c>
      <c r="BT24" s="4">
        <f t="shared" si="128"/>
        <v>69.482966471323877</v>
      </c>
      <c r="BU24" s="4">
        <f t="shared" si="128"/>
        <v>68.788136806610638</v>
      </c>
      <c r="BV24" s="4">
        <f t="shared" si="128"/>
        <v>68.100255438544536</v>
      </c>
      <c r="BW24" s="4">
        <f t="shared" si="128"/>
        <v>67.419252884159093</v>
      </c>
      <c r="BX24" s="4">
        <f t="shared" si="128"/>
        <v>66.745060355317506</v>
      </c>
      <c r="BY24" s="4">
        <f t="shared" si="128"/>
        <v>66.077609751764328</v>
      </c>
      <c r="BZ24" s="4">
        <f t="shared" si="128"/>
        <v>65.416833654246688</v>
      </c>
      <c r="CA24" s="4">
        <f t="shared" si="128"/>
        <v>64.762665317704219</v>
      </c>
      <c r="CB24" s="4">
        <f t="shared" si="128"/>
        <v>64.115038664527177</v>
      </c>
      <c r="CC24" s="4">
        <f t="shared" si="128"/>
        <v>63.473888277881905</v>
      </c>
      <c r="CD24" s="4">
        <f t="shared" si="128"/>
        <v>62.839149395103085</v>
      </c>
      <c r="CE24" s="4">
        <f t="shared" si="128"/>
        <v>62.210757901152057</v>
      </c>
      <c r="CF24" s="4">
        <f t="shared" si="128"/>
        <v>61.588650322140538</v>
      </c>
      <c r="CG24" s="4">
        <f t="shared" si="128"/>
        <v>60.972763818919134</v>
      </c>
      <c r="CH24" s="4">
        <f t="shared" si="128"/>
        <v>60.363036180729942</v>
      </c>
      <c r="CI24" s="4">
        <f t="shared" si="128"/>
        <v>59.759405818922644</v>
      </c>
      <c r="CJ24" s="4">
        <f t="shared" si="128"/>
        <v>59.161811760733414</v>
      </c>
      <c r="CK24" s="4">
        <f t="shared" si="128"/>
        <v>58.570193643126082</v>
      </c>
      <c r="CL24" s="4">
        <f t="shared" si="128"/>
        <v>57.984491706694818</v>
      </c>
      <c r="CM24" s="4">
        <f t="shared" si="128"/>
        <v>57.404646789627868</v>
      </c>
      <c r="CN24" s="4">
        <f t="shared" si="128"/>
        <v>56.830600321731588</v>
      </c>
      <c r="CO24" s="4">
        <f t="shared" si="128"/>
        <v>56.262294318514272</v>
      </c>
      <c r="CP24" s="4">
        <f t="shared" si="128"/>
        <v>55.699671375329132</v>
      </c>
    </row>
    <row r="25" spans="2:94">
      <c r="B25" s="3" t="s">
        <v>33</v>
      </c>
      <c r="C25" s="7">
        <f t="shared" ref="C25" si="129">C24/C26</f>
        <v>-0.23601016149790557</v>
      </c>
      <c r="D25" s="7">
        <f t="shared" ref="D25" si="130">D24/D26</f>
        <v>-0.40763622373973529</v>
      </c>
      <c r="E25" s="7">
        <f t="shared" ref="E25:F25" si="131">E24/E26</f>
        <v>-0.32001716082720605</v>
      </c>
      <c r="F25" s="7">
        <f t="shared" si="131"/>
        <v>4.1976886800601174E-2</v>
      </c>
      <c r="G25" s="7">
        <f t="shared" ref="G25" si="132">G24/G26</f>
        <v>-0.13713824933317886</v>
      </c>
      <c r="H25" s="7">
        <f t="shared" ref="H25" si="133">H24/H26</f>
        <v>-0.24650160838258187</v>
      </c>
      <c r="I25" s="7">
        <f t="shared" ref="I25:J25" si="134">I24/I26</f>
        <v>-0.23139509215993304</v>
      </c>
      <c r="J25" s="7">
        <f t="shared" si="134"/>
        <v>4.7594790552357678E-2</v>
      </c>
      <c r="K25" s="7">
        <f t="shared" ref="K25" si="135">K24/K26</f>
        <v>-6.4676362593161438E-2</v>
      </c>
      <c r="L25" s="7">
        <f t="shared" ref="L25:S25" si="136">L24/L26</f>
        <v>-0.31369734256173626</v>
      </c>
      <c r="M25" s="7">
        <f t="shared" si="136"/>
        <v>-8.1155903412683389E-2</v>
      </c>
      <c r="N25" s="7">
        <f t="shared" si="136"/>
        <v>0.26098398755917085</v>
      </c>
      <c r="O25" s="7">
        <f t="shared" si="136"/>
        <v>7.4509535853441736E-2</v>
      </c>
      <c r="P25" s="7">
        <f t="shared" si="136"/>
        <v>-0.14267648717466741</v>
      </c>
      <c r="Q25" s="7">
        <f t="shared" si="136"/>
        <v>1.4013021856894821E-3</v>
      </c>
      <c r="R25" s="7">
        <f t="shared" si="136"/>
        <v>0.2369311141622851</v>
      </c>
      <c r="S25" s="7">
        <f t="shared" si="136"/>
        <v>-6.8312490403152654E-2</v>
      </c>
      <c r="T25" s="7">
        <f t="shared" ref="T25" si="137">T24/T26</f>
        <v>8.0427268817709105E-2</v>
      </c>
      <c r="U25" s="7">
        <f t="shared" ref="U25" si="138">U24/U26</f>
        <v>2.3973428989863797E-2</v>
      </c>
      <c r="V25" s="7">
        <f t="shared" ref="V25" si="139">V24/V26</f>
        <v>0.17362045940954621</v>
      </c>
      <c r="W25" s="7"/>
      <c r="AB25" s="7">
        <f>AB24/AB26</f>
        <v>-0.56652026164721747</v>
      </c>
      <c r="AC25" s="7">
        <f>AC24/AC26</f>
        <v>-0.19852980611588744</v>
      </c>
      <c r="AD25" s="7">
        <f>AD24/AD26</f>
        <v>0.17425138801871473</v>
      </c>
      <c r="AE25" s="7">
        <f>AE24/AE26</f>
        <v>0.21180471814059471</v>
      </c>
      <c r="AF25" s="7">
        <f>AF24/AF26</f>
        <v>0.56761955462305347</v>
      </c>
      <c r="AG25" s="7">
        <f t="shared" ref="AG25:AN25" si="140">AG24/AG26</f>
        <v>0.65588579267039537</v>
      </c>
      <c r="AH25" s="7">
        <f t="shared" si="140"/>
        <v>0.78192313095221633</v>
      </c>
      <c r="AI25" s="7">
        <f t="shared" si="140"/>
        <v>0.86922338346808359</v>
      </c>
      <c r="AJ25" s="7">
        <f t="shared" si="140"/>
        <v>0.97956771554117439</v>
      </c>
      <c r="AK25" s="7">
        <f t="shared" si="140"/>
        <v>1.1106752177062365</v>
      </c>
      <c r="AL25" s="7">
        <f t="shared" si="140"/>
        <v>1.2608470929111122</v>
      </c>
      <c r="AM25" s="7">
        <f t="shared" si="140"/>
        <v>1.4288567775882675</v>
      </c>
      <c r="AN25" s="7">
        <f t="shared" si="140"/>
        <v>1.6138623746345706</v>
      </c>
    </row>
    <row r="26" spans="2:94" s="3" customFormat="1">
      <c r="B26" s="3" t="s">
        <v>1</v>
      </c>
      <c r="C26" s="4">
        <v>56.963648999999997</v>
      </c>
      <c r="D26" s="4">
        <v>57.372231999999997</v>
      </c>
      <c r="E26" s="4">
        <v>57.768777</v>
      </c>
      <c r="F26" s="4">
        <v>57.889000000000003</v>
      </c>
      <c r="G26" s="4">
        <v>57.948822</v>
      </c>
      <c r="H26" s="4">
        <v>58.149721999999997</v>
      </c>
      <c r="I26" s="4">
        <v>58.389310999999999</v>
      </c>
      <c r="J26" s="4">
        <v>58.893000000000001</v>
      </c>
      <c r="K26" s="4">
        <v>58.491230000000002</v>
      </c>
      <c r="L26" s="4">
        <v>58.515000000000001</v>
      </c>
      <c r="M26" s="4">
        <v>58.517000000000003</v>
      </c>
      <c r="N26" s="4">
        <v>58.517000000000003</v>
      </c>
      <c r="O26" s="4">
        <v>58.515999999999998</v>
      </c>
      <c r="P26" s="4">
        <v>58.517000000000003</v>
      </c>
      <c r="Q26" s="4">
        <v>58.517000000000003</v>
      </c>
      <c r="R26" s="4">
        <v>59.722000000000001</v>
      </c>
      <c r="S26" s="4">
        <v>58.613</v>
      </c>
      <c r="T26" s="4">
        <v>59.643949999999997</v>
      </c>
      <c r="U26" s="4">
        <f t="shared" ref="U26:V26" si="141">+T26</f>
        <v>59.643949999999997</v>
      </c>
      <c r="V26" s="4">
        <f t="shared" si="141"/>
        <v>59.643949999999997</v>
      </c>
      <c r="W26" s="4"/>
      <c r="X26" s="4"/>
      <c r="Y26" s="4"/>
      <c r="Z26" s="4"/>
      <c r="AA26" s="4"/>
      <c r="AB26" s="4">
        <v>58.230927000000001</v>
      </c>
      <c r="AC26" s="4">
        <v>58.510106</v>
      </c>
      <c r="AD26" s="4">
        <v>58.782888999999997</v>
      </c>
      <c r="AE26" s="4">
        <f>AVERAGE(S26:V26)</f>
        <v>59.386212499999992</v>
      </c>
      <c r="AF26" s="4">
        <f>+AE26</f>
        <v>59.386212499999992</v>
      </c>
      <c r="AG26" s="4">
        <f t="shared" ref="AG26:AN26" si="142">+AF26</f>
        <v>59.386212499999992</v>
      </c>
      <c r="AH26" s="4">
        <f t="shared" si="142"/>
        <v>59.386212499999992</v>
      </c>
      <c r="AI26" s="4">
        <f t="shared" si="142"/>
        <v>59.386212499999992</v>
      </c>
      <c r="AJ26" s="4">
        <f t="shared" si="142"/>
        <v>59.386212499999992</v>
      </c>
      <c r="AK26" s="4">
        <f t="shared" si="142"/>
        <v>59.386212499999992</v>
      </c>
      <c r="AL26" s="4">
        <f t="shared" si="142"/>
        <v>59.386212499999992</v>
      </c>
      <c r="AM26" s="4">
        <f t="shared" si="142"/>
        <v>59.386212499999992</v>
      </c>
      <c r="AN26" s="4">
        <f t="shared" si="142"/>
        <v>59.386212499999992</v>
      </c>
      <c r="AO26" s="4"/>
      <c r="AP26" s="4"/>
    </row>
    <row r="27" spans="2:94">
      <c r="AQ27" t="s">
        <v>145</v>
      </c>
      <c r="AR27" s="25">
        <v>-0.01</v>
      </c>
    </row>
    <row r="28" spans="2:94" s="12" customFormat="1">
      <c r="B28" s="5" t="s">
        <v>106</v>
      </c>
      <c r="C28" s="10"/>
      <c r="D28" s="10"/>
      <c r="E28" s="10"/>
      <c r="F28" s="10"/>
      <c r="G28" s="11">
        <f t="shared" ref="G28" si="143">G13/C13-1</f>
        <v>0.67784781629896429</v>
      </c>
      <c r="H28" s="11">
        <f t="shared" ref="H28" si="144">H13/D13-1</f>
        <v>0.62215099715099731</v>
      </c>
      <c r="I28" s="11">
        <f>I13/E13-1</f>
        <v>0.55870734377230979</v>
      </c>
      <c r="J28" s="11">
        <f>J13/F13-1</f>
        <v>0.48890188180774818</v>
      </c>
      <c r="K28" s="11">
        <f t="shared" ref="K28:O28" si="145">K13/G13-1</f>
        <v>0.39267025742270611</v>
      </c>
      <c r="L28" s="11">
        <f t="shared" si="145"/>
        <v>0.33236511019167425</v>
      </c>
      <c r="M28" s="11">
        <f t="shared" si="145"/>
        <v>0.2413129770992366</v>
      </c>
      <c r="N28" s="11">
        <f t="shared" si="145"/>
        <v>0.19483390540461931</v>
      </c>
      <c r="O28" s="11">
        <f t="shared" si="145"/>
        <v>0.1498272706002175</v>
      </c>
      <c r="P28" s="11">
        <f>P13/L13-1</f>
        <v>0.10696359764753582</v>
      </c>
      <c r="Q28" s="11">
        <f>Q13/M13-1</f>
        <v>6.9933338253019395E-2</v>
      </c>
      <c r="R28" s="11">
        <f>R13/N13-1</f>
        <v>4.9944006232349736E-2</v>
      </c>
      <c r="S28" s="11">
        <f>S13/O13-1</f>
        <v>3.7465736207702438E-3</v>
      </c>
      <c r="T28" s="11">
        <f>T13/P13-1</f>
        <v>-4.8949447529627155E-2</v>
      </c>
      <c r="U28" s="11">
        <f t="shared" ref="T28:V28" si="146">U13/Q13-1</f>
        <v>-5.0000000000000155E-2</v>
      </c>
      <c r="V28" s="11">
        <f t="shared" si="146"/>
        <v>-4.9999999999999933E-2</v>
      </c>
      <c r="W28" s="10"/>
      <c r="X28" s="10"/>
      <c r="Y28" s="10"/>
      <c r="Z28" s="10"/>
      <c r="AA28" s="10"/>
      <c r="AB28" s="11">
        <f t="shared" ref="AB28:AC28" si="147">AB13/AA13-1</f>
        <v>0.57665967047285283</v>
      </c>
      <c r="AC28" s="11">
        <f>AC13/AB13-1</f>
        <v>0.28239877545370895</v>
      </c>
      <c r="AD28" s="11">
        <f>AD13/AC13-1</f>
        <v>9.242216938456127E-2</v>
      </c>
      <c r="AE28" s="11">
        <f>AE13/AD13-1</f>
        <v>-3.668536142390133E-2</v>
      </c>
      <c r="AF28" s="11">
        <f t="shared" ref="AF28:AN28" si="148">AF13/AE13-1</f>
        <v>1.8651854227133668E-2</v>
      </c>
      <c r="AG28" s="11">
        <f t="shared" si="148"/>
        <v>2.9888292948657025E-2</v>
      </c>
      <c r="AH28" s="11">
        <f t="shared" si="148"/>
        <v>3.906511359896192E-2</v>
      </c>
      <c r="AI28" s="11">
        <f t="shared" si="148"/>
        <v>2.7863460034389442E-2</v>
      </c>
      <c r="AJ28" s="11">
        <f t="shared" si="148"/>
        <v>3.2903844158561846E-2</v>
      </c>
      <c r="AK28" s="11">
        <f t="shared" si="148"/>
        <v>3.6894053649608516E-2</v>
      </c>
      <c r="AL28" s="11">
        <f t="shared" si="148"/>
        <v>4.0025383392140901E-2</v>
      </c>
      <c r="AM28" s="11">
        <f t="shared" si="148"/>
        <v>4.2465878062807549E-2</v>
      </c>
      <c r="AN28" s="11">
        <f t="shared" si="148"/>
        <v>4.4357783648663496E-2</v>
      </c>
      <c r="AO28" s="10"/>
      <c r="AP28" s="10"/>
      <c r="AQ28" s="12" t="s">
        <v>144</v>
      </c>
      <c r="AR28" s="24">
        <v>0.01</v>
      </c>
    </row>
    <row r="29" spans="2:94" s="12" customFormat="1">
      <c r="B29" s="5" t="s">
        <v>138</v>
      </c>
      <c r="C29" s="10"/>
      <c r="D29" s="10"/>
      <c r="E29" s="10"/>
      <c r="F29" s="10"/>
      <c r="G29" s="11">
        <f>G12/C12-1</f>
        <v>0.77726218097447797</v>
      </c>
      <c r="H29" s="11">
        <f t="shared" ref="H29:S29" si="149">H12/D12-1</f>
        <v>0.71759479612882759</v>
      </c>
      <c r="I29" s="11">
        <f t="shared" si="149"/>
        <v>0.65624038560147691</v>
      </c>
      <c r="J29" s="11">
        <f t="shared" si="149"/>
        <v>0.57077358606683481</v>
      </c>
      <c r="K29" s="11">
        <f t="shared" si="149"/>
        <v>0.44820695902381846</v>
      </c>
      <c r="L29" s="11">
        <f t="shared" si="149"/>
        <v>0.39432846850175496</v>
      </c>
      <c r="M29" s="11">
        <f t="shared" si="149"/>
        <v>0.30086687306501547</v>
      </c>
      <c r="N29" s="11">
        <f t="shared" si="149"/>
        <v>0.25637157913295594</v>
      </c>
      <c r="O29" s="11">
        <f t="shared" si="149"/>
        <v>0.21794801037584843</v>
      </c>
      <c r="P29" s="11">
        <f t="shared" si="149"/>
        <v>0.16636303411725728</v>
      </c>
      <c r="Q29" s="11">
        <f t="shared" si="149"/>
        <v>0.10768400844082682</v>
      </c>
      <c r="R29" s="11">
        <f t="shared" si="149"/>
        <v>8.6631116100664096E-2</v>
      </c>
      <c r="S29" s="11">
        <f t="shared" si="149"/>
        <v>1.9908162648782701E-2</v>
      </c>
      <c r="T29" s="11">
        <f>T12/P12-1</f>
        <v>-4.2740504082356967E-2</v>
      </c>
      <c r="U29" s="11"/>
      <c r="V29" s="11"/>
      <c r="W29" s="10"/>
      <c r="X29" s="10"/>
      <c r="Y29" s="10"/>
      <c r="Z29" s="10"/>
      <c r="AA29" s="10"/>
      <c r="AB29" s="10"/>
      <c r="AC29" s="11">
        <f>AC12/AB12-1</f>
        <v>0.34138131810242034</v>
      </c>
      <c r="AD29" s="11">
        <f t="shared" ref="AD29:AN29" si="150">AD12/AC12-1</f>
        <v>0.14152659385360766</v>
      </c>
      <c r="AE29" s="11">
        <f t="shared" si="150"/>
        <v>-3.1387773283164222E-2</v>
      </c>
      <c r="AF29" s="11">
        <f t="shared" si="150"/>
        <v>7.0999999999999952E-2</v>
      </c>
      <c r="AG29" s="11">
        <f t="shared" si="150"/>
        <v>7.1000000000000174E-2</v>
      </c>
      <c r="AH29" s="11">
        <f t="shared" si="150"/>
        <v>7.1000000000000174E-2</v>
      </c>
      <c r="AI29" s="11">
        <f t="shared" si="150"/>
        <v>5.0599999999999978E-2</v>
      </c>
      <c r="AJ29" s="11">
        <f t="shared" si="150"/>
        <v>5.0599999999999978E-2</v>
      </c>
      <c r="AK29" s="11">
        <f t="shared" si="150"/>
        <v>5.06000000000002E-2</v>
      </c>
      <c r="AL29" s="11">
        <f t="shared" si="150"/>
        <v>5.0599999999999978E-2</v>
      </c>
      <c r="AM29" s="11">
        <f t="shared" si="150"/>
        <v>5.06000000000002E-2</v>
      </c>
      <c r="AN29" s="11">
        <f t="shared" si="150"/>
        <v>5.0599999999999978E-2</v>
      </c>
      <c r="AO29" s="10"/>
      <c r="AP29" s="10"/>
      <c r="AQ29" s="12" t="s">
        <v>142</v>
      </c>
      <c r="AR29" s="24">
        <v>0.08</v>
      </c>
    </row>
    <row r="30" spans="2:94">
      <c r="B30" s="3" t="s">
        <v>107</v>
      </c>
      <c r="J30" s="9">
        <f t="shared" ref="J30:V31" si="151">J3/F3-1</f>
        <v>0.38976577072542495</v>
      </c>
      <c r="K30" s="9">
        <f t="shared" si="151"/>
        <v>0.34682806513459052</v>
      </c>
      <c r="L30" s="9">
        <f t="shared" si="151"/>
        <v>0.31270770706200524</v>
      </c>
      <c r="M30" s="9">
        <f t="shared" si="151"/>
        <v>0.25414283354218603</v>
      </c>
      <c r="N30" s="9">
        <f t="shared" si="151"/>
        <v>0.22446809838252624</v>
      </c>
      <c r="O30" s="9">
        <f t="shared" si="151"/>
        <v>0.18056920824862743</v>
      </c>
      <c r="P30" s="9">
        <f t="shared" si="151"/>
        <v>0.11737199012421518</v>
      </c>
      <c r="Q30" s="9">
        <f t="shared" si="151"/>
        <v>8.8756632865629292E-2</v>
      </c>
      <c r="R30" s="9">
        <f t="shared" si="151"/>
        <v>8.4080652251030896E-2</v>
      </c>
      <c r="S30" s="9">
        <f t="shared" si="151"/>
        <v>6.631474782067337E-2</v>
      </c>
      <c r="T30" s="9">
        <f>T3/P3-1</f>
        <v>2.0000000000000018E-2</v>
      </c>
      <c r="U30" s="9">
        <f t="shared" si="151"/>
        <v>2.0000000000000018E-2</v>
      </c>
      <c r="V30" s="9">
        <f t="shared" si="151"/>
        <v>2.0000000000000018E-2</v>
      </c>
      <c r="AC30" s="9">
        <f>AC3/AB3-1</f>
        <v>0.22446809838252624</v>
      </c>
      <c r="AD30" s="9">
        <f>AD3/AC3-1</f>
        <v>8.4080652251030896E-2</v>
      </c>
      <c r="AE30" s="9">
        <f t="shared" ref="AE30" si="152">AE3/AD3-1</f>
        <v>2.0000000000000018E-2</v>
      </c>
      <c r="AQ30" t="s">
        <v>143</v>
      </c>
      <c r="AR30" s="1">
        <f>NPV(AR29,AF24:CP24)</f>
        <v>880.63059273247097</v>
      </c>
    </row>
    <row r="31" spans="2:94">
      <c r="B31" s="3" t="s">
        <v>108</v>
      </c>
      <c r="J31" s="9">
        <f t="shared" si="151"/>
        <v>7.1332963561605567E-2</v>
      </c>
      <c r="K31" s="9">
        <f t="shared" si="151"/>
        <v>3.4037152532557569E-2</v>
      </c>
      <c r="L31" s="9">
        <f t="shared" si="151"/>
        <v>1.4974699260100088E-2</v>
      </c>
      <c r="M31" s="9">
        <f t="shared" si="151"/>
        <v>-1.0229980270040628E-2</v>
      </c>
      <c r="N31" s="9">
        <f t="shared" si="151"/>
        <v>-2.4201686444140558E-2</v>
      </c>
      <c r="O31" s="9">
        <f t="shared" si="151"/>
        <v>-2.6039928395232059E-2</v>
      </c>
      <c r="P31" s="9">
        <f t="shared" si="151"/>
        <v>-9.3150647847565216E-3</v>
      </c>
      <c r="Q31" s="9">
        <f t="shared" si="151"/>
        <v>-1.7288799024871793E-2</v>
      </c>
      <c r="R31" s="9">
        <f t="shared" si="151"/>
        <v>-3.1489028005248776E-2</v>
      </c>
      <c r="S31" s="9">
        <f t="shared" si="151"/>
        <v>-5.8677022265498424E-2</v>
      </c>
      <c r="T31" s="9">
        <f>T4/P4-1</f>
        <v>-9.9999999999999978E-2</v>
      </c>
      <c r="U31" s="9">
        <f t="shared" si="151"/>
        <v>-9.9999999999999867E-2</v>
      </c>
      <c r="V31" s="9">
        <f t="shared" si="151"/>
        <v>-9.9999999999999978E-2</v>
      </c>
      <c r="AC31" s="9">
        <f>AC4/AB4-1</f>
        <v>4.7310891274102485E-2</v>
      </c>
      <c r="AD31" s="9">
        <f>+AD4/AC4-1</f>
        <v>7.6945540133106505E-3</v>
      </c>
      <c r="AE31" s="9">
        <f t="shared" ref="AE31" si="153">+AE4/AD4-1</f>
        <v>-5.5573883748922803E-2</v>
      </c>
      <c r="AQ31" t="s">
        <v>3</v>
      </c>
      <c r="AR31" s="1">
        <f>Main!L5-Main!L6</f>
        <v>1.2779999999999916</v>
      </c>
    </row>
    <row r="32" spans="2:94">
      <c r="B32" s="3" t="s">
        <v>123</v>
      </c>
      <c r="J32" s="9">
        <f t="shared" ref="J32" si="154">(J48+J49)/(F48+F49)-1</f>
        <v>0.45376009831739883</v>
      </c>
      <c r="K32" s="9">
        <f t="shared" ref="K32" si="155">(K48+K49)/(G48+G49)-1</f>
        <v>0.34655423183147849</v>
      </c>
      <c r="L32" s="9">
        <f t="shared" ref="L32" si="156">(L48+L49)/(H48+H49)-1</f>
        <v>0.23079313071969287</v>
      </c>
      <c r="M32" s="9">
        <f t="shared" ref="M32" si="157">(M48+M49)/(I48+I49)-1</f>
        <v>0.16597790872681806</v>
      </c>
      <c r="N32" s="9">
        <f t="shared" ref="N32" si="158">(N48+N49)/(J48+J49)-1</f>
        <v>8.8776448942042396E-2</v>
      </c>
      <c r="O32" s="9">
        <f t="shared" ref="O32" si="159">(O48+O49)/(K48+K49)-1</f>
        <v>7.3558503343568393E-2</v>
      </c>
      <c r="P32" s="9">
        <f t="shared" ref="P32:Q32" si="160">(P48+P49)/(L48+L49)-1</f>
        <v>2.3912794033275953E-2</v>
      </c>
      <c r="Q32" s="9">
        <f t="shared" si="160"/>
        <v>-2.4952141333479116E-2</v>
      </c>
      <c r="R32" s="9">
        <f>(R48+R49)/(N48+N49)-1</f>
        <v>-1.7869580607223323E-2</v>
      </c>
      <c r="S32" s="9">
        <f>(S48+S49)/(O48+O49)-1</f>
        <v>-6.9038413710461488E-2</v>
      </c>
      <c r="T32" s="9">
        <f>(T48+T49)/(P48+P49)-1</f>
        <v>-0.1129053948046711</v>
      </c>
      <c r="U32" s="9">
        <f t="shared" ref="T32:V32" si="161">(U48+U49)/(Q48+Q49)-1</f>
        <v>-1</v>
      </c>
      <c r="V32" s="9">
        <f t="shared" si="161"/>
        <v>-1</v>
      </c>
      <c r="AC32" s="9"/>
      <c r="AD32" s="9"/>
      <c r="AQ32" t="s">
        <v>146</v>
      </c>
      <c r="AR32" s="1">
        <f>AR31+AR30</f>
        <v>881.90859273247099</v>
      </c>
    </row>
    <row r="33" spans="2:44">
      <c r="B33" s="3" t="s">
        <v>151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AB33" s="9">
        <f>+AB18/AB13</f>
        <v>0.12805220605596762</v>
      </c>
      <c r="AC33" s="9">
        <f t="shared" ref="AC33:AN33" si="162">+AC18/AC13</f>
        <v>0.10797083276457013</v>
      </c>
      <c r="AD33" s="9">
        <f t="shared" si="162"/>
        <v>0.14299455139847439</v>
      </c>
      <c r="AE33" s="9">
        <f t="shared" si="162"/>
        <v>0.16822591448915714</v>
      </c>
      <c r="AF33" s="9">
        <f t="shared" si="162"/>
        <v>0.19446301354437864</v>
      </c>
      <c r="AG33" s="9">
        <f t="shared" si="162"/>
        <v>0.18693132520007433</v>
      </c>
      <c r="AH33" s="9">
        <f t="shared" si="162"/>
        <v>0.17810434546020204</v>
      </c>
      <c r="AI33" s="9">
        <f t="shared" si="162"/>
        <v>0.17154350637165439</v>
      </c>
      <c r="AJ33" s="9">
        <f t="shared" si="162"/>
        <v>0.16441808428575019</v>
      </c>
      <c r="AK33" s="9">
        <f t="shared" si="162"/>
        <v>0.15698219395700955</v>
      </c>
      <c r="AL33" s="9">
        <f t="shared" si="162"/>
        <v>0.14943132590720748</v>
      </c>
      <c r="AM33" s="9">
        <f t="shared" si="162"/>
        <v>0.14191065219615978</v>
      </c>
      <c r="AN33" s="9">
        <f t="shared" si="162"/>
        <v>0.13452434393064427</v>
      </c>
      <c r="AQ33" t="s">
        <v>147</v>
      </c>
      <c r="AR33" s="26">
        <f>AR32/Main!L3</f>
        <v>13.125202296887592</v>
      </c>
    </row>
    <row r="34" spans="2:44">
      <c r="B34" s="3" t="s">
        <v>152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AB34" s="9">
        <f>(AB16+AB15)/AB13</f>
        <v>0.72310924027650003</v>
      </c>
      <c r="AC34" s="9">
        <f t="shared" ref="AC34:AN34" si="163">(AC16+AC15)/AC13</f>
        <v>0.64938049782388563</v>
      </c>
      <c r="AD34" s="9">
        <f t="shared" ref="AD34:AI34" si="164">(AD16+AD15)/AD13</f>
        <v>0.5489981837994915</v>
      </c>
      <c r="AE34" s="9">
        <f t="shared" si="164"/>
        <v>0.50230504827064448</v>
      </c>
      <c r="AF34" s="9">
        <f t="shared" si="164"/>
        <v>0.39448614062691778</v>
      </c>
      <c r="AG34" s="9">
        <f t="shared" si="164"/>
        <v>0.39161735792614044</v>
      </c>
      <c r="AH34" s="9">
        <f t="shared" si="164"/>
        <v>0.38537064423842365</v>
      </c>
      <c r="AI34" s="9">
        <f t="shared" si="164"/>
        <v>0.38339074247279809</v>
      </c>
      <c r="AJ34" s="9">
        <f t="shared" si="163"/>
        <v>0.37959362407716146</v>
      </c>
      <c r="AK34" s="9">
        <f t="shared" si="163"/>
        <v>0.37442105304790152</v>
      </c>
      <c r="AL34" s="9">
        <f t="shared" si="163"/>
        <v>0.36823952275433297</v>
      </c>
      <c r="AM34" s="9">
        <f t="shared" si="163"/>
        <v>0.36134392134346133</v>
      </c>
      <c r="AN34" s="9">
        <f t="shared" si="163"/>
        <v>0.35396600188723459</v>
      </c>
      <c r="AQ34" t="s">
        <v>148</v>
      </c>
      <c r="AR34" s="26">
        <f>Main!L2</f>
        <v>9.6999999999999993</v>
      </c>
    </row>
    <row r="35" spans="2:44">
      <c r="B35" s="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AC35" s="9"/>
      <c r="AD35" s="9"/>
      <c r="AQ35" s="3" t="s">
        <v>149</v>
      </c>
      <c r="AR35" s="25">
        <f>AR33/AR34-1</f>
        <v>0.35311363885439095</v>
      </c>
    </row>
    <row r="37" spans="2:44">
      <c r="B37" t="s">
        <v>105</v>
      </c>
      <c r="F37" s="4">
        <f t="shared" ref="F37" si="165">F38-F50</f>
        <v>38.278999999999996</v>
      </c>
      <c r="G37" s="4">
        <f t="shared" ref="G37" si="166">G38-G50</f>
        <v>48.094999999999999</v>
      </c>
      <c r="H37" s="4">
        <f t="shared" ref="H37" si="167">H38-H50</f>
        <v>51.400999999999996</v>
      </c>
      <c r="I37" s="4">
        <f t="shared" ref="I37" si="168">I38-I50</f>
        <v>47.725000000000001</v>
      </c>
      <c r="J37" s="4">
        <f t="shared" ref="J37" si="169">J38-J50</f>
        <v>40.989999999999995</v>
      </c>
      <c r="K37" s="4">
        <f t="shared" ref="K37:L37" si="170">K38-K50</f>
        <v>49.750000000000007</v>
      </c>
      <c r="L37" s="4">
        <f t="shared" si="170"/>
        <v>42.161000000000001</v>
      </c>
      <c r="M37" s="4">
        <f t="shared" ref="M37" si="171">M38-M50</f>
        <v>20.315000000000005</v>
      </c>
      <c r="N37" s="4">
        <f t="shared" ref="N37" si="172">N38-N50</f>
        <v>5.4050000000000011</v>
      </c>
      <c r="O37" s="4">
        <f>O38-O50</f>
        <v>18.560999999999993</v>
      </c>
      <c r="P37" s="4">
        <f t="shared" ref="P37" si="173">P38-P50</f>
        <v>10.776000000000003</v>
      </c>
      <c r="Q37" s="4">
        <f t="shared" ref="Q37" si="174">Q38-Q50</f>
        <v>-0.83099999999999596</v>
      </c>
      <c r="R37" s="4">
        <f t="shared" ref="R37" si="175">R38-R50</f>
        <v>-2.5210000000000008</v>
      </c>
      <c r="S37" s="4">
        <f>S38-S50</f>
        <v>1.2779999999999916</v>
      </c>
      <c r="T37" s="4">
        <f>T38-T50</f>
        <v>0.5379999999999967</v>
      </c>
      <c r="U37" s="4">
        <f t="shared" ref="U37:V37" si="176">+T37+U24</f>
        <v>1.9678699999999834</v>
      </c>
      <c r="V37" s="4">
        <f t="shared" si="176"/>
        <v>12.323279999999986</v>
      </c>
      <c r="AD37" s="4">
        <f>AD38-AD50</f>
        <v>-2.5210000000000008</v>
      </c>
      <c r="AE37" s="4">
        <f>+V37</f>
        <v>12.323279999999986</v>
      </c>
      <c r="AF37" s="4">
        <f>+AE37+AF24</f>
        <v>46.032055489999991</v>
      </c>
      <c r="AG37" s="4">
        <f t="shared" ref="AG37:AN37" si="177">+AF37+AG24</f>
        <v>84.982628549255026</v>
      </c>
      <c r="AH37" s="4">
        <f t="shared" si="177"/>
        <v>131.41808176264868</v>
      </c>
      <c r="AI37" s="4">
        <f t="shared" si="177"/>
        <v>183.03796632325327</v>
      </c>
      <c r="AJ37" s="4">
        <f t="shared" si="177"/>
        <v>241.21078283652099</v>
      </c>
      <c r="AK37" s="4">
        <f t="shared" si="177"/>
        <v>307.16957733370731</v>
      </c>
      <c r="AL37" s="4">
        <f t="shared" si="177"/>
        <v>382.04651072333388</v>
      </c>
      <c r="AM37" s="4">
        <f t="shared" si="177"/>
        <v>466.90090294925596</v>
      </c>
      <c r="AN37" s="4">
        <f t="shared" si="177"/>
        <v>562.74207687505918</v>
      </c>
    </row>
    <row r="38" spans="2:44" s="3" customFormat="1">
      <c r="B38" s="3" t="s">
        <v>3</v>
      </c>
      <c r="C38" s="4"/>
      <c r="D38" s="4"/>
      <c r="E38" s="4"/>
      <c r="F38" s="4">
        <f>42.638+0.05+10.46</f>
        <v>53.147999999999996</v>
      </c>
      <c r="G38" s="4">
        <f>42.613+0.05+20.313</f>
        <v>62.975999999999999</v>
      </c>
      <c r="H38" s="4">
        <f>45.844+0.05+20.4</f>
        <v>66.293999999999997</v>
      </c>
      <c r="I38" s="4">
        <f>41.609+0.05+20.972</f>
        <v>62.631</v>
      </c>
      <c r="J38" s="4">
        <f>34.803+0.05+21.055</f>
        <v>55.907999999999994</v>
      </c>
      <c r="K38" s="4">
        <f>43.654+0.05+20.976</f>
        <v>64.680000000000007</v>
      </c>
      <c r="L38" s="4">
        <f>35.866+0.05+21.188</f>
        <v>57.103999999999999</v>
      </c>
      <c r="M38" s="4">
        <f>62.319+0.05+16.739</f>
        <v>79.108000000000004</v>
      </c>
      <c r="N38" s="4">
        <f>39.991+24.268</f>
        <v>64.259</v>
      </c>
      <c r="O38" s="4">
        <f>52.935+24.54</f>
        <v>77.474999999999994</v>
      </c>
      <c r="P38" s="4">
        <f>47.315+22.436</f>
        <v>69.751000000000005</v>
      </c>
      <c r="Q38" s="4">
        <f>33.662+24.542</f>
        <v>58.204000000000001</v>
      </c>
      <c r="R38" s="4">
        <f>32.599+23.976</f>
        <v>56.574999999999996</v>
      </c>
      <c r="S38" s="4">
        <f>35.352+23.718</f>
        <v>59.069999999999993</v>
      </c>
      <c r="T38" s="4">
        <f>34.575+23.913</f>
        <v>58.488</v>
      </c>
      <c r="U38" s="4"/>
      <c r="V38" s="4"/>
      <c r="W38" s="4"/>
      <c r="X38" s="4"/>
      <c r="Y38" s="4"/>
      <c r="Z38" s="4"/>
      <c r="AA38" s="4"/>
      <c r="AB38" s="4"/>
      <c r="AC38" s="4"/>
      <c r="AD38" s="4">
        <f>+R38</f>
        <v>56.574999999999996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2:44" s="3" customFormat="1">
      <c r="B39" s="3" t="s">
        <v>45</v>
      </c>
      <c r="C39" s="4"/>
      <c r="D39" s="4"/>
      <c r="E39" s="4"/>
      <c r="F39" s="4">
        <v>7.7869999999999999</v>
      </c>
      <c r="G39" s="4">
        <v>9.7330000000000005</v>
      </c>
      <c r="H39" s="4">
        <v>10.569000000000001</v>
      </c>
      <c r="I39" s="4">
        <v>10.635999999999999</v>
      </c>
      <c r="J39" s="4">
        <v>12.385</v>
      </c>
      <c r="K39" s="4">
        <v>13.438000000000001</v>
      </c>
      <c r="L39" s="4">
        <v>13.11</v>
      </c>
      <c r="M39" s="4">
        <v>14.25</v>
      </c>
      <c r="N39" s="4">
        <v>15.141</v>
      </c>
      <c r="O39" s="4">
        <v>15.840999999999999</v>
      </c>
      <c r="P39" s="4">
        <v>15.308</v>
      </c>
      <c r="Q39" s="4">
        <v>16.215</v>
      </c>
      <c r="R39" s="4">
        <v>17.018999999999998</v>
      </c>
      <c r="S39" s="4">
        <v>16.212</v>
      </c>
      <c r="T39" s="4">
        <v>16.89</v>
      </c>
      <c r="U39" s="4"/>
      <c r="V39" s="4"/>
      <c r="W39" s="4"/>
      <c r="X39" s="4"/>
      <c r="Y39" s="4"/>
      <c r="Z39" s="4"/>
      <c r="AA39" s="4"/>
      <c r="AB39" s="4"/>
      <c r="AC39" s="4"/>
      <c r="AD39" s="4">
        <f t="shared" ref="AD39:AD52" si="178">+R39</f>
        <v>17.018999999999998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2:44" s="3" customFormat="1">
      <c r="B40" s="3" t="s">
        <v>44</v>
      </c>
      <c r="C40" s="4"/>
      <c r="D40" s="4"/>
      <c r="E40" s="4"/>
      <c r="F40" s="4">
        <v>19.809999999999999</v>
      </c>
      <c r="G40" s="4">
        <v>19.283999999999999</v>
      </c>
      <c r="H40" s="4">
        <v>17.361999999999998</v>
      </c>
      <c r="I40" s="4">
        <v>15</v>
      </c>
      <c r="J40" s="4">
        <v>13.651</v>
      </c>
      <c r="K40" s="4">
        <v>15.731999999999999</v>
      </c>
      <c r="L40" s="4">
        <v>18.341999999999999</v>
      </c>
      <c r="M40" s="4">
        <v>18.196000000000002</v>
      </c>
      <c r="N40" s="4">
        <v>18.12</v>
      </c>
      <c r="O40" s="4">
        <v>22.236999999999998</v>
      </c>
      <c r="P40" s="4">
        <v>21.376999999999999</v>
      </c>
      <c r="Q40" s="4">
        <v>21.167999999999999</v>
      </c>
      <c r="R40" s="4">
        <v>19.026</v>
      </c>
      <c r="S40" s="4">
        <v>22.106000000000002</v>
      </c>
      <c r="T40" s="4">
        <v>18.297999999999998</v>
      </c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78"/>
        <v>19.026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2:44" s="3" customFormat="1">
      <c r="B41" s="3" t="s">
        <v>43</v>
      </c>
      <c r="C41" s="4"/>
      <c r="D41" s="4"/>
      <c r="E41" s="4"/>
      <c r="F41" s="4">
        <v>12.079000000000001</v>
      </c>
      <c r="G41" s="4">
        <v>13.092000000000001</v>
      </c>
      <c r="H41" s="4">
        <v>14.523999999999999</v>
      </c>
      <c r="I41" s="4">
        <v>16.003</v>
      </c>
      <c r="J41" s="4">
        <v>18.657</v>
      </c>
      <c r="K41" s="4">
        <v>25.497</v>
      </c>
      <c r="L41" s="4">
        <v>34.789000000000001</v>
      </c>
      <c r="M41" s="4">
        <v>43.442999999999998</v>
      </c>
      <c r="N41" s="4">
        <v>51.264000000000003</v>
      </c>
      <c r="O41" s="4">
        <v>57.865000000000002</v>
      </c>
      <c r="P41" s="4">
        <v>64.600999999999999</v>
      </c>
      <c r="Q41" s="4">
        <v>72.786000000000001</v>
      </c>
      <c r="R41" s="4">
        <v>77.635000000000005</v>
      </c>
      <c r="S41" s="4">
        <v>81.97</v>
      </c>
      <c r="T41" s="4">
        <v>84.225999999999999</v>
      </c>
      <c r="U41" s="4"/>
      <c r="V41" s="4"/>
      <c r="W41" s="4"/>
      <c r="X41" s="4"/>
      <c r="Y41" s="4"/>
      <c r="Z41" s="4"/>
      <c r="AA41" s="4"/>
      <c r="AB41" s="4"/>
      <c r="AC41" s="4"/>
      <c r="AD41" s="4">
        <f>+R41</f>
        <v>77.635000000000005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2:44" s="3" customFormat="1">
      <c r="B42" s="3" t="s">
        <v>42</v>
      </c>
      <c r="C42" s="4"/>
      <c r="D42" s="4"/>
      <c r="E42" s="4"/>
      <c r="F42" s="4">
        <f>0.415+2.356</f>
        <v>2.7709999999999999</v>
      </c>
      <c r="G42" s="4">
        <f>0.415+2.189</f>
        <v>2.6040000000000001</v>
      </c>
      <c r="H42" s="4">
        <f>0.415+2.103</f>
        <v>2.5180000000000002</v>
      </c>
      <c r="I42" s="4">
        <f>1.145+3.864</f>
        <v>5.0090000000000003</v>
      </c>
      <c r="J42" s="4">
        <f>1.145+3.5</f>
        <v>4.6449999999999996</v>
      </c>
      <c r="K42" s="4">
        <f>1.145+3.461</f>
        <v>4.6059999999999999</v>
      </c>
      <c r="L42" s="4">
        <f>1.145+3.372</f>
        <v>4.5169999999999995</v>
      </c>
      <c r="M42" s="4">
        <f>1.145+3.031</f>
        <v>4.1760000000000002</v>
      </c>
      <c r="N42" s="4">
        <f>1.145+2.755</f>
        <v>3.9</v>
      </c>
      <c r="O42" s="4">
        <f>1.145+2.469</f>
        <v>3.6139999999999999</v>
      </c>
      <c r="P42" s="4">
        <f>1.145+2.269</f>
        <v>3.4140000000000001</v>
      </c>
      <c r="Q42" s="4">
        <f>1.145+2.169</f>
        <v>3.3140000000000001</v>
      </c>
      <c r="R42" s="4">
        <f>1.145+2.011</f>
        <v>3.1560000000000001</v>
      </c>
      <c r="S42" s="4">
        <f>1.145+1.857</f>
        <v>3.0019999999999998</v>
      </c>
      <c r="T42" s="4">
        <f>1.145+1.609</f>
        <v>2.754</v>
      </c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78"/>
        <v>3.1560000000000001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2:44" s="3" customFormat="1">
      <c r="B43" s="3" t="s">
        <v>116</v>
      </c>
      <c r="C43" s="4"/>
      <c r="D43" s="4"/>
      <c r="E43" s="4"/>
      <c r="F43" s="4">
        <v>0.63400000000000001</v>
      </c>
      <c r="G43" s="4">
        <v>0.57499999999999996</v>
      </c>
      <c r="H43" s="4">
        <v>0.51600000000000001</v>
      </c>
      <c r="I43" s="4">
        <v>0.45600000000000002</v>
      </c>
      <c r="J43" s="4">
        <v>0.39700000000000002</v>
      </c>
      <c r="K43" s="4">
        <v>0.33700000000000002</v>
      </c>
      <c r="L43" s="4">
        <v>0.51800000000000002</v>
      </c>
      <c r="M43" s="4">
        <v>1.8740000000000001</v>
      </c>
      <c r="N43" s="4">
        <v>1.8540000000000001</v>
      </c>
      <c r="O43" s="4">
        <v>1.756</v>
      </c>
      <c r="P43" s="4">
        <v>1.657</v>
      </c>
      <c r="Q43" s="4">
        <v>1.56</v>
      </c>
      <c r="R43" s="4">
        <v>1.462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>+R43</f>
        <v>1.462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2:44" s="3" customFormat="1">
      <c r="B44" s="3" t="s">
        <v>41</v>
      </c>
      <c r="C44" s="4"/>
      <c r="D44" s="4"/>
      <c r="E44" s="4"/>
      <c r="F44" s="4">
        <f t="shared" ref="F44" si="179">SUM(F38:F43)</f>
        <v>96.228999999999985</v>
      </c>
      <c r="G44" s="4">
        <f t="shared" ref="G44" si="180">SUM(G38:G43)</f>
        <v>108.264</v>
      </c>
      <c r="H44" s="4">
        <f t="shared" ref="H44" si="181">SUM(H38:H43)</f>
        <v>111.783</v>
      </c>
      <c r="I44" s="4">
        <f t="shared" ref="I44" si="182">SUM(I38:I43)</f>
        <v>109.735</v>
      </c>
      <c r="J44" s="4">
        <f t="shared" ref="J44" si="183">SUM(J38:J43)</f>
        <v>105.64299999999999</v>
      </c>
      <c r="K44" s="4">
        <f t="shared" ref="K44:L44" si="184">SUM(K38:K43)</f>
        <v>124.29</v>
      </c>
      <c r="L44" s="4">
        <f t="shared" si="184"/>
        <v>128.38</v>
      </c>
      <c r="M44" s="4">
        <f t="shared" ref="M44" si="185">SUM(M38:M43)</f>
        <v>161.047</v>
      </c>
      <c r="N44" s="4">
        <f t="shared" ref="N44" si="186">SUM(N38:N43)</f>
        <v>154.53800000000004</v>
      </c>
      <c r="O44" s="4">
        <f>SUM(O38:O43)</f>
        <v>178.78799999999998</v>
      </c>
      <c r="P44" s="4">
        <f t="shared" ref="P44" si="187">SUM(P38:P43)</f>
        <v>176.10799999999998</v>
      </c>
      <c r="Q44" s="4">
        <f t="shared" ref="Q44" si="188">SUM(Q38:Q43)</f>
        <v>173.24699999999999</v>
      </c>
      <c r="R44" s="4">
        <f t="shared" ref="R44" si="189">SUM(R38:R43)</f>
        <v>174.87299999999999</v>
      </c>
      <c r="S44" s="4">
        <f>SUM(S38:S42)</f>
        <v>182.36</v>
      </c>
      <c r="T44" s="4">
        <f>SUM(T38:T42)</f>
        <v>180.65599999999998</v>
      </c>
      <c r="U44" s="4"/>
      <c r="V44" s="4"/>
      <c r="W44" s="4"/>
      <c r="X44" s="4"/>
      <c r="Y44" s="4"/>
      <c r="Z44" s="4"/>
      <c r="AA44" s="4"/>
      <c r="AB44" s="4"/>
      <c r="AC44" s="4"/>
      <c r="AD44" s="4">
        <f>SUM(AD38:AD43)</f>
        <v>174.87299999999999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2:44" s="3" customForma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2:44" s="3" customFormat="1">
      <c r="B46" s="3" t="s">
        <v>40</v>
      </c>
      <c r="C46" s="4"/>
      <c r="D46" s="4"/>
      <c r="E46" s="4"/>
      <c r="F46" s="4">
        <v>6.4889999999999999</v>
      </c>
      <c r="G46" s="4">
        <v>6.6970000000000001</v>
      </c>
      <c r="H46" s="4">
        <v>9.5060000000000002</v>
      </c>
      <c r="I46" s="4">
        <v>3.8140000000000001</v>
      </c>
      <c r="J46" s="4">
        <v>6.8380000000000001</v>
      </c>
      <c r="K46" s="4">
        <v>9.1300000000000008</v>
      </c>
      <c r="L46" s="4">
        <v>20.858000000000001</v>
      </c>
      <c r="M46" s="4">
        <v>16.309000000000001</v>
      </c>
      <c r="N46" s="4">
        <v>5.49</v>
      </c>
      <c r="O46" s="4">
        <v>11.773</v>
      </c>
      <c r="P46" s="4">
        <v>15.247999999999999</v>
      </c>
      <c r="Q46" s="4">
        <v>13.112</v>
      </c>
      <c r="R46" s="4">
        <v>10.525</v>
      </c>
      <c r="S46" s="4">
        <v>9.5559999999999992</v>
      </c>
      <c r="T46" s="4">
        <v>7.6139999999999999</v>
      </c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78"/>
        <v>10.525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2:44" s="3" customFormat="1">
      <c r="B47" s="3" t="s">
        <v>39</v>
      </c>
      <c r="C47" s="4"/>
      <c r="D47" s="4"/>
      <c r="E47" s="4"/>
      <c r="F47" s="4">
        <v>14.058</v>
      </c>
      <c r="G47" s="4">
        <v>25.431999999999999</v>
      </c>
      <c r="H47" s="4">
        <v>28.276</v>
      </c>
      <c r="I47" s="4">
        <v>35.481000000000002</v>
      </c>
      <c r="J47" s="4">
        <v>21.77</v>
      </c>
      <c r="K47" s="4">
        <v>37.317</v>
      </c>
      <c r="L47" s="4">
        <v>40.716000000000001</v>
      </c>
      <c r="M47" s="4">
        <v>32.01</v>
      </c>
      <c r="N47" s="4">
        <v>23.189</v>
      </c>
      <c r="O47" s="4">
        <v>33.540999999999997</v>
      </c>
      <c r="P47" s="4">
        <v>32.743000000000002</v>
      </c>
      <c r="Q47" s="4">
        <v>30.367999999999999</v>
      </c>
      <c r="R47" s="4">
        <v>20.286999999999999</v>
      </c>
      <c r="S47" s="4">
        <v>34.926000000000002</v>
      </c>
      <c r="T47" s="4">
        <v>29.581</v>
      </c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78"/>
        <v>20.286999999999999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2:44" s="3" customFormat="1">
      <c r="B48" s="3" t="s">
        <v>38</v>
      </c>
      <c r="C48" s="4"/>
      <c r="D48" s="4"/>
      <c r="E48" s="4"/>
      <c r="F48" s="4">
        <f>27.627+4.33</f>
        <v>31.957000000000001</v>
      </c>
      <c r="G48" s="4">
        <f>28.587+4.347</f>
        <v>32.933999999999997</v>
      </c>
      <c r="H48" s="4">
        <f>33.494+4.648</f>
        <v>38.141999999999996</v>
      </c>
      <c r="I48" s="4">
        <f>37.563+4.888</f>
        <v>42.451000000000001</v>
      </c>
      <c r="J48" s="4">
        <f>35.56+4.909</f>
        <v>40.469000000000001</v>
      </c>
      <c r="K48" s="4">
        <f>34.23+4.723</f>
        <v>38.952999999999996</v>
      </c>
      <c r="L48" s="4">
        <f>36.314+4.949</f>
        <v>41.262999999999998</v>
      </c>
      <c r="M48" s="4">
        <f>38.114+5.058</f>
        <v>43.171999999999997</v>
      </c>
      <c r="N48" s="4">
        <f>33.767+4.744</f>
        <v>38.511000000000003</v>
      </c>
      <c r="O48" s="4">
        <f>31.835+4.564</f>
        <v>36.399000000000001</v>
      </c>
      <c r="P48" s="4">
        <f>33.878+4.326</f>
        <v>38.204000000000001</v>
      </c>
      <c r="Q48" s="4">
        <f>35.442+4.121</f>
        <v>39.563000000000002</v>
      </c>
      <c r="R48" s="4">
        <f>32.702+3.742</f>
        <v>36.443999999999996</v>
      </c>
      <c r="S48" s="4">
        <f>29.965+3.424</f>
        <v>33.389000000000003</v>
      </c>
      <c r="T48" s="4">
        <f>29.25+3.108</f>
        <v>32.357999999999997</v>
      </c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78"/>
        <v>36.443999999999996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2:42" s="3" customFormat="1">
      <c r="B49" s="3" t="s">
        <v>37</v>
      </c>
      <c r="C49" s="4"/>
      <c r="D49" s="4"/>
      <c r="E49" s="4"/>
      <c r="F49" s="4">
        <f>23.16+0.214</f>
        <v>23.373999999999999</v>
      </c>
      <c r="G49" s="4">
        <f>27.959+0.298</f>
        <v>28.256999999999998</v>
      </c>
      <c r="H49" s="4">
        <f>32.324+0.342</f>
        <v>32.665999999999997</v>
      </c>
      <c r="I49" s="4">
        <f>35.564+0.387</f>
        <v>35.951000000000001</v>
      </c>
      <c r="J49" s="4">
        <f>39.448+0.521</f>
        <v>39.969000000000001</v>
      </c>
      <c r="K49" s="4">
        <f>42.976+0.468</f>
        <v>43.444000000000003</v>
      </c>
      <c r="L49" s="4">
        <f>45.392+0.495</f>
        <v>45.887</v>
      </c>
      <c r="M49" s="4">
        <f>47.638+0.605</f>
        <v>48.242999999999995</v>
      </c>
      <c r="N49" s="4">
        <f>48.399+0.669</f>
        <v>49.067999999999998</v>
      </c>
      <c r="O49" s="4">
        <f>51.476+0.583</f>
        <v>52.058999999999997</v>
      </c>
      <c r="P49" s="4">
        <f>50.529+0.501</f>
        <v>51.03</v>
      </c>
      <c r="Q49" s="4">
        <f>49.039+0.532</f>
        <v>49.570999999999998</v>
      </c>
      <c r="R49" s="4">
        <f>48.93+0.64</f>
        <v>49.57</v>
      </c>
      <c r="S49" s="4">
        <f>48.48+0.482</f>
        <v>48.961999999999996</v>
      </c>
      <c r="T49" s="4">
        <f>46.462+0.339</f>
        <v>46.801000000000002</v>
      </c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78"/>
        <v>49.57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2:42" s="3" customFormat="1">
      <c r="B50" s="3" t="s">
        <v>4</v>
      </c>
      <c r="C50" s="4"/>
      <c r="D50" s="4"/>
      <c r="E50" s="4"/>
      <c r="F50" s="4">
        <v>14.869</v>
      </c>
      <c r="G50" s="4">
        <v>14.881</v>
      </c>
      <c r="H50" s="4">
        <v>14.893000000000001</v>
      </c>
      <c r="I50" s="4">
        <v>14.906000000000001</v>
      </c>
      <c r="J50" s="4">
        <v>14.917999999999999</v>
      </c>
      <c r="K50" s="4">
        <v>14.93</v>
      </c>
      <c r="L50" s="4">
        <v>14.943</v>
      </c>
      <c r="M50" s="4">
        <v>58.792999999999999</v>
      </c>
      <c r="N50" s="4">
        <v>58.853999999999999</v>
      </c>
      <c r="O50" s="4">
        <v>58.914000000000001</v>
      </c>
      <c r="P50" s="4">
        <v>58.975000000000001</v>
      </c>
      <c r="Q50" s="4">
        <f>58.285+0.75</f>
        <v>59.034999999999997</v>
      </c>
      <c r="R50" s="4">
        <f>57.596+1.5</f>
        <v>59.095999999999997</v>
      </c>
      <c r="S50" s="4">
        <f>2.25+55.542</f>
        <v>57.792000000000002</v>
      </c>
      <c r="T50" s="4">
        <v>57.95</v>
      </c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78"/>
        <v>59.095999999999997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2:42" s="3" customFormat="1">
      <c r="B51" s="3" t="s">
        <v>36</v>
      </c>
      <c r="C51" s="4"/>
      <c r="D51" s="4"/>
      <c r="E51" s="4"/>
      <c r="F51" s="4">
        <v>0.16300000000000001</v>
      </c>
      <c r="G51" s="4">
        <v>0.16300000000000001</v>
      </c>
      <c r="H51" s="4">
        <v>0.16300000000000001</v>
      </c>
      <c r="I51" s="4">
        <v>0.16300000000000001</v>
      </c>
      <c r="J51" s="4">
        <v>0.16900000000000001</v>
      </c>
      <c r="K51" s="4">
        <f>0.169+0.447+0.179</f>
        <v>0.79499999999999993</v>
      </c>
      <c r="L51" s="4">
        <f>0.71+0.196+0.407</f>
        <v>1.3129999999999999</v>
      </c>
      <c r="M51" s="4">
        <f>0.217+0.351+1.342</f>
        <v>1.9100000000000001</v>
      </c>
      <c r="N51" s="4">
        <v>1.6</v>
      </c>
      <c r="O51" s="4">
        <v>1.66</v>
      </c>
      <c r="P51" s="4">
        <v>1.548</v>
      </c>
      <c r="Q51" s="4">
        <v>1.43</v>
      </c>
      <c r="R51" s="4">
        <v>1.3320000000000001</v>
      </c>
      <c r="S51" s="4">
        <v>1.218</v>
      </c>
      <c r="T51" s="4">
        <v>1.1519999999999999</v>
      </c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78"/>
        <v>1.3320000000000001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2:42" s="3" customFormat="1">
      <c r="B52" s="3" t="s">
        <v>35</v>
      </c>
      <c r="C52" s="4"/>
      <c r="D52" s="4"/>
      <c r="E52" s="4"/>
      <c r="F52" s="4">
        <v>5.319</v>
      </c>
      <c r="G52" s="4">
        <v>-0.1</v>
      </c>
      <c r="H52" s="4">
        <v>-11.863</v>
      </c>
      <c r="I52" s="4">
        <v>-23.030999999999999</v>
      </c>
      <c r="J52" s="4">
        <v>-18.489999999999998</v>
      </c>
      <c r="K52" s="4">
        <v>-20.279</v>
      </c>
      <c r="L52" s="4">
        <v>-36.6</v>
      </c>
      <c r="M52" s="4">
        <v>-39.39</v>
      </c>
      <c r="N52" s="4">
        <v>-22.173999999999999</v>
      </c>
      <c r="O52" s="4">
        <v>-15.558</v>
      </c>
      <c r="P52" s="4">
        <v>-21.64</v>
      </c>
      <c r="Q52" s="4">
        <v>-19.832000000000001</v>
      </c>
      <c r="R52" s="4">
        <v>-2.3809999999999998</v>
      </c>
      <c r="S52" s="4">
        <v>-3.4830000000000001</v>
      </c>
      <c r="T52" s="4">
        <v>5.2</v>
      </c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78"/>
        <v>-2.3809999999999998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2:42" s="3" customFormat="1">
      <c r="B53" s="3" t="s">
        <v>34</v>
      </c>
      <c r="C53" s="4"/>
      <c r="D53" s="4"/>
      <c r="E53" s="4"/>
      <c r="F53" s="4">
        <f t="shared" ref="F53" si="190">SUM(F46:F52)</f>
        <v>96.228999999999999</v>
      </c>
      <c r="G53" s="4">
        <f t="shared" ref="G53" si="191">SUM(G46:G52)</f>
        <v>108.264</v>
      </c>
      <c r="H53" s="4">
        <f t="shared" ref="H53" si="192">SUM(H46:H52)</f>
        <v>111.78299999999999</v>
      </c>
      <c r="I53" s="4">
        <f t="shared" ref="I53" si="193">SUM(I46:I52)</f>
        <v>109.73500000000001</v>
      </c>
      <c r="J53" s="4">
        <f t="shared" ref="J53" si="194">SUM(J46:J52)</f>
        <v>105.643</v>
      </c>
      <c r="K53" s="4">
        <f t="shared" ref="K53:L53" si="195">SUM(K46:K52)</f>
        <v>124.28999999999999</v>
      </c>
      <c r="L53" s="4">
        <f t="shared" si="195"/>
        <v>128.38</v>
      </c>
      <c r="M53" s="4">
        <f t="shared" ref="M53" si="196">SUM(M46:M52)</f>
        <v>161.04699999999997</v>
      </c>
      <c r="N53" s="4">
        <f t="shared" ref="N53" si="197">SUM(N46:N52)</f>
        <v>154.53799999999998</v>
      </c>
      <c r="O53" s="4">
        <f>SUM(O46:O52)</f>
        <v>178.78799999999998</v>
      </c>
      <c r="P53" s="4">
        <f t="shared" ref="P53" si="198">SUM(P46:P52)</f>
        <v>176.108</v>
      </c>
      <c r="Q53" s="4">
        <f t="shared" ref="Q53" si="199">SUM(Q46:Q52)</f>
        <v>173.24700000000001</v>
      </c>
      <c r="R53" s="4">
        <f>SUM(R46:R52)</f>
        <v>174.87299999999999</v>
      </c>
      <c r="S53" s="4">
        <f>SUM(S46:S52)</f>
        <v>182.35999999999999</v>
      </c>
      <c r="T53" s="4">
        <f>SUM(T46:T52)</f>
        <v>180.65599999999998</v>
      </c>
      <c r="U53" s="4"/>
      <c r="V53" s="4"/>
      <c r="W53" s="4"/>
      <c r="X53" s="4"/>
      <c r="Y53" s="4"/>
      <c r="Z53" s="4"/>
      <c r="AA53" s="4"/>
      <c r="AB53" s="4"/>
      <c r="AC53" s="4"/>
      <c r="AD53" s="4">
        <f>SUM(AD46:AD52)</f>
        <v>174.87299999999999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5" spans="2:42">
      <c r="B55" s="3" t="s">
        <v>46</v>
      </c>
      <c r="F55" s="4">
        <f t="shared" ref="F55:N55" si="200">F24</f>
        <v>2.4300000000000015</v>
      </c>
      <c r="G55" s="4">
        <f t="shared" si="200"/>
        <v>-7.947000000000001</v>
      </c>
      <c r="H55" s="4">
        <f t="shared" si="200"/>
        <v>-14.334000000000005</v>
      </c>
      <c r="I55" s="4">
        <f t="shared" si="200"/>
        <v>-13.510999999999992</v>
      </c>
      <c r="J55" s="4">
        <f t="shared" si="200"/>
        <v>2.8030000000000008</v>
      </c>
      <c r="K55" s="4">
        <f t="shared" si="200"/>
        <v>-3.7830000000000021</v>
      </c>
      <c r="L55" s="4">
        <f t="shared" si="200"/>
        <v>-18.355999999999998</v>
      </c>
      <c r="M55" s="4">
        <f t="shared" si="200"/>
        <v>-4.7489999999999943</v>
      </c>
      <c r="N55" s="4">
        <f t="shared" si="200"/>
        <v>15.272</v>
      </c>
      <c r="O55" s="4">
        <f>O24</f>
        <v>4.3599999999999968</v>
      </c>
      <c r="P55" s="4">
        <f>P24</f>
        <v>-8.3490000000000126</v>
      </c>
      <c r="Q55" s="4">
        <f>Q24</f>
        <v>8.1999999999991427E-2</v>
      </c>
      <c r="R55" s="4">
        <f>R24</f>
        <v>14.149999999999991</v>
      </c>
      <c r="S55" s="4">
        <f>+S24</f>
        <v>-4.0039999999999862</v>
      </c>
      <c r="T55" s="4">
        <f t="shared" ref="T55" si="201">+T24</f>
        <v>4.7970000000000006</v>
      </c>
      <c r="AD55" s="4">
        <f>SUM(O55:R55)</f>
        <v>10.242999999999967</v>
      </c>
    </row>
    <row r="56" spans="2:42" s="3" customFormat="1">
      <c r="B56" s="3" t="s">
        <v>47</v>
      </c>
      <c r="C56" s="4"/>
      <c r="D56" s="4"/>
      <c r="E56" s="4"/>
      <c r="F56" s="4"/>
      <c r="G56" s="4"/>
      <c r="H56" s="4"/>
      <c r="I56" s="4"/>
      <c r="J56" s="4"/>
      <c r="K56" s="4">
        <v>-3.7829999999999999</v>
      </c>
      <c r="L56" s="4">
        <f>-22.139-K56</f>
        <v>-18.355999999999998</v>
      </c>
      <c r="M56" s="4">
        <f>-27.346-L56-K56</f>
        <v>-5.2070000000000025</v>
      </c>
      <c r="N56" s="4">
        <f>-12.074-M56-L56-K56</f>
        <v>15.272</v>
      </c>
      <c r="O56" s="4">
        <v>4.3600000000000003</v>
      </c>
      <c r="P56" s="4">
        <f>-3.989-O56</f>
        <v>-8.3490000000000002</v>
      </c>
      <c r="Q56" s="4">
        <f>-3.907-P56-O56</f>
        <v>8.1999999999999851E-2</v>
      </c>
      <c r="R56" s="4">
        <f>10.243-Q56-P56-O56</f>
        <v>14.150000000000002</v>
      </c>
      <c r="S56" s="4">
        <v>-4.0039999999999996</v>
      </c>
      <c r="T56" s="4">
        <f>0.793-S56</f>
        <v>4.7969999999999997</v>
      </c>
      <c r="U56" s="4"/>
      <c r="V56" s="4"/>
      <c r="W56" s="4"/>
      <c r="X56" s="4"/>
      <c r="Y56" s="4"/>
      <c r="Z56" s="4"/>
      <c r="AA56" s="4"/>
      <c r="AB56" s="4"/>
      <c r="AC56" s="4"/>
      <c r="AD56" s="4">
        <f t="shared" ref="AD56:AD64" si="202">SUM(O56:R56)</f>
        <v>10.243000000000002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2:42" s="3" customFormat="1">
      <c r="B57" s="3" t="s">
        <v>48</v>
      </c>
      <c r="C57" s="4"/>
      <c r="D57" s="4"/>
      <c r="E57" s="4"/>
      <c r="F57" s="4"/>
      <c r="G57" s="4"/>
      <c r="H57" s="4"/>
      <c r="I57" s="4"/>
      <c r="J57" s="4"/>
      <c r="K57" s="4">
        <v>1.22</v>
      </c>
      <c r="L57" s="4">
        <f>2.568-K57</f>
        <v>1.3480000000000001</v>
      </c>
      <c r="M57" s="4">
        <f>4.018-L57-K57</f>
        <v>1.45</v>
      </c>
      <c r="N57" s="4">
        <f>5.576-M57-L57-K57</f>
        <v>1.5579999999999996</v>
      </c>
      <c r="O57" s="4">
        <v>1.59</v>
      </c>
      <c r="P57" s="4">
        <f>3.203-O57</f>
        <v>1.6129999999999998</v>
      </c>
      <c r="Q57" s="4">
        <f>4.791-P57-O57</f>
        <v>1.5880000000000007</v>
      </c>
      <c r="R57" s="4">
        <f>6.402-Q57-P57-O57</f>
        <v>1.6109999999999995</v>
      </c>
      <c r="S57" s="4">
        <v>1.675</v>
      </c>
      <c r="T57" s="4">
        <f>5.254-S57</f>
        <v>3.5789999999999997</v>
      </c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202"/>
        <v>6.4020000000000001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2:42" s="3" customFormat="1">
      <c r="B58" s="3" t="s">
        <v>49</v>
      </c>
      <c r="C58" s="4"/>
      <c r="D58" s="4"/>
      <c r="E58" s="4"/>
      <c r="F58" s="4"/>
      <c r="G58" s="4"/>
      <c r="H58" s="4"/>
      <c r="I58" s="4"/>
      <c r="J58" s="4"/>
      <c r="K58" s="4">
        <v>0.106</v>
      </c>
      <c r="L58" s="4">
        <f>0.215-K58</f>
        <v>0.109</v>
      </c>
      <c r="M58" s="4">
        <f>0.301-L58-K58</f>
        <v>8.6000000000000007E-2</v>
      </c>
      <c r="N58" s="4">
        <f>0.478-M58-L58-K58</f>
        <v>0.17699999999999999</v>
      </c>
      <c r="O58" s="4">
        <v>0.17100000000000001</v>
      </c>
      <c r="P58" s="4">
        <f>0.355-O58</f>
        <v>0.18399999999999997</v>
      </c>
      <c r="Q58" s="4">
        <f>0.526-P58-O58</f>
        <v>0.17100000000000007</v>
      </c>
      <c r="R58" s="4">
        <f>0.697-Q58-P58-O58</f>
        <v>0.17099999999999996</v>
      </c>
      <c r="S58" s="4">
        <v>0.16700000000000001</v>
      </c>
      <c r="T58" s="4">
        <f>0.333-S58</f>
        <v>0.16600000000000001</v>
      </c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202"/>
        <v>0.69699999999999995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2:42" s="3" customFormat="1">
      <c r="B59" s="3" t="s">
        <v>50</v>
      </c>
      <c r="C59" s="4"/>
      <c r="D59" s="4"/>
      <c r="E59" s="4"/>
      <c r="F59" s="4"/>
      <c r="G59" s="4"/>
      <c r="H59" s="4"/>
      <c r="I59" s="4"/>
      <c r="J59" s="4"/>
      <c r="K59" s="4">
        <v>1.5329999999999999</v>
      </c>
      <c r="L59" s="4">
        <f>3.528-K59</f>
        <v>1.9950000000000001</v>
      </c>
      <c r="M59" s="4">
        <f>5.945-L59-K59</f>
        <v>2.4170000000000003</v>
      </c>
      <c r="N59" s="4">
        <f>7.889-M59-L59-K59</f>
        <v>1.9439999999999995</v>
      </c>
      <c r="O59" s="4">
        <v>2.2559999999999998</v>
      </c>
      <c r="P59" s="4">
        <f>4.523-O59</f>
        <v>2.2669999999999999</v>
      </c>
      <c r="Q59" s="4">
        <f>6.249-P59-O59</f>
        <v>1.726</v>
      </c>
      <c r="R59" s="4">
        <f>8.875-Q59-P59-O59</f>
        <v>2.6259999999999999</v>
      </c>
      <c r="S59" s="4">
        <v>3.0270000000000001</v>
      </c>
      <c r="T59" s="4">
        <f>6.718-S59</f>
        <v>3.6909999999999998</v>
      </c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202"/>
        <v>8.875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2:42" s="3" customFormat="1">
      <c r="B60" s="3" t="s">
        <v>120</v>
      </c>
      <c r="C60" s="4"/>
      <c r="D60" s="4"/>
      <c r="E60" s="4"/>
      <c r="F60" s="4"/>
      <c r="G60" s="4"/>
      <c r="H60" s="4"/>
      <c r="I60" s="4"/>
      <c r="J60" s="4"/>
      <c r="K60" s="4">
        <v>0</v>
      </c>
      <c r="L60" s="4">
        <v>0</v>
      </c>
      <c r="M60" s="4">
        <f>0.266-L60-K60</f>
        <v>0.26600000000000001</v>
      </c>
      <c r="N60" s="4">
        <f>1.778-M60-L60-K60</f>
        <v>1.512</v>
      </c>
      <c r="O60" s="4">
        <v>0</v>
      </c>
      <c r="P60" s="4">
        <v>0.68600000000000005</v>
      </c>
      <c r="Q60" s="4">
        <f>0.686-P60-O60</f>
        <v>0</v>
      </c>
      <c r="R60" s="4">
        <f>1.578-Q60-P60-O60</f>
        <v>0.89200000000000002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202"/>
        <v>1.5780000000000001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2:42" s="3" customFormat="1">
      <c r="B61" s="3" t="s">
        <v>51</v>
      </c>
      <c r="C61" s="4"/>
      <c r="D61" s="4"/>
      <c r="E61" s="4"/>
      <c r="F61" s="4"/>
      <c r="G61" s="4"/>
      <c r="H61" s="4"/>
      <c r="I61" s="4"/>
      <c r="J61" s="4"/>
      <c r="K61" s="4">
        <v>0</v>
      </c>
      <c r="L61" s="4">
        <v>0</v>
      </c>
      <c r="M61" s="4">
        <v>0</v>
      </c>
      <c r="N61" s="4">
        <f>0.266-M61-L61-K61</f>
        <v>0.26600000000000001</v>
      </c>
      <c r="O61" s="4">
        <v>0</v>
      </c>
      <c r="P61" s="4">
        <f>0.279-O61</f>
        <v>0.27900000000000003</v>
      </c>
      <c r="Q61" s="4">
        <f>0.279-P61-O61</f>
        <v>0</v>
      </c>
      <c r="R61" s="4">
        <f>0.3-Q61-P61-O61</f>
        <v>2.0999999999999963E-2</v>
      </c>
      <c r="S61" s="4">
        <v>0.153</v>
      </c>
      <c r="T61" s="4">
        <f>0.171-S61</f>
        <v>1.8000000000000016E-2</v>
      </c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202"/>
        <v>0.3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2:42" s="3" customFormat="1">
      <c r="B62" s="3" t="s">
        <v>121</v>
      </c>
      <c r="C62" s="4"/>
      <c r="D62" s="4"/>
      <c r="E62" s="4"/>
      <c r="F62" s="4"/>
      <c r="G62" s="4"/>
      <c r="H62" s="4"/>
      <c r="I62" s="4"/>
      <c r="J62" s="4"/>
      <c r="K62" s="4">
        <v>0</v>
      </c>
      <c r="L62" s="4">
        <v>0</v>
      </c>
      <c r="M62" s="4">
        <v>0</v>
      </c>
      <c r="N62" s="4">
        <f>0.011-M62-L62-K62</f>
        <v>1.0999999999999999E-2</v>
      </c>
      <c r="O62" s="4">
        <v>0</v>
      </c>
      <c r="P62" s="4">
        <v>0</v>
      </c>
      <c r="Q62" s="4">
        <v>0</v>
      </c>
      <c r="R62" s="4">
        <v>1.7000000000000001E-2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202"/>
        <v>1.7000000000000001E-2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2:42" s="3" customFormat="1">
      <c r="B63" s="3" t="s">
        <v>122</v>
      </c>
      <c r="C63" s="4"/>
      <c r="D63" s="4"/>
      <c r="E63" s="4"/>
      <c r="F63" s="4"/>
      <c r="G63" s="4"/>
      <c r="H63" s="4"/>
      <c r="I63" s="4"/>
      <c r="J63" s="4"/>
      <c r="K63" s="4">
        <v>0</v>
      </c>
      <c r="L63" s="4">
        <v>0</v>
      </c>
      <c r="M63" s="4">
        <v>0</v>
      </c>
      <c r="N63" s="4">
        <f>5.028-M63-L63-K63</f>
        <v>5.0279999999999996</v>
      </c>
      <c r="O63" s="4">
        <v>0</v>
      </c>
      <c r="P63" s="4">
        <v>0</v>
      </c>
      <c r="Q63" s="4">
        <v>0</v>
      </c>
      <c r="R63" s="4">
        <v>5.7460000000000004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202"/>
        <v>5.7460000000000004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2:42" s="3" customFormat="1">
      <c r="B64" s="3" t="s">
        <v>52</v>
      </c>
      <c r="C64" s="4"/>
      <c r="D64" s="4"/>
      <c r="E64" s="4"/>
      <c r="F64" s="4"/>
      <c r="G64" s="4"/>
      <c r="H64" s="4"/>
      <c r="I64" s="4"/>
      <c r="J64" s="4"/>
      <c r="K64" s="4">
        <f>-1.053-2.081+2.201+14.843+3.475-1.516</f>
        <v>15.869000000000002</v>
      </c>
      <c r="L64" s="4">
        <f>-0.725-4.691+12.185+19.866+5.918+0.794-K64</f>
        <v>17.478000000000002</v>
      </c>
      <c r="M64" s="4">
        <f>-1.865-4.545+7.546+12.653+8.274+2.703-L64-K64</f>
        <v>-8.5810000000000013</v>
      </c>
      <c r="N64" s="4">
        <f>-7.784-4.419-2.952+3.691+9.099-1.958-M64-L64-K64</f>
        <v>-29.088999999999999</v>
      </c>
      <c r="O64" s="4">
        <f>-0.7-4.117+6.075+10.732+2.991-2.112</f>
        <v>12.868999999999998</v>
      </c>
      <c r="P64" s="4">
        <f>-0.167-3.257+9.918+10.002+1.962-0.307-O64</f>
        <v>5.2820000000000054</v>
      </c>
      <c r="Q64" s="4">
        <f>-1.074-3.048+8.046+7.338+0.503+1.052-P64-O64</f>
        <v>-5.3340000000000032</v>
      </c>
      <c r="R64" s="4">
        <f>-7.624-0.906+5.467-2.539+0.502-2.067-Q64-P64-O64</f>
        <v>-19.984000000000002</v>
      </c>
      <c r="S64" s="4">
        <f>0.807-3.08-0.49+14.609-0.608-3.055</f>
        <v>8.1829999999999998</v>
      </c>
      <c r="T64" s="4">
        <f>0.129+0.728-2.542+9.557-2.769-4.086-S64</f>
        <v>-7.1659999999999995</v>
      </c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202"/>
        <v>-7.1670000000000016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2:42" s="5" customFormat="1">
      <c r="B65" s="5" t="s">
        <v>53</v>
      </c>
      <c r="C65" s="6"/>
      <c r="D65" s="6"/>
      <c r="E65" s="6"/>
      <c r="F65" s="6"/>
      <c r="G65" s="6"/>
      <c r="H65" s="6"/>
      <c r="I65" s="6"/>
      <c r="J65" s="6"/>
      <c r="K65" s="6">
        <f>SUM(K56:K64)</f>
        <v>14.945000000000002</v>
      </c>
      <c r="L65" s="6">
        <f t="shared" ref="L65:O65" si="203">SUM(L56:L64)</f>
        <v>2.5740000000000052</v>
      </c>
      <c r="M65" s="6">
        <f t="shared" si="203"/>
        <v>-9.5690000000000026</v>
      </c>
      <c r="N65" s="6">
        <f t="shared" si="203"/>
        <v>-3.3210000000000015</v>
      </c>
      <c r="O65" s="6">
        <f t="shared" si="203"/>
        <v>21.245999999999999</v>
      </c>
      <c r="P65" s="6">
        <f>SUM(P56:P64)</f>
        <v>1.9620000000000051</v>
      </c>
      <c r="Q65" s="6">
        <f t="shared" ref="Q65" si="204">SUM(Q56:Q64)</f>
        <v>-1.7670000000000026</v>
      </c>
      <c r="R65" s="6">
        <f t="shared" ref="R65" si="205">SUM(R56:R64)</f>
        <v>5.25</v>
      </c>
      <c r="S65" s="6">
        <f>SUM(S56:S64)</f>
        <v>9.2010000000000005</v>
      </c>
      <c r="T65" s="6">
        <f>SUM(T56:T64)</f>
        <v>5.0850000000000017</v>
      </c>
      <c r="U65" s="6"/>
      <c r="V65" s="6"/>
      <c r="W65" s="6"/>
      <c r="X65" s="6"/>
      <c r="Y65" s="6"/>
      <c r="Z65" s="6"/>
      <c r="AA65" s="6"/>
      <c r="AB65" s="6"/>
      <c r="AC65" s="6"/>
      <c r="AD65" s="6">
        <f>SUM(AD56:AD64)</f>
        <v>26.691000000000003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2:42" s="3" customFormat="1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2:42" s="3" customFormat="1">
      <c r="B67" s="3" t="s">
        <v>54</v>
      </c>
      <c r="C67" s="4"/>
      <c r="D67" s="4"/>
      <c r="E67" s="4"/>
      <c r="F67" s="4"/>
      <c r="G67" s="4"/>
      <c r="H67" s="4"/>
      <c r="I67" s="4"/>
      <c r="J67" s="4"/>
      <c r="K67" s="4">
        <f>-2.595+2.64</f>
        <v>4.4999999999999929E-2</v>
      </c>
      <c r="L67" s="4">
        <f>-11.524+11.08-K67</f>
        <v>-0.48899999999999899</v>
      </c>
      <c r="M67" s="4">
        <f>-13.164+17.4-L67-K67</f>
        <v>4.6799999999999979</v>
      </c>
      <c r="N67" s="4">
        <f>-26.671+23.36-M67-L67-K67</f>
        <v>-7.5469999999999988</v>
      </c>
      <c r="O67" s="4">
        <f>-3.12+2.835</f>
        <v>-0.28500000000000014</v>
      </c>
      <c r="P67" s="4">
        <f>-9.2+10.995-O67</f>
        <v>2.08</v>
      </c>
      <c r="Q67" s="4">
        <f>-13.68+13.355-P67-O67</f>
        <v>-2.1199999999999992</v>
      </c>
      <c r="R67" s="4">
        <f>-24.537+24.766-Q67-P67-O67</f>
        <v>0.55399999999999849</v>
      </c>
      <c r="S67" s="4">
        <f>-4.071+4.32</f>
        <v>0.24900000000000055</v>
      </c>
      <c r="T67" s="4">
        <f>-11.274+11.32-S67</f>
        <v>-0.2029999999999994</v>
      </c>
      <c r="U67" s="4"/>
      <c r="V67" s="4"/>
      <c r="W67" s="4"/>
      <c r="X67" s="4"/>
      <c r="Y67" s="4"/>
      <c r="Z67" s="4"/>
      <c r="AA67" s="4"/>
      <c r="AB67" s="4"/>
      <c r="AC67" s="4"/>
      <c r="AD67" s="4">
        <f t="shared" ref="AD67:AD68" si="206">SUM(O67:R67)</f>
        <v>0.2289999999999992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2:42" s="5" customFormat="1">
      <c r="B68" s="5" t="s">
        <v>55</v>
      </c>
      <c r="C68" s="6"/>
      <c r="D68" s="6"/>
      <c r="E68" s="6"/>
      <c r="F68" s="6"/>
      <c r="G68" s="6"/>
      <c r="H68" s="6"/>
      <c r="I68" s="6"/>
      <c r="J68" s="6"/>
      <c r="K68" s="6">
        <f>-2.257-3.953</f>
        <v>-6.21</v>
      </c>
      <c r="L68" s="6">
        <f>-7.531-8.22-K68</f>
        <v>-9.5410000000000004</v>
      </c>
      <c r="M68" s="6">
        <f>-12.904-12.785-L68-K68</f>
        <v>-9.9379999999999988</v>
      </c>
      <c r="N68" s="6">
        <f>-16.735-20.122-M68-L68-K68</f>
        <v>-11.167999999999999</v>
      </c>
      <c r="O68" s="6">
        <f>-1.116-6.754</f>
        <v>-7.8699999999999992</v>
      </c>
      <c r="P68" s="6">
        <f>-3.516-13.849-O68</f>
        <v>-9.4950000000000028</v>
      </c>
      <c r="Q68" s="6">
        <f>-6.473-20.429-P68-O68</f>
        <v>-9.5369999999999973</v>
      </c>
      <c r="R68" s="6">
        <f>-9.075-25.193-Q68-P68-O68</f>
        <v>-7.3659999999999997</v>
      </c>
      <c r="S68" s="6">
        <f>-0.904-5.489</f>
        <v>-6.3929999999999998</v>
      </c>
      <c r="T68" s="6">
        <f>-3.208-8.973-S68</f>
        <v>-5.7880000000000011</v>
      </c>
      <c r="U68" s="6"/>
      <c r="V68" s="6"/>
      <c r="W68" s="6"/>
      <c r="X68" s="6"/>
      <c r="Y68" s="6"/>
      <c r="Z68" s="6"/>
      <c r="AA68" s="6"/>
      <c r="AB68" s="6"/>
      <c r="AC68" s="6"/>
      <c r="AD68" s="6">
        <f t="shared" si="206"/>
        <v>-34.268000000000001</v>
      </c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spans="2:42" s="3" customFormat="1">
      <c r="B69" s="3" t="s">
        <v>56</v>
      </c>
      <c r="C69" s="4"/>
      <c r="D69" s="4"/>
      <c r="E69" s="4"/>
      <c r="F69" s="4"/>
      <c r="G69" s="4"/>
      <c r="H69" s="4"/>
      <c r="I69" s="4"/>
      <c r="J69" s="4"/>
      <c r="K69" s="4">
        <v>-0.39</v>
      </c>
      <c r="L69" s="4">
        <f>-0.745-K69</f>
        <v>-0.35499999999999998</v>
      </c>
      <c r="M69" s="4">
        <f>-0.841-L69-K69</f>
        <v>-9.5999999999999974E-2</v>
      </c>
      <c r="N69" s="4">
        <f>-0.984-M69-L69-K69</f>
        <v>-0.14300000000000002</v>
      </c>
      <c r="O69" s="4">
        <v>-9.2999999999999999E-2</v>
      </c>
      <c r="P69" s="4">
        <f>-0.206-O69</f>
        <v>-0.11299999999999999</v>
      </c>
      <c r="Q69" s="4">
        <f>-0.379-P69-O69</f>
        <v>-0.17300000000000001</v>
      </c>
      <c r="R69" s="4">
        <f>-0.498-Q69-P69-O69</f>
        <v>-0.11899999999999997</v>
      </c>
      <c r="S69" s="4">
        <v>-0.122</v>
      </c>
      <c r="T69" s="4">
        <f>-0.129-S69</f>
        <v>-7.0000000000000062E-3</v>
      </c>
      <c r="U69" s="4"/>
      <c r="V69" s="4"/>
      <c r="W69" s="4"/>
      <c r="X69" s="4"/>
      <c r="Y69" s="4"/>
      <c r="Z69" s="4"/>
      <c r="AA69" s="4"/>
      <c r="AB69" s="4"/>
      <c r="AC69" s="4"/>
      <c r="AD69" s="4">
        <f>SUM(O69:R69)</f>
        <v>-0.498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2:42" s="3" customFormat="1">
      <c r="B70" s="3" t="s">
        <v>57</v>
      </c>
      <c r="C70" s="4"/>
      <c r="D70" s="4"/>
      <c r="E70" s="4"/>
      <c r="F70" s="4"/>
      <c r="G70" s="4"/>
      <c r="H70" s="4"/>
      <c r="I70" s="4"/>
      <c r="J70" s="4"/>
      <c r="K70" s="4">
        <f>SUM(K67:K69)</f>
        <v>-6.5549999999999997</v>
      </c>
      <c r="L70" s="4">
        <f t="shared" ref="L70:N70" si="207">SUM(L67:L69)</f>
        <v>-10.385</v>
      </c>
      <c r="M70" s="4">
        <f t="shared" si="207"/>
        <v>-5.354000000000001</v>
      </c>
      <c r="N70" s="4">
        <f t="shared" si="207"/>
        <v>-18.857999999999997</v>
      </c>
      <c r="O70" s="4">
        <f>SUM(O67:O69)</f>
        <v>-8.2479999999999993</v>
      </c>
      <c r="P70" s="4">
        <f>SUM(P67:P69)</f>
        <v>-7.5280000000000022</v>
      </c>
      <c r="Q70" s="4">
        <f t="shared" ref="Q70" si="208">SUM(Q67:Q69)</f>
        <v>-11.829999999999997</v>
      </c>
      <c r="R70" s="4">
        <f t="shared" ref="R70" si="209">SUM(R67:R69)</f>
        <v>-6.9310000000000009</v>
      </c>
      <c r="S70" s="4">
        <f>SUM(S67:S69)</f>
        <v>-6.2659999999999991</v>
      </c>
      <c r="T70" s="4">
        <f>SUM(T67:T69)</f>
        <v>-5.9980000000000002</v>
      </c>
      <c r="U70" s="4"/>
      <c r="V70" s="4"/>
      <c r="W70" s="4"/>
      <c r="X70" s="4"/>
      <c r="Y70" s="4"/>
      <c r="Z70" s="4"/>
      <c r="AA70" s="4"/>
      <c r="AB70" s="4"/>
      <c r="AC70" s="4"/>
      <c r="AD70" s="4">
        <f>SUM(AD67:AD69)</f>
        <v>-34.536999999999999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2:42" s="3" customFormat="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2:42" s="3" customFormat="1">
      <c r="B72" s="3" t="s">
        <v>59</v>
      </c>
      <c r="C72" s="4"/>
      <c r="D72" s="4"/>
      <c r="E72" s="4"/>
      <c r="F72" s="4"/>
      <c r="G72" s="4"/>
      <c r="H72" s="4"/>
      <c r="I72" s="4"/>
      <c r="J72" s="4"/>
      <c r="K72" s="4">
        <v>0.46100000000000002</v>
      </c>
      <c r="L72" s="4">
        <f>0.501-K72</f>
        <v>3.999999999999998E-2</v>
      </c>
      <c r="M72" s="4">
        <f>0.501-L72-K72</f>
        <v>0</v>
      </c>
      <c r="N72" s="4">
        <f>0.501-M72-L72-K72</f>
        <v>0</v>
      </c>
      <c r="O72" s="4">
        <v>0</v>
      </c>
      <c r="P72" s="4">
        <v>0</v>
      </c>
      <c r="Q72" s="4">
        <v>0</v>
      </c>
      <c r="R72" s="4">
        <f>0.675-Q72-P72-O72</f>
        <v>0.67500000000000004</v>
      </c>
      <c r="S72" s="4">
        <f>0.002-0.127</f>
        <v>-0.125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ref="AD72:AD75" si="210">SUM(O72:R72)</f>
        <v>0.67500000000000004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2:42" s="3" customFormat="1">
      <c r="B73" s="3" t="s">
        <v>4</v>
      </c>
      <c r="C73" s="4"/>
      <c r="D73" s="4"/>
      <c r="E73" s="4"/>
      <c r="F73" s="4"/>
      <c r="G73" s="4"/>
      <c r="H73" s="4"/>
      <c r="I73" s="4"/>
      <c r="J73" s="4"/>
      <c r="K73" s="4">
        <v>0</v>
      </c>
      <c r="L73" s="4">
        <v>0</v>
      </c>
      <c r="M73" s="4">
        <f>-15+60-1.21-1.879-L73-K73</f>
        <v>41.911000000000001</v>
      </c>
      <c r="N73" s="4">
        <f>-15+60-1.21-1.957-M73-L73-K73</f>
        <v>-7.8000000000002956E-2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210"/>
        <v>0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2:42" s="3" customFormat="1">
      <c r="B74" s="3" t="s">
        <v>141</v>
      </c>
      <c r="C74" s="4"/>
      <c r="D74" s="4"/>
      <c r="E74" s="4"/>
      <c r="F74" s="4"/>
      <c r="G74" s="4"/>
      <c r="H74" s="4"/>
      <c r="I74" s="4"/>
      <c r="J74" s="4"/>
      <c r="K74" s="4">
        <v>0</v>
      </c>
      <c r="L74" s="4">
        <v>0</v>
      </c>
      <c r="M74" s="4">
        <v>-0.5</v>
      </c>
      <c r="N74" s="4">
        <f>-0.5-M74-L74-K74</f>
        <v>0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210"/>
        <v>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2:42" s="3" customFormat="1">
      <c r="B75" s="3" t="s">
        <v>58</v>
      </c>
      <c r="C75" s="4"/>
      <c r="D75" s="4"/>
      <c r="E75" s="4"/>
      <c r="F75" s="4"/>
      <c r="G75" s="4"/>
      <c r="H75" s="4"/>
      <c r="I75" s="4"/>
      <c r="J75" s="4"/>
      <c r="K75" s="4">
        <v>0</v>
      </c>
      <c r="L75" s="4">
        <f>-0.017-K75</f>
        <v>-1.7000000000000001E-2</v>
      </c>
      <c r="M75" s="4">
        <f>-0.052-L75-K75</f>
        <v>-3.4999999999999996E-2</v>
      </c>
      <c r="N75" s="4">
        <f>-0.123-M75-L75-K75</f>
        <v>-7.0999999999999994E-2</v>
      </c>
      <c r="O75" s="4">
        <v>-5.3999999999999999E-2</v>
      </c>
      <c r="P75" s="4">
        <f>-0.108-O75</f>
        <v>-5.3999999999999999E-2</v>
      </c>
      <c r="Q75" s="4">
        <f>-0.164-P75-O75</f>
        <v>-5.6000000000000015E-2</v>
      </c>
      <c r="R75" s="4">
        <f>-0.221-Q75-P75-O75</f>
        <v>-5.6999999999999988E-2</v>
      </c>
      <c r="S75" s="4">
        <v>-5.7000000000000002E-2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210"/>
        <v>-0.221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2:42" s="3" customFormat="1">
      <c r="B76" s="3" t="s">
        <v>150</v>
      </c>
      <c r="C76" s="4"/>
      <c r="D76" s="4"/>
      <c r="E76" s="4"/>
      <c r="F76" s="4"/>
      <c r="G76" s="4"/>
      <c r="H76" s="4"/>
      <c r="I76" s="4"/>
      <c r="J76" s="4"/>
      <c r="K76" s="4">
        <f t="shared" ref="K76:L76" si="211">SUM(K72:K75)</f>
        <v>0.46100000000000002</v>
      </c>
      <c r="L76" s="4">
        <f t="shared" si="211"/>
        <v>2.2999999999999979E-2</v>
      </c>
      <c r="M76" s="4">
        <f>SUM(M72:M75)</f>
        <v>41.376000000000005</v>
      </c>
      <c r="N76" s="4">
        <f t="shared" ref="N76:S76" si="212">SUM(N72:N75)</f>
        <v>-0.14900000000000296</v>
      </c>
      <c r="O76" s="4">
        <f t="shared" si="212"/>
        <v>-5.3999999999999999E-2</v>
      </c>
      <c r="P76" s="4">
        <f t="shared" si="212"/>
        <v>-5.3999999999999999E-2</v>
      </c>
      <c r="Q76" s="4">
        <f t="shared" si="212"/>
        <v>-5.6000000000000015E-2</v>
      </c>
      <c r="R76" s="4">
        <f t="shared" si="212"/>
        <v>0.6180000000000001</v>
      </c>
      <c r="S76" s="4">
        <f t="shared" si="212"/>
        <v>-0.182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ref="AD76" si="213">SUM(AD72:AD75)</f>
        <v>0.45400000000000007</v>
      </c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2:42">
      <c r="B77" s="3" t="s">
        <v>117</v>
      </c>
      <c r="K77" s="4">
        <f t="shared" ref="K77:N77" si="214">K76+K70+K65</f>
        <v>8.8510000000000026</v>
      </c>
      <c r="L77" s="4">
        <f t="shared" si="214"/>
        <v>-7.7879999999999949</v>
      </c>
      <c r="M77" s="4">
        <f t="shared" si="214"/>
        <v>26.453000000000003</v>
      </c>
      <c r="N77" s="4">
        <f t="shared" si="214"/>
        <v>-22.328000000000003</v>
      </c>
      <c r="O77" s="4">
        <f>O76+O70+O65</f>
        <v>12.943999999999999</v>
      </c>
      <c r="P77" s="4">
        <f>P76+P70+P65</f>
        <v>-5.6199999999999974</v>
      </c>
      <c r="Q77" s="4">
        <f t="shared" ref="Q77" si="215">Q76+Q70+Q65</f>
        <v>-13.652999999999999</v>
      </c>
      <c r="R77" s="4">
        <f t="shared" ref="R77" si="216">R76+R70+R65</f>
        <v>-1.0630000000000006</v>
      </c>
      <c r="S77" s="4">
        <f t="shared" ref="S77" si="217">S76+S70+S65</f>
        <v>2.753000000000001</v>
      </c>
      <c r="AD77" s="4">
        <f t="shared" ref="AD77" si="218">AD76+AD70+AD65</f>
        <v>-7.3919999999999959</v>
      </c>
    </row>
    <row r="79" spans="2:42" s="12" customFormat="1">
      <c r="B79" s="5" t="s">
        <v>118</v>
      </c>
      <c r="C79" s="10"/>
      <c r="D79" s="10"/>
      <c r="E79" s="10"/>
      <c r="F79" s="10"/>
      <c r="G79" s="10"/>
      <c r="H79" s="10"/>
      <c r="I79" s="10"/>
      <c r="J79" s="10"/>
      <c r="K79" s="6">
        <f t="shared" ref="K79:N79" si="219">K65+K68</f>
        <v>8.735000000000003</v>
      </c>
      <c r="L79" s="6">
        <f t="shared" si="219"/>
        <v>-6.9669999999999952</v>
      </c>
      <c r="M79" s="6">
        <f t="shared" si="219"/>
        <v>-19.507000000000001</v>
      </c>
      <c r="N79" s="6">
        <f t="shared" si="219"/>
        <v>-14.489000000000001</v>
      </c>
      <c r="O79" s="6">
        <f>O65+O68</f>
        <v>13.375999999999999</v>
      </c>
      <c r="P79" s="6">
        <f>P65+P68</f>
        <v>-7.5329999999999977</v>
      </c>
      <c r="Q79" s="6">
        <f t="shared" ref="Q79:R79" si="220">Q65+Q68</f>
        <v>-11.304</v>
      </c>
      <c r="R79" s="6">
        <f t="shared" si="220"/>
        <v>-2.1159999999999997</v>
      </c>
      <c r="S79" s="6">
        <f t="shared" ref="S79:T79" si="221">S65+S68</f>
        <v>2.8080000000000007</v>
      </c>
      <c r="T79" s="6">
        <f t="shared" si="221"/>
        <v>-0.7029999999999994</v>
      </c>
      <c r="U79" s="10"/>
      <c r="V79" s="10"/>
      <c r="W79" s="10"/>
      <c r="X79" s="10"/>
      <c r="Y79" s="10"/>
      <c r="Z79" s="10"/>
      <c r="AA79" s="10"/>
      <c r="AB79" s="10"/>
      <c r="AC79" s="10"/>
      <c r="AD79" s="6">
        <f t="shared" ref="AD79" si="222">AD65+AD68</f>
        <v>-7.5769999999999982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2:42" s="12" customFormat="1">
      <c r="B80" s="5" t="s">
        <v>119</v>
      </c>
      <c r="C80" s="10"/>
      <c r="D80" s="10"/>
      <c r="E80" s="10"/>
      <c r="F80" s="10"/>
      <c r="G80" s="10"/>
      <c r="H80" s="10"/>
      <c r="I80" s="10"/>
      <c r="J80" s="10"/>
      <c r="K80" s="6">
        <f t="shared" ref="K80:N80" si="223">+K79-K59</f>
        <v>7.2020000000000035</v>
      </c>
      <c r="L80" s="6">
        <f t="shared" si="223"/>
        <v>-8.9619999999999962</v>
      </c>
      <c r="M80" s="6">
        <f t="shared" si="223"/>
        <v>-21.924000000000003</v>
      </c>
      <c r="N80" s="6">
        <f t="shared" si="223"/>
        <v>-16.433</v>
      </c>
      <c r="O80" s="6">
        <f>+O79-O59</f>
        <v>11.12</v>
      </c>
      <c r="P80" s="6">
        <f>+P79-P59</f>
        <v>-9.7999999999999972</v>
      </c>
      <c r="Q80" s="6">
        <f t="shared" ref="Q80" si="224">+Q79-Q59</f>
        <v>-13.030000000000001</v>
      </c>
      <c r="R80" s="6">
        <f t="shared" ref="R80" si="225">+R79-R59</f>
        <v>-4.7419999999999991</v>
      </c>
      <c r="S80" s="6">
        <f t="shared" ref="S80:T80" si="226">+S79-S59</f>
        <v>-0.21899999999999942</v>
      </c>
      <c r="T80" s="6">
        <f t="shared" si="226"/>
        <v>-4.3939999999999992</v>
      </c>
      <c r="U80" s="10"/>
      <c r="V80" s="10"/>
      <c r="W80" s="10"/>
      <c r="X80" s="10"/>
      <c r="Y80" s="10"/>
      <c r="Z80" s="10"/>
      <c r="AA80" s="10"/>
      <c r="AB80" s="10"/>
      <c r="AC80" s="10"/>
      <c r="AD80" s="6">
        <f t="shared" ref="AD80" si="227">+AD79-AD59</f>
        <v>-16.451999999999998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2:20">
      <c r="B81" s="3" t="s">
        <v>140</v>
      </c>
      <c r="O81" s="4">
        <f t="shared" ref="O81:Q81" si="228">SUM(L80:O80)</f>
        <v>-36.199000000000005</v>
      </c>
      <c r="P81" s="4">
        <f t="shared" si="228"/>
        <v>-37.036999999999999</v>
      </c>
      <c r="Q81" s="4">
        <f t="shared" si="228"/>
        <v>-28.143000000000001</v>
      </c>
      <c r="R81" s="4">
        <f>SUM(O80:R80)</f>
        <v>-16.451999999999998</v>
      </c>
      <c r="S81" s="4">
        <f>SUM(P80:S80)</f>
        <v>-27.790999999999997</v>
      </c>
      <c r="T81" s="4">
        <f t="shared" ref="T81" si="229">SUM(Q80:T80)</f>
        <v>-22.384999999999998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1" sqref="C21"/>
    </sheetView>
  </sheetViews>
  <sheetFormatPr defaultRowHeight="12.75"/>
  <cols>
    <col min="1" max="1" width="5" bestFit="1" customWidth="1"/>
    <col min="2" max="2" width="18.5703125" bestFit="1" customWidth="1"/>
    <col min="3" max="8" width="9.140625" style="2"/>
  </cols>
  <sheetData>
    <row r="1" spans="1:11">
      <c r="A1" s="18" t="s">
        <v>7</v>
      </c>
    </row>
    <row r="2" spans="1:11">
      <c r="B2" s="22" t="s">
        <v>139</v>
      </c>
      <c r="K2" s="19"/>
    </row>
    <row r="3" spans="1:11">
      <c r="B3" s="19" t="s">
        <v>115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J3" s="2"/>
      <c r="K3" s="2"/>
    </row>
    <row r="4" spans="1:11">
      <c r="B4" t="s">
        <v>114</v>
      </c>
      <c r="C4" s="2">
        <v>10</v>
      </c>
      <c r="D4" s="2">
        <v>10</v>
      </c>
      <c r="E4" s="2">
        <v>10</v>
      </c>
      <c r="F4" s="2">
        <v>10</v>
      </c>
      <c r="G4" s="2">
        <v>10</v>
      </c>
      <c r="H4" s="2">
        <v>10</v>
      </c>
      <c r="J4" s="2"/>
      <c r="K4" s="2"/>
    </row>
    <row r="5" spans="1:11" s="12" customFormat="1">
      <c r="B5" s="12" t="s">
        <v>8</v>
      </c>
      <c r="C5" s="6">
        <f t="shared" ref="C5" si="0">+C4*C6/1000</f>
        <v>74.850519999999989</v>
      </c>
      <c r="D5" s="6">
        <f>+D4*D6/1000</f>
        <v>76.967179999999999</v>
      </c>
      <c r="E5" s="6">
        <f t="shared" ref="E5:G5" si="1">+E4*E6/1000</f>
        <v>0</v>
      </c>
      <c r="F5" s="6">
        <f t="shared" si="1"/>
        <v>0</v>
      </c>
      <c r="G5" s="6">
        <f t="shared" si="1"/>
        <v>80.286880000000011</v>
      </c>
      <c r="H5" s="6">
        <f>+H4*H6/1000</f>
        <v>80.111509999999996</v>
      </c>
      <c r="J5" s="6"/>
      <c r="K5" s="6"/>
    </row>
    <row r="6" spans="1:11">
      <c r="B6" t="s">
        <v>134</v>
      </c>
      <c r="C6" s="8">
        <v>7485.0519999999997</v>
      </c>
      <c r="D6" s="8">
        <v>7696.7179999999998</v>
      </c>
      <c r="E6" s="8"/>
      <c r="F6" s="8"/>
      <c r="G6" s="8">
        <v>8028.6880000000001</v>
      </c>
      <c r="H6" s="8">
        <v>8011.1509999999998</v>
      </c>
    </row>
    <row r="7" spans="1:11">
      <c r="B7" t="s">
        <v>21</v>
      </c>
      <c r="D7" s="8">
        <v>592.03700000000003</v>
      </c>
      <c r="G7" s="8">
        <v>635.01499999999999</v>
      </c>
      <c r="H7" s="8">
        <v>640.38400000000001</v>
      </c>
    </row>
    <row r="8" spans="1:11">
      <c r="B8" t="s">
        <v>135</v>
      </c>
      <c r="D8" s="8">
        <f>+D7/D4</f>
        <v>59.203700000000005</v>
      </c>
      <c r="G8" s="8">
        <f>+G7/G4</f>
        <v>63.5015</v>
      </c>
      <c r="H8" s="8">
        <f>+H7/H4</f>
        <v>64.038399999999996</v>
      </c>
    </row>
    <row r="9" spans="1:11">
      <c r="B9" t="s">
        <v>137</v>
      </c>
      <c r="D9" s="2">
        <v>110.87</v>
      </c>
      <c r="H9" s="2">
        <v>105.59</v>
      </c>
    </row>
    <row r="10" spans="1:11">
      <c r="B10" t="s">
        <v>136</v>
      </c>
      <c r="D10" s="8">
        <f>D9*D7/1000</f>
        <v>65.639142190000015</v>
      </c>
      <c r="H10" s="8">
        <f>H9*H7/1000</f>
        <v>67.618146560000014</v>
      </c>
    </row>
    <row r="11" spans="1:11">
      <c r="B11" t="s">
        <v>106</v>
      </c>
      <c r="H11" s="9">
        <f>H10/D10-1</f>
        <v>3.0149759792282849E-2</v>
      </c>
    </row>
    <row r="13" spans="1:11">
      <c r="B13" s="19" t="s">
        <v>113</v>
      </c>
    </row>
    <row r="14" spans="1:11">
      <c r="B14" t="s">
        <v>114</v>
      </c>
      <c r="C14" s="2">
        <v>35</v>
      </c>
      <c r="D14" s="2">
        <v>35</v>
      </c>
      <c r="E14" s="2">
        <v>35</v>
      </c>
      <c r="F14" s="2">
        <v>35</v>
      </c>
      <c r="G14" s="2">
        <v>35</v>
      </c>
      <c r="H14" s="2">
        <v>35</v>
      </c>
    </row>
    <row r="15" spans="1:11">
      <c r="B15" s="12" t="s">
        <v>8</v>
      </c>
      <c r="C15" s="20">
        <f>+C14*C16/1000</f>
        <v>197.88509999999997</v>
      </c>
      <c r="D15" s="20">
        <f>+D14*D16/1000</f>
        <v>204.79248999999999</v>
      </c>
      <c r="E15" s="20">
        <f t="shared" ref="E15:G15" si="2">+E14*E16/1000</f>
        <v>0</v>
      </c>
      <c r="F15" s="20">
        <f t="shared" si="2"/>
        <v>0</v>
      </c>
      <c r="G15" s="20">
        <f t="shared" si="2"/>
        <v>216.66599500000004</v>
      </c>
      <c r="H15" s="20">
        <f>+H14*H16/1000</f>
        <v>217.0189</v>
      </c>
    </row>
    <row r="16" spans="1:11">
      <c r="B16" t="s">
        <v>134</v>
      </c>
      <c r="C16" s="8">
        <v>5653.86</v>
      </c>
      <c r="D16" s="8">
        <v>5851.2139999999999</v>
      </c>
      <c r="E16" s="8"/>
      <c r="F16" s="8"/>
      <c r="G16" s="8">
        <v>6190.4570000000003</v>
      </c>
      <c r="H16" s="8">
        <v>6200.54</v>
      </c>
    </row>
    <row r="17" spans="2:8">
      <c r="B17" t="s">
        <v>21</v>
      </c>
      <c r="C17" s="8">
        <v>1657.8820000000001</v>
      </c>
      <c r="D17" s="8">
        <v>1694.95</v>
      </c>
      <c r="E17" s="8"/>
      <c r="F17" s="8"/>
      <c r="G17" s="8">
        <v>1806.2260000000001</v>
      </c>
      <c r="H17" s="8">
        <v>1815.9269999999999</v>
      </c>
    </row>
    <row r="18" spans="2:8">
      <c r="B18" t="s">
        <v>135</v>
      </c>
      <c r="D18" s="8">
        <f>+D17/D14</f>
        <v>48.427142857142861</v>
      </c>
      <c r="G18" s="8">
        <f>+G17/G14</f>
        <v>51.606457142857145</v>
      </c>
      <c r="H18" s="8">
        <f>+H17/H14</f>
        <v>51.883628571428567</v>
      </c>
    </row>
    <row r="19" spans="2:8">
      <c r="B19" t="s">
        <v>137</v>
      </c>
      <c r="D19" s="2">
        <v>103.33</v>
      </c>
      <c r="H19" s="2">
        <v>100.92</v>
      </c>
    </row>
    <row r="20" spans="2:8">
      <c r="B20" t="s">
        <v>136</v>
      </c>
      <c r="D20" s="8">
        <f>D19*D17/1000</f>
        <v>175.1391835</v>
      </c>
      <c r="H20" s="8">
        <f>H19*H17/1000</f>
        <v>183.26335284000001</v>
      </c>
    </row>
    <row r="21" spans="2:8">
      <c r="B21" t="s">
        <v>106</v>
      </c>
      <c r="H21" s="9">
        <f>H20/D20-1</f>
        <v>4.6386931682823596E-2</v>
      </c>
    </row>
    <row r="23" spans="2:8">
      <c r="B23" s="21">
        <v>2007</v>
      </c>
    </row>
    <row r="24" spans="2:8">
      <c r="B24" t="s">
        <v>114</v>
      </c>
      <c r="C24" s="2">
        <v>208</v>
      </c>
      <c r="D24" s="2">
        <v>208</v>
      </c>
      <c r="E24" s="2">
        <v>208</v>
      </c>
      <c r="F24" s="2">
        <v>208</v>
      </c>
      <c r="G24" s="2">
        <v>208</v>
      </c>
      <c r="H24" s="2">
        <v>208</v>
      </c>
    </row>
    <row r="25" spans="2:8">
      <c r="B25" s="12" t="s">
        <v>8</v>
      </c>
      <c r="C25" s="20">
        <f>C24*C26/1000</f>
        <v>42.081935999999999</v>
      </c>
      <c r="D25" s="20">
        <f>D24*D26/1000</f>
        <v>43.944160000000004</v>
      </c>
      <c r="E25" s="20">
        <f t="shared" ref="E25:F25" si="3">E24*E26/1000</f>
        <v>0</v>
      </c>
      <c r="F25" s="20">
        <f t="shared" si="3"/>
        <v>0</v>
      </c>
      <c r="G25" s="20">
        <f t="shared" ref="G25" si="4">G24*G26/1000</f>
        <v>46.989696000000002</v>
      </c>
      <c r="H25" s="20">
        <f t="shared" ref="H25" si="5">H24*H26/1000</f>
        <v>47.168784000000002</v>
      </c>
    </row>
    <row r="26" spans="2:8">
      <c r="B26" t="s">
        <v>134</v>
      </c>
      <c r="C26" s="8">
        <v>202.31700000000001</v>
      </c>
      <c r="D26" s="8">
        <v>211.27</v>
      </c>
      <c r="E26" s="8"/>
      <c r="F26" s="8"/>
      <c r="G26" s="8">
        <v>225.91200000000001</v>
      </c>
      <c r="H26" s="8">
        <v>226.773</v>
      </c>
    </row>
    <row r="27" spans="2:8">
      <c r="B27" t="s">
        <v>21</v>
      </c>
      <c r="C27" s="8">
        <v>806.78899999999999</v>
      </c>
      <c r="D27" s="8">
        <v>816.38</v>
      </c>
      <c r="E27" s="8"/>
      <c r="F27" s="8"/>
      <c r="G27" s="8">
        <v>856.154</v>
      </c>
      <c r="H27" s="8">
        <v>852.85500000000002</v>
      </c>
    </row>
    <row r="28" spans="2:8">
      <c r="B28" t="s">
        <v>135</v>
      </c>
      <c r="C28" s="8">
        <f>C27/C24</f>
        <v>3.8787932692307692</v>
      </c>
      <c r="D28" s="8">
        <f>D27/D24</f>
        <v>3.9249038461538461</v>
      </c>
      <c r="G28" s="8">
        <f>G27/G24</f>
        <v>4.1161250000000003</v>
      </c>
      <c r="H28" s="8">
        <f>H27/H24</f>
        <v>4.100264423076923</v>
      </c>
    </row>
    <row r="29" spans="2:8">
      <c r="B29" t="s">
        <v>137</v>
      </c>
      <c r="C29" s="8"/>
      <c r="D29" s="7">
        <v>42.03</v>
      </c>
      <c r="E29" s="8"/>
      <c r="F29" s="8"/>
      <c r="G29" s="8"/>
      <c r="H29" s="7">
        <v>42.04</v>
      </c>
    </row>
    <row r="30" spans="2:8">
      <c r="B30" t="s">
        <v>136</v>
      </c>
      <c r="D30" s="8">
        <f>D29*D27/1000</f>
        <v>34.3124514</v>
      </c>
      <c r="H30" s="8">
        <f>H29*H27/1000</f>
        <v>35.854024199999998</v>
      </c>
    </row>
    <row r="31" spans="2:8">
      <c r="B31" t="s">
        <v>106</v>
      </c>
      <c r="H31" s="9">
        <f>H30/D30-1</f>
        <v>4.4927504072180602E-2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2016-05-07T18:49:32Z</dcterms:created>
  <dcterms:modified xsi:type="dcterms:W3CDTF">2016-09-11T21:45:09Z</dcterms:modified>
</cp:coreProperties>
</file>