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670" windowHeight="12150" activeTab="2"/>
  </bookViews>
  <sheets>
    <sheet name="Main" sheetId="1" r:id="rId1"/>
    <sheet name="USD" sheetId="2" r:id="rId2"/>
    <sheet name="RMB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D13" i="3"/>
  <c r="D11" i="3"/>
  <c r="D7" i="3"/>
  <c r="D22" i="3" s="1"/>
  <c r="H15" i="3"/>
  <c r="H13" i="3"/>
  <c r="H20" i="3"/>
  <c r="H11" i="3"/>
  <c r="H7" i="3"/>
  <c r="H22" i="3" s="1"/>
  <c r="I40" i="3"/>
  <c r="I37" i="3"/>
  <c r="I41" i="3" s="1"/>
  <c r="I33" i="3"/>
  <c r="I30" i="3"/>
  <c r="I27" i="3"/>
  <c r="I26" i="3"/>
  <c r="I31" i="3" s="1"/>
  <c r="E23" i="3"/>
  <c r="E22" i="3"/>
  <c r="E15" i="3"/>
  <c r="E13" i="3"/>
  <c r="E11" i="3"/>
  <c r="E7" i="3"/>
  <c r="E12" i="3" s="1"/>
  <c r="E14" i="3" s="1"/>
  <c r="E16" i="3" s="1"/>
  <c r="E17" i="3" s="1"/>
  <c r="I23" i="3"/>
  <c r="I22" i="3"/>
  <c r="I20" i="3"/>
  <c r="I15" i="3"/>
  <c r="I13" i="3"/>
  <c r="I11" i="3"/>
  <c r="I7" i="3"/>
  <c r="J25" i="3"/>
  <c r="J27" i="3"/>
  <c r="J40" i="3"/>
  <c r="J33" i="3"/>
  <c r="J41" i="3" s="1"/>
  <c r="J37" i="3"/>
  <c r="J30" i="3"/>
  <c r="J26" i="3"/>
  <c r="J31" i="3" s="1"/>
  <c r="J22" i="3"/>
  <c r="F22" i="3"/>
  <c r="J20" i="3"/>
  <c r="F15" i="3"/>
  <c r="F13" i="3"/>
  <c r="F11" i="3"/>
  <c r="F7" i="3"/>
  <c r="J15" i="3"/>
  <c r="J13" i="3"/>
  <c r="J14" i="3" s="1"/>
  <c r="J16" i="3" s="1"/>
  <c r="J17" i="3" s="1"/>
  <c r="J11" i="3"/>
  <c r="J7" i="3"/>
  <c r="J12" i="3" s="1"/>
  <c r="J23" i="3" s="1"/>
  <c r="J22" i="2"/>
  <c r="J28" i="2"/>
  <c r="J43" i="2"/>
  <c r="J36" i="2"/>
  <c r="J40" i="2"/>
  <c r="J44" i="2"/>
  <c r="J34" i="2"/>
  <c r="J33" i="2"/>
  <c r="J30" i="2"/>
  <c r="J29" i="2"/>
  <c r="D12" i="3" l="1"/>
  <c r="D23" i="3" s="1"/>
  <c r="H12" i="3"/>
  <c r="H23" i="3" s="1"/>
  <c r="I25" i="3"/>
  <c r="I12" i="3"/>
  <c r="I14" i="3" s="1"/>
  <c r="I16" i="3" s="1"/>
  <c r="I17" i="3" s="1"/>
  <c r="F12" i="3"/>
  <c r="F23" i="3" s="1"/>
  <c r="F14" i="3"/>
  <c r="F16" i="3" s="1"/>
  <c r="F17" i="3" s="1"/>
  <c r="U17" i="2"/>
  <c r="U15" i="2"/>
  <c r="U13" i="2"/>
  <c r="U9" i="2"/>
  <c r="U14" i="2" s="1"/>
  <c r="U16" i="2" s="1"/>
  <c r="U18" i="2" s="1"/>
  <c r="U19" i="2" s="1"/>
  <c r="H17" i="2"/>
  <c r="H15" i="2"/>
  <c r="H13" i="2"/>
  <c r="H9" i="2"/>
  <c r="H24" i="2" s="1"/>
  <c r="I17" i="2"/>
  <c r="I15" i="2"/>
  <c r="I13" i="2"/>
  <c r="I9" i="2"/>
  <c r="I24" i="2" s="1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D14" i="3" l="1"/>
  <c r="D16" i="3" s="1"/>
  <c r="D17" i="3" s="1"/>
  <c r="H14" i="3"/>
  <c r="H16" i="3" s="1"/>
  <c r="H17" i="3" s="1"/>
  <c r="H14" i="2"/>
  <c r="I14" i="2"/>
  <c r="J17" i="2"/>
  <c r="J15" i="2"/>
  <c r="J13" i="2"/>
  <c r="J9" i="2"/>
  <c r="J24" i="2" s="1"/>
  <c r="J6" i="1"/>
  <c r="J5" i="1"/>
  <c r="J9" i="1" s="1"/>
  <c r="J4" i="1"/>
  <c r="J7" i="1" s="1"/>
  <c r="I16" i="2" l="1"/>
  <c r="I18" i="2" s="1"/>
  <c r="I19" i="2" s="1"/>
  <c r="I25" i="2"/>
  <c r="H16" i="2"/>
  <c r="H18" i="2" s="1"/>
  <c r="H19" i="2" s="1"/>
  <c r="H25" i="2"/>
  <c r="J14" i="2"/>
  <c r="J25" i="2" l="1"/>
  <c r="J16" i="2"/>
  <c r="J18" i="2" s="1"/>
  <c r="J19" i="2" s="1"/>
</calcChain>
</file>

<file path=xl/sharedStrings.xml><?xml version="1.0" encoding="utf-8"?>
<sst xmlns="http://schemas.openxmlformats.org/spreadsheetml/2006/main" count="108" uniqueCount="59">
  <si>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</si>
  <si>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</si>
  <si>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</si>
  <si>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</si>
  <si>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</si>
  <si>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</si>
  <si>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</si>
  <si>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</si>
  <si>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</si>
  <si>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</si>
  <si>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</si>
  <si>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</si>
  <si>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</si>
  <si>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</si>
  <si>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</si>
  <si>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</si>
  <si>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</si>
  <si>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</si>
  <si>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</si>
  <si>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COGS</t>
  </si>
  <si>
    <t>Gross Margin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</si>
  <si>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</si>
  <si>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</si>
  <si>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</si>
  <si>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</si>
  <si>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</si>
  <si>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</si>
  <si>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</si>
  <si>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Taxes+MI</t>
  </si>
  <si>
    <t>Net Income</t>
  </si>
  <si>
    <t>Revenue Growth y/y</t>
  </si>
  <si>
    <t>Operating Margin</t>
  </si>
  <si>
    <t>EPS</t>
  </si>
  <si>
    <t>Net Cash</t>
  </si>
  <si>
    <t>Assets</t>
  </si>
  <si>
    <t>Goodwill</t>
  </si>
  <si>
    <t>Land</t>
  </si>
  <si>
    <t>PP&amp;E</t>
  </si>
  <si>
    <t>A/R</t>
  </si>
  <si>
    <t>Taxes</t>
  </si>
  <si>
    <t>AE</t>
  </si>
  <si>
    <t>Deposits</t>
  </si>
  <si>
    <t>D/R</t>
  </si>
  <si>
    <t>D/T</t>
  </si>
  <si>
    <t>OL</t>
  </si>
  <si>
    <t>S/E</t>
  </si>
  <si>
    <t>L+S/E</t>
  </si>
  <si>
    <t>Main</t>
  </si>
  <si>
    <t>GMV</t>
  </si>
  <si>
    <t>GMV (RMB)</t>
  </si>
  <si>
    <t>RMB</t>
  </si>
  <si>
    <t>USD</t>
  </si>
  <si>
    <t>Gross Profit</t>
  </si>
  <si>
    <t>Revenue Growth</t>
  </si>
  <si>
    <t>DR</t>
  </si>
  <si>
    <t>DT</t>
  </si>
  <si>
    <t>Aliyun</t>
  </si>
  <si>
    <t>Cloud Computing Division</t>
  </si>
  <si>
    <t>Alimama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</si>
</sst>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applyFont="1"/>
    <xf numFmtId="3" fontId="0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47625</xdr:rowOff>
    </xdr:from>
    <xdr:to>
      <xdr:col>10</xdr:col>
      <xdr:colOff>28575</xdr:colOff>
      <xdr:row>45</xdr:row>
      <xdr:rowOff>47625</xdr:rowOff>
    </xdr:to>
    <xdr:cxnSp macro="">
      <xdr:nvCxnSpPr>
        <xdr:cNvPr id="3" name="Straight Connector 2"/>
        <xdr:cNvCxnSpPr/>
      </xdr:nvCxnSpPr>
      <xdr:spPr>
        <a:xfrm>
          <a:off x="6791325" y="47625"/>
          <a:ext cx="0" cy="777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38100</xdr:rowOff>
    </xdr:from>
    <xdr:to>
      <xdr:col>10</xdr:col>
      <xdr:colOff>38100</xdr:colOff>
      <xdr:row>48</xdr:row>
      <xdr:rowOff>85725</xdr:rowOff>
    </xdr:to>
    <xdr:cxnSp macro="">
      <xdr:nvCxnSpPr>
        <xdr:cNvPr id="3" name="Straight Connector 2"/>
        <xdr:cNvCxnSpPr/>
      </xdr:nvCxnSpPr>
      <xdr:spPr>
        <a:xfrm>
          <a:off x="6457950" y="38100"/>
          <a:ext cx="0" cy="798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workbookViewId="0">
      <selection activeCell="C3" sqref="C3"/>
    </sheetView>
  </sheetViews>
  <sheetFormatPr defaultRowHeight="12.75" x14ac:dyDescent="0.2"/>
  <sheetData>
    <row r="2" spans="2:11" x14ac:dyDescent="0.2">
      <c r="B2" t="s">
        <v>56</v>
      </c>
      <c r="C2" t="s">
        <v>57</v>
      </c>
      <c r="I2" t="s">
        <v>0</v>
      </c>
      <c r="J2" s="1">
        <v>74.010000000000005</v>
      </c>
    </row>
    <row r="3" spans="2:11" x14ac:dyDescent="0.2">
      <c r="B3" t="s">
        <v>58</v>
      </c>
      <c r="I3" t="s">
        <v>1</v>
      </c>
      <c r="J3" s="3">
        <v>2550</v>
      </c>
      <c r="K3" s="4" t="s">
        <v>6</v>
      </c>
    </row>
    <row r="4" spans="2:11" x14ac:dyDescent="0.2">
      <c r="I4" t="s">
        <v>2</v>
      </c>
      <c r="J4" s="3">
        <f>+J3*J2</f>
        <v>188725.5</v>
      </c>
      <c r="K4" s="4"/>
    </row>
    <row r="5" spans="2:11" x14ac:dyDescent="0.2">
      <c r="I5" t="s">
        <v>3</v>
      </c>
      <c r="J5" s="3">
        <f>18258+12232+5571+203+318</f>
        <v>36582</v>
      </c>
      <c r="K5" s="4" t="s">
        <v>6</v>
      </c>
    </row>
    <row r="6" spans="2:11" x14ac:dyDescent="0.2">
      <c r="I6" t="s">
        <v>4</v>
      </c>
      <c r="J6" s="3">
        <f>7999+455+271</f>
        <v>8725</v>
      </c>
      <c r="K6" s="4" t="s">
        <v>6</v>
      </c>
    </row>
    <row r="7" spans="2:11" x14ac:dyDescent="0.2">
      <c r="I7" t="s">
        <v>5</v>
      </c>
      <c r="J7" s="3">
        <f>+J4-J5+J6</f>
        <v>160868.5</v>
      </c>
    </row>
    <row r="9" spans="2:11" x14ac:dyDescent="0.2">
      <c r="J9" s="5">
        <f>+J5-J6</f>
        <v>27857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" bestFit="1" customWidth="1"/>
    <col min="2" max="2" width="18.85546875" bestFit="1" customWidth="1"/>
    <col min="3" max="9" width="9.140625" style="4"/>
    <col min="10" max="10" width="9.42578125" style="4" customWidth="1"/>
    <col min="11" max="14" width="9.140625" style="4"/>
  </cols>
  <sheetData>
    <row r="1" spans="1:36" x14ac:dyDescent="0.2">
      <c r="A1" s="14" t="s">
        <v>47</v>
      </c>
      <c r="U1" s="13">
        <v>42094</v>
      </c>
    </row>
    <row r="2" spans="1:36" x14ac:dyDescent="0.2">
      <c r="B2" t="s">
        <v>51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6</v>
      </c>
      <c r="K2" s="4" t="s">
        <v>15</v>
      </c>
      <c r="L2" s="4" t="s">
        <v>16</v>
      </c>
      <c r="M2" s="4" t="s">
        <v>17</v>
      </c>
      <c r="N2" s="4" t="s">
        <v>18</v>
      </c>
      <c r="P2">
        <v>2010</v>
      </c>
      <c r="Q2">
        <f>+P2+1</f>
        <v>2011</v>
      </c>
      <c r="R2">
        <f t="shared" ref="R2:AJ2" si="0">+Q2+1</f>
        <v>2012</v>
      </c>
      <c r="S2">
        <f t="shared" si="0"/>
        <v>2013</v>
      </c>
      <c r="T2">
        <f t="shared" si="0"/>
        <v>2014</v>
      </c>
      <c r="U2">
        <f t="shared" si="0"/>
        <v>2015</v>
      </c>
      <c r="V2">
        <f t="shared" si="0"/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</row>
    <row r="3" spans="1:36" x14ac:dyDescent="0.2">
      <c r="B3" t="s">
        <v>49</v>
      </c>
      <c r="C3" s="4">
        <v>430</v>
      </c>
      <c r="D3" s="4">
        <v>501</v>
      </c>
      <c r="E3" s="4">
        <v>556</v>
      </c>
      <c r="F3" s="4">
        <v>787</v>
      </c>
      <c r="G3" s="4">
        <v>600</v>
      </c>
      <c r="H3" s="4">
        <v>673</v>
      </c>
      <c r="I3" s="4">
        <v>713</v>
      </c>
      <c r="J3" s="4">
        <v>964</v>
      </c>
    </row>
    <row r="7" spans="1:36" s="8" customFormat="1" x14ac:dyDescent="0.2">
      <c r="B7" s="8" t="s">
        <v>7</v>
      </c>
      <c r="C7" s="9"/>
      <c r="D7" s="9"/>
      <c r="E7" s="9"/>
      <c r="F7" s="9"/>
      <c r="G7" s="9"/>
      <c r="H7" s="9">
        <v>3265</v>
      </c>
      <c r="I7" s="9">
        <v>3488</v>
      </c>
      <c r="J7" s="9">
        <v>5333</v>
      </c>
      <c r="K7" s="9"/>
      <c r="L7" s="9"/>
      <c r="M7" s="9"/>
      <c r="N7" s="9"/>
      <c r="U7" s="8">
        <v>12293</v>
      </c>
    </row>
    <row r="8" spans="1:36" s="5" customFormat="1" x14ac:dyDescent="0.2">
      <c r="B8" s="5" t="s">
        <v>19</v>
      </c>
      <c r="C8" s="6"/>
      <c r="D8" s="6"/>
      <c r="E8" s="6"/>
      <c r="F8" s="6"/>
      <c r="G8" s="6"/>
      <c r="H8" s="6">
        <v>1083</v>
      </c>
      <c r="I8" s="6">
        <v>1122</v>
      </c>
      <c r="J8" s="6">
        <v>1691</v>
      </c>
      <c r="K8" s="6"/>
      <c r="L8" s="6"/>
      <c r="M8" s="6"/>
      <c r="N8" s="6"/>
      <c r="U8" s="5">
        <v>3845</v>
      </c>
    </row>
    <row r="9" spans="1:36" s="5" customFormat="1" x14ac:dyDescent="0.2">
      <c r="B9" s="5" t="s">
        <v>20</v>
      </c>
      <c r="C9" s="6"/>
      <c r="D9" s="6"/>
      <c r="E9" s="6"/>
      <c r="F9" s="6"/>
      <c r="G9" s="6"/>
      <c r="H9" s="6">
        <f>+H7-H8</f>
        <v>2182</v>
      </c>
      <c r="I9" s="6">
        <f>+I7-I8</f>
        <v>2366</v>
      </c>
      <c r="J9" s="6">
        <f>+J7-J8</f>
        <v>3642</v>
      </c>
      <c r="K9" s="6"/>
      <c r="L9" s="6"/>
      <c r="M9" s="6"/>
      <c r="N9" s="6"/>
      <c r="U9" s="5">
        <f>+U7-U8</f>
        <v>8448</v>
      </c>
    </row>
    <row r="10" spans="1:36" s="5" customFormat="1" x14ac:dyDescent="0.2">
      <c r="B10" s="5" t="s">
        <v>21</v>
      </c>
      <c r="C10" s="6"/>
      <c r="D10" s="6"/>
      <c r="E10" s="6"/>
      <c r="F10" s="6"/>
      <c r="G10" s="6"/>
      <c r="H10" s="6">
        <v>523</v>
      </c>
      <c r="I10" s="6">
        <v>507</v>
      </c>
      <c r="J10" s="6">
        <v>579</v>
      </c>
      <c r="K10" s="6"/>
      <c r="L10" s="6"/>
      <c r="M10" s="6"/>
      <c r="N10" s="6"/>
      <c r="U10" s="5">
        <v>1720</v>
      </c>
    </row>
    <row r="11" spans="1:36" s="5" customFormat="1" x14ac:dyDescent="0.2">
      <c r="B11" s="5" t="s">
        <v>22</v>
      </c>
      <c r="C11" s="6"/>
      <c r="D11" s="6"/>
      <c r="E11" s="6"/>
      <c r="F11" s="6"/>
      <c r="G11" s="6"/>
      <c r="H11" s="6">
        <v>361</v>
      </c>
      <c r="I11" s="6">
        <v>403</v>
      </c>
      <c r="J11" s="6">
        <v>562</v>
      </c>
      <c r="K11" s="6"/>
      <c r="L11" s="6"/>
      <c r="M11" s="6"/>
      <c r="N11" s="6"/>
      <c r="U11" s="5">
        <v>1373</v>
      </c>
    </row>
    <row r="12" spans="1:36" s="5" customFormat="1" x14ac:dyDescent="0.2">
      <c r="B12" s="5" t="s">
        <v>23</v>
      </c>
      <c r="C12" s="6"/>
      <c r="D12" s="6"/>
      <c r="E12" s="6"/>
      <c r="F12" s="6"/>
      <c r="G12" s="6"/>
      <c r="H12" s="6">
        <v>361</v>
      </c>
      <c r="I12" s="6">
        <v>335</v>
      </c>
      <c r="J12" s="6">
        <v>386</v>
      </c>
      <c r="K12" s="6"/>
      <c r="L12" s="6"/>
      <c r="M12" s="6"/>
      <c r="N12" s="6"/>
      <c r="U12" s="5">
        <v>1258</v>
      </c>
    </row>
    <row r="13" spans="1:36" s="5" customFormat="1" x14ac:dyDescent="0.2">
      <c r="B13" s="5" t="s">
        <v>24</v>
      </c>
      <c r="C13" s="6"/>
      <c r="D13" s="6"/>
      <c r="E13" s="6"/>
      <c r="F13" s="6"/>
      <c r="G13" s="6"/>
      <c r="H13" s="6">
        <f>SUM(H10:H12)</f>
        <v>1245</v>
      </c>
      <c r="I13" s="6">
        <f>SUM(I10:I12)</f>
        <v>1245</v>
      </c>
      <c r="J13" s="6">
        <f>SUM(J10:J12)</f>
        <v>1527</v>
      </c>
      <c r="K13" s="6"/>
      <c r="L13" s="6"/>
      <c r="M13" s="6"/>
      <c r="N13" s="6"/>
      <c r="U13" s="5">
        <f>SUM(U10:U12)</f>
        <v>4351</v>
      </c>
    </row>
    <row r="14" spans="1:36" s="5" customFormat="1" x14ac:dyDescent="0.2">
      <c r="B14" s="5" t="s">
        <v>25</v>
      </c>
      <c r="C14" s="6"/>
      <c r="D14" s="6"/>
      <c r="E14" s="6"/>
      <c r="F14" s="6"/>
      <c r="G14" s="6"/>
      <c r="H14" s="6">
        <f>H9-H13</f>
        <v>937</v>
      </c>
      <c r="I14" s="6">
        <f>I9-I13</f>
        <v>1121</v>
      </c>
      <c r="J14" s="6">
        <f>J9-J13</f>
        <v>2115</v>
      </c>
      <c r="K14" s="6"/>
      <c r="L14" s="6"/>
      <c r="M14" s="6"/>
      <c r="N14" s="6"/>
      <c r="U14" s="5">
        <f>U9-U13</f>
        <v>4097</v>
      </c>
    </row>
    <row r="15" spans="1:36" x14ac:dyDescent="0.2">
      <c r="B15" s="5" t="s">
        <v>26</v>
      </c>
      <c r="H15" s="6">
        <f>4417-77+89</f>
        <v>4429</v>
      </c>
      <c r="I15" s="6">
        <f>2856-76+67</f>
        <v>2847</v>
      </c>
      <c r="J15" s="6">
        <f>455-73+248</f>
        <v>630</v>
      </c>
      <c r="U15" s="5">
        <f>1525-443+401</f>
        <v>1483</v>
      </c>
    </row>
    <row r="16" spans="1:36" x14ac:dyDescent="0.2">
      <c r="B16" s="5" t="s">
        <v>27</v>
      </c>
      <c r="H16" s="6">
        <f>H14+H15</f>
        <v>5366</v>
      </c>
      <c r="I16" s="6">
        <f>I14+I15</f>
        <v>3968</v>
      </c>
      <c r="J16" s="6">
        <f>J14+J15</f>
        <v>2745</v>
      </c>
      <c r="U16" s="5">
        <f>+U15+U14</f>
        <v>5580</v>
      </c>
    </row>
    <row r="17" spans="2:21" x14ac:dyDescent="0.2">
      <c r="B17" s="5" t="s">
        <v>28</v>
      </c>
      <c r="H17" s="6">
        <f>225+66-5</f>
        <v>286</v>
      </c>
      <c r="I17" s="6">
        <f>263+18</f>
        <v>281</v>
      </c>
      <c r="J17" s="6">
        <f>549+77</f>
        <v>626</v>
      </c>
      <c r="U17" s="5">
        <f>1035+257</f>
        <v>1292</v>
      </c>
    </row>
    <row r="18" spans="2:21" x14ac:dyDescent="0.2">
      <c r="B18" s="5" t="s">
        <v>29</v>
      </c>
      <c r="H18" s="6">
        <f>+H16-H17</f>
        <v>5080</v>
      </c>
      <c r="I18" s="6">
        <f>+I16-I17</f>
        <v>3687</v>
      </c>
      <c r="J18" s="6">
        <f>+J16-J17</f>
        <v>2119</v>
      </c>
      <c r="U18" s="5">
        <f>+U16-U17</f>
        <v>4288</v>
      </c>
    </row>
    <row r="19" spans="2:21" s="1" customFormat="1" x14ac:dyDescent="0.2">
      <c r="B19" s="1" t="s">
        <v>32</v>
      </c>
      <c r="C19" s="12"/>
      <c r="D19" s="12"/>
      <c r="E19" s="12"/>
      <c r="F19" s="12"/>
      <c r="G19" s="12"/>
      <c r="H19" s="12">
        <f>H18/H20</f>
        <v>1.9812792511700468</v>
      </c>
      <c r="I19" s="12">
        <f>I18/I20</f>
        <v>1.4379875195007801</v>
      </c>
      <c r="J19" s="12">
        <f t="shared" ref="J19" si="1">J18/J20</f>
        <v>0.8309803921568627</v>
      </c>
      <c r="K19" s="12"/>
      <c r="L19" s="12"/>
      <c r="M19" s="12"/>
      <c r="N19" s="12"/>
      <c r="U19" s="1">
        <f>U18/U20</f>
        <v>1.7152000000000001</v>
      </c>
    </row>
    <row r="20" spans="2:21" x14ac:dyDescent="0.2">
      <c r="B20" s="5" t="s">
        <v>1</v>
      </c>
      <c r="H20" s="6">
        <v>2564</v>
      </c>
      <c r="I20" s="6">
        <v>2564</v>
      </c>
      <c r="J20" s="6">
        <v>2550</v>
      </c>
      <c r="U20" s="5">
        <v>2500</v>
      </c>
    </row>
    <row r="22" spans="2:21" s="2" customFormat="1" x14ac:dyDescent="0.2">
      <c r="B22" s="2" t="s">
        <v>30</v>
      </c>
      <c r="C22" s="10"/>
      <c r="D22" s="10"/>
      <c r="E22" s="10"/>
      <c r="F22" s="10"/>
      <c r="G22" s="10"/>
      <c r="H22" s="10"/>
      <c r="I22" s="10"/>
      <c r="J22" s="11">
        <f>34543/26179-1</f>
        <v>0.31949272317506394</v>
      </c>
      <c r="K22" s="10"/>
      <c r="L22" s="10"/>
      <c r="M22" s="10"/>
      <c r="N22" s="10"/>
    </row>
    <row r="24" spans="2:21" x14ac:dyDescent="0.2">
      <c r="B24" t="s">
        <v>20</v>
      </c>
      <c r="H24" s="7">
        <f t="shared" ref="H24:I24" si="2">H9/H7</f>
        <v>0.66830015313935687</v>
      </c>
      <c r="I24" s="7">
        <f t="shared" si="2"/>
        <v>0.67832568807339455</v>
      </c>
      <c r="J24" s="7">
        <f>J9/J7</f>
        <v>0.68291768235514716</v>
      </c>
    </row>
    <row r="25" spans="2:21" x14ac:dyDescent="0.2">
      <c r="B25" t="s">
        <v>31</v>
      </c>
      <c r="H25" s="7">
        <f t="shared" ref="H25:I25" si="3">H14/H7</f>
        <v>0.28698315467075036</v>
      </c>
      <c r="I25" s="7">
        <f t="shared" si="3"/>
        <v>0.32138761467889909</v>
      </c>
      <c r="J25" s="7">
        <f>J14/J7</f>
        <v>0.3965872867054191</v>
      </c>
    </row>
    <row r="28" spans="2:21" x14ac:dyDescent="0.2">
      <c r="B28" t="s">
        <v>33</v>
      </c>
      <c r="J28" s="6">
        <f>J29-J36</f>
        <v>27865</v>
      </c>
    </row>
    <row r="29" spans="2:21" s="5" customFormat="1" x14ac:dyDescent="0.2">
      <c r="B29" s="5" t="s">
        <v>3</v>
      </c>
      <c r="C29" s="6"/>
      <c r="D29" s="6"/>
      <c r="E29" s="6"/>
      <c r="F29" s="6"/>
      <c r="G29" s="6"/>
      <c r="H29" s="6"/>
      <c r="I29" s="6"/>
      <c r="J29" s="6">
        <f>17028+1238+203+318+12232+5571</f>
        <v>36590</v>
      </c>
      <c r="K29" s="6"/>
      <c r="L29" s="6"/>
      <c r="M29" s="6"/>
      <c r="N29" s="6"/>
    </row>
    <row r="30" spans="2:21" s="5" customFormat="1" x14ac:dyDescent="0.2">
      <c r="B30" s="5" t="s">
        <v>38</v>
      </c>
      <c r="C30" s="6"/>
      <c r="D30" s="6"/>
      <c r="E30" s="6"/>
      <c r="F30" s="6"/>
      <c r="G30" s="6"/>
      <c r="H30" s="6"/>
      <c r="I30" s="6"/>
      <c r="J30" s="6">
        <f>2306+1289</f>
        <v>3595</v>
      </c>
      <c r="K30" s="6"/>
      <c r="L30" s="6"/>
      <c r="M30" s="6"/>
      <c r="N30" s="6"/>
    </row>
    <row r="31" spans="2:21" s="5" customFormat="1" x14ac:dyDescent="0.2">
      <c r="B31" s="5" t="s">
        <v>37</v>
      </c>
      <c r="C31" s="6"/>
      <c r="D31" s="6"/>
      <c r="E31" s="6"/>
      <c r="F31" s="6"/>
      <c r="G31" s="6"/>
      <c r="H31" s="6"/>
      <c r="I31" s="6"/>
      <c r="J31" s="6">
        <v>2137</v>
      </c>
      <c r="K31" s="6"/>
      <c r="L31" s="6"/>
      <c r="M31" s="6"/>
      <c r="N31" s="6"/>
    </row>
    <row r="32" spans="2:21" s="5" customFormat="1" x14ac:dyDescent="0.2">
      <c r="B32" s="5" t="s">
        <v>36</v>
      </c>
      <c r="C32" s="6"/>
      <c r="D32" s="6"/>
      <c r="E32" s="6"/>
      <c r="F32" s="6"/>
      <c r="G32" s="6"/>
      <c r="H32" s="6"/>
      <c r="I32" s="6"/>
      <c r="J32" s="6">
        <v>447</v>
      </c>
      <c r="K32" s="6"/>
      <c r="L32" s="6"/>
      <c r="M32" s="6"/>
      <c r="N32" s="6"/>
    </row>
    <row r="33" spans="2:14" s="5" customFormat="1" x14ac:dyDescent="0.2">
      <c r="B33" s="5" t="s">
        <v>35</v>
      </c>
      <c r="C33" s="6"/>
      <c r="D33" s="6"/>
      <c r="E33" s="6"/>
      <c r="F33" s="6"/>
      <c r="G33" s="6"/>
      <c r="H33" s="6"/>
      <c r="I33" s="6"/>
      <c r="J33" s="6">
        <f>923+12604</f>
        <v>13527</v>
      </c>
      <c r="K33" s="6"/>
      <c r="L33" s="6"/>
      <c r="M33" s="6"/>
      <c r="N33" s="6"/>
    </row>
    <row r="34" spans="2:14" s="5" customFormat="1" x14ac:dyDescent="0.2">
      <c r="B34" s="5" t="s">
        <v>34</v>
      </c>
      <c r="C34" s="6"/>
      <c r="D34" s="6"/>
      <c r="E34" s="6"/>
      <c r="F34" s="6"/>
      <c r="G34" s="6"/>
      <c r="H34" s="6"/>
      <c r="I34" s="6"/>
      <c r="J34" s="6">
        <f>SUM(J29:J33)</f>
        <v>56296</v>
      </c>
      <c r="K34" s="6"/>
      <c r="L34" s="6"/>
      <c r="M34" s="6"/>
      <c r="N34" s="6"/>
    </row>
    <row r="36" spans="2:14" s="5" customFormat="1" x14ac:dyDescent="0.2">
      <c r="B36" s="5" t="s">
        <v>4</v>
      </c>
      <c r="C36" s="6"/>
      <c r="D36" s="6"/>
      <c r="E36" s="6"/>
      <c r="F36" s="6"/>
      <c r="G36" s="6"/>
      <c r="H36" s="6"/>
      <c r="I36" s="6"/>
      <c r="J36" s="6">
        <f>455+271+7999</f>
        <v>8725</v>
      </c>
      <c r="K36" s="6"/>
      <c r="L36" s="6"/>
      <c r="M36" s="6"/>
      <c r="N36" s="6"/>
    </row>
    <row r="37" spans="2:14" s="5" customFormat="1" x14ac:dyDescent="0.2">
      <c r="B37" s="5" t="s">
        <v>39</v>
      </c>
      <c r="C37" s="6"/>
      <c r="D37" s="6"/>
      <c r="E37" s="6"/>
      <c r="F37" s="6"/>
      <c r="G37" s="6"/>
      <c r="H37" s="6"/>
      <c r="I37" s="6"/>
      <c r="J37" s="6">
        <v>472</v>
      </c>
      <c r="K37" s="6"/>
      <c r="L37" s="6"/>
      <c r="M37" s="6"/>
      <c r="N37" s="6"/>
    </row>
    <row r="38" spans="2:14" s="5" customFormat="1" x14ac:dyDescent="0.2">
      <c r="B38" s="5" t="s">
        <v>40</v>
      </c>
      <c r="C38" s="6"/>
      <c r="D38" s="6"/>
      <c r="E38" s="6"/>
      <c r="F38" s="6"/>
      <c r="G38" s="6"/>
      <c r="H38" s="6"/>
      <c r="I38" s="6"/>
      <c r="J38" s="6">
        <v>3928</v>
      </c>
      <c r="K38" s="6"/>
      <c r="L38" s="6"/>
      <c r="M38" s="6"/>
      <c r="N38" s="6"/>
    </row>
    <row r="39" spans="2:14" s="5" customFormat="1" x14ac:dyDescent="0.2">
      <c r="B39" s="5" t="s">
        <v>41</v>
      </c>
      <c r="C39" s="6"/>
      <c r="D39" s="6"/>
      <c r="E39" s="6"/>
      <c r="F39" s="6"/>
      <c r="G39" s="6"/>
      <c r="H39" s="6"/>
      <c r="I39" s="6"/>
      <c r="J39" s="6">
        <v>1959</v>
      </c>
      <c r="K39" s="6"/>
      <c r="L39" s="6"/>
      <c r="M39" s="6"/>
      <c r="N39" s="6"/>
    </row>
    <row r="40" spans="2:14" s="5" customFormat="1" x14ac:dyDescent="0.2">
      <c r="B40" s="5" t="s">
        <v>42</v>
      </c>
      <c r="C40" s="6"/>
      <c r="D40" s="6"/>
      <c r="E40" s="6"/>
      <c r="F40" s="6"/>
      <c r="G40" s="6"/>
      <c r="H40" s="6"/>
      <c r="I40" s="6"/>
      <c r="J40" s="6">
        <f>1522+62</f>
        <v>1584</v>
      </c>
      <c r="K40" s="6"/>
      <c r="L40" s="6"/>
      <c r="M40" s="6"/>
      <c r="N40" s="6"/>
    </row>
    <row r="41" spans="2:14" s="5" customFormat="1" x14ac:dyDescent="0.2">
      <c r="B41" s="5" t="s">
        <v>43</v>
      </c>
      <c r="C41" s="6"/>
      <c r="D41" s="6"/>
      <c r="E41" s="6"/>
      <c r="F41" s="6"/>
      <c r="G41" s="6"/>
      <c r="H41" s="6"/>
      <c r="I41" s="6"/>
      <c r="J41" s="6">
        <v>970</v>
      </c>
      <c r="K41" s="6"/>
      <c r="L41" s="6"/>
      <c r="M41" s="6"/>
      <c r="N41" s="6"/>
    </row>
    <row r="42" spans="2:14" s="5" customFormat="1" x14ac:dyDescent="0.2">
      <c r="B42" s="5" t="s">
        <v>44</v>
      </c>
      <c r="C42" s="6"/>
      <c r="D42" s="6"/>
      <c r="E42" s="6"/>
      <c r="F42" s="6"/>
      <c r="G42" s="6"/>
      <c r="H42" s="6"/>
      <c r="I42" s="6"/>
      <c r="J42" s="6">
        <v>384</v>
      </c>
      <c r="K42" s="6"/>
      <c r="L42" s="6"/>
      <c r="M42" s="6"/>
      <c r="N42" s="6"/>
    </row>
    <row r="43" spans="2:14" s="5" customFormat="1" x14ac:dyDescent="0.2">
      <c r="B43" s="5" t="s">
        <v>45</v>
      </c>
      <c r="C43" s="6"/>
      <c r="D43" s="6"/>
      <c r="E43" s="6"/>
      <c r="F43" s="6"/>
      <c r="G43" s="6"/>
      <c r="H43" s="6"/>
      <c r="I43" s="6"/>
      <c r="J43" s="6">
        <f>38215+59</f>
        <v>38274</v>
      </c>
      <c r="K43" s="6"/>
      <c r="L43" s="6"/>
      <c r="M43" s="6"/>
      <c r="N43" s="6"/>
    </row>
    <row r="44" spans="2:14" s="5" customFormat="1" x14ac:dyDescent="0.2">
      <c r="B44" s="5" t="s">
        <v>46</v>
      </c>
      <c r="C44" s="6"/>
      <c r="D44" s="6"/>
      <c r="E44" s="6"/>
      <c r="F44" s="6"/>
      <c r="G44" s="6"/>
      <c r="H44" s="6"/>
      <c r="I44" s="6"/>
      <c r="J44" s="6">
        <f>SUM(J36:J43)</f>
        <v>56296</v>
      </c>
      <c r="K44" s="6"/>
      <c r="L44" s="6"/>
      <c r="M44" s="6"/>
      <c r="N44" s="6"/>
    </row>
  </sheetData>
  <hyperlinks>
    <hyperlink ref="A1" location="Main!A1" display="Main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4"/>
  </cols>
  <sheetData>
    <row r="1" spans="1:14" x14ac:dyDescent="0.2">
      <c r="A1" s="14" t="s">
        <v>47</v>
      </c>
    </row>
    <row r="2" spans="1:14" x14ac:dyDescent="0.2">
      <c r="B2" t="s">
        <v>50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6</v>
      </c>
      <c r="K2" s="4" t="s">
        <v>15</v>
      </c>
      <c r="L2" s="4" t="s">
        <v>16</v>
      </c>
      <c r="M2" s="4" t="s">
        <v>17</v>
      </c>
      <c r="N2" s="4" t="s">
        <v>18</v>
      </c>
    </row>
    <row r="3" spans="1:14" s="5" customFormat="1" x14ac:dyDescent="0.2">
      <c r="B3" s="5" t="s">
        <v>48</v>
      </c>
      <c r="C3" s="6">
        <v>430</v>
      </c>
      <c r="D3" s="6">
        <v>501</v>
      </c>
      <c r="E3" s="6">
        <v>556</v>
      </c>
      <c r="F3" s="6">
        <v>787</v>
      </c>
      <c r="G3" s="6">
        <v>600</v>
      </c>
      <c r="H3" s="6">
        <v>673</v>
      </c>
      <c r="I3" s="6">
        <v>713</v>
      </c>
      <c r="J3" s="6">
        <v>964</v>
      </c>
      <c r="K3" s="6"/>
      <c r="L3" s="6"/>
      <c r="M3" s="6"/>
      <c r="N3" s="6"/>
    </row>
    <row r="4" spans="1:14" s="5" customFormat="1" x14ac:dyDescent="0.2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s="8" customFormat="1" x14ac:dyDescent="0.2">
      <c r="B5" s="8" t="s">
        <v>7</v>
      </c>
      <c r="C5" s="9"/>
      <c r="D5" s="9">
        <v>15771</v>
      </c>
      <c r="E5" s="9">
        <v>16829</v>
      </c>
      <c r="F5" s="9">
        <v>26179</v>
      </c>
      <c r="G5" s="9"/>
      <c r="H5" s="9">
        <v>20245</v>
      </c>
      <c r="I5" s="9">
        <v>22171</v>
      </c>
      <c r="J5" s="9">
        <v>34543</v>
      </c>
      <c r="K5" s="9"/>
      <c r="L5" s="9"/>
      <c r="M5" s="9"/>
      <c r="N5" s="9"/>
    </row>
    <row r="6" spans="1:14" s="5" customFormat="1" x14ac:dyDescent="0.2">
      <c r="B6" s="5" t="s">
        <v>19</v>
      </c>
      <c r="C6" s="6"/>
      <c r="D6" s="6">
        <v>4585</v>
      </c>
      <c r="E6" s="6">
        <v>5596</v>
      </c>
      <c r="F6" s="6">
        <v>7520</v>
      </c>
      <c r="G6" s="6"/>
      <c r="H6" s="6">
        <v>6711</v>
      </c>
      <c r="I6" s="6">
        <v>7131</v>
      </c>
      <c r="J6" s="6">
        <v>10951</v>
      </c>
      <c r="K6" s="6"/>
      <c r="L6" s="6"/>
      <c r="M6" s="6"/>
      <c r="N6" s="6"/>
    </row>
    <row r="7" spans="1:14" s="5" customFormat="1" x14ac:dyDescent="0.2">
      <c r="B7" s="5" t="s">
        <v>52</v>
      </c>
      <c r="C7" s="6"/>
      <c r="D7" s="6">
        <f>+D5-D6</f>
        <v>11186</v>
      </c>
      <c r="E7" s="6">
        <f>+E5-E6</f>
        <v>11233</v>
      </c>
      <c r="F7" s="6">
        <f>+F5-F6</f>
        <v>18659</v>
      </c>
      <c r="G7" s="6"/>
      <c r="H7" s="6">
        <f>+H5-H6</f>
        <v>13534</v>
      </c>
      <c r="I7" s="6">
        <f>+I5-I6</f>
        <v>15040</v>
      </c>
      <c r="J7" s="6">
        <f>+J5-J6</f>
        <v>23592</v>
      </c>
      <c r="K7" s="6"/>
      <c r="L7" s="6"/>
      <c r="M7" s="6"/>
      <c r="N7" s="6"/>
    </row>
    <row r="8" spans="1:14" s="5" customFormat="1" x14ac:dyDescent="0.2">
      <c r="B8" s="5" t="s">
        <v>21</v>
      </c>
      <c r="C8" s="6"/>
      <c r="D8" s="6">
        <v>1952</v>
      </c>
      <c r="E8" s="6">
        <v>2581</v>
      </c>
      <c r="F8" s="6">
        <v>3083</v>
      </c>
      <c r="G8" s="6"/>
      <c r="H8" s="6">
        <v>3241</v>
      </c>
      <c r="I8" s="6">
        <v>3225</v>
      </c>
      <c r="J8" s="6">
        <v>3749</v>
      </c>
      <c r="K8" s="6"/>
      <c r="L8" s="6"/>
      <c r="M8" s="6"/>
      <c r="N8" s="6"/>
    </row>
    <row r="9" spans="1:14" s="5" customFormat="1" x14ac:dyDescent="0.2">
      <c r="B9" s="5" t="s">
        <v>22</v>
      </c>
      <c r="C9" s="6"/>
      <c r="D9" s="6">
        <v>1212</v>
      </c>
      <c r="E9" s="6">
        <v>1749</v>
      </c>
      <c r="F9" s="6">
        <v>3021</v>
      </c>
      <c r="G9" s="6"/>
      <c r="H9" s="6">
        <v>2241</v>
      </c>
      <c r="I9" s="6">
        <v>2564</v>
      </c>
      <c r="J9" s="6">
        <v>3641</v>
      </c>
      <c r="K9" s="6"/>
      <c r="L9" s="6"/>
      <c r="M9" s="6"/>
      <c r="N9" s="6"/>
    </row>
    <row r="10" spans="1:14" s="5" customFormat="1" x14ac:dyDescent="0.2">
      <c r="B10" s="5" t="s">
        <v>23</v>
      </c>
      <c r="C10" s="6"/>
      <c r="D10" s="6">
        <v>944</v>
      </c>
      <c r="E10" s="6">
        <v>1960</v>
      </c>
      <c r="F10" s="6">
        <v>2419</v>
      </c>
      <c r="G10" s="6"/>
      <c r="H10" s="6">
        <v>2244</v>
      </c>
      <c r="I10" s="6">
        <v>2128</v>
      </c>
      <c r="J10" s="6">
        <v>2500</v>
      </c>
      <c r="K10" s="6"/>
      <c r="L10" s="6"/>
      <c r="M10" s="6"/>
      <c r="N10" s="6"/>
    </row>
    <row r="11" spans="1:14" s="5" customFormat="1" x14ac:dyDescent="0.2">
      <c r="B11" s="5" t="s">
        <v>24</v>
      </c>
      <c r="C11" s="6"/>
      <c r="D11" s="6">
        <f>SUM(D8:D10)</f>
        <v>4108</v>
      </c>
      <c r="E11" s="6">
        <f>SUM(E8:E10)</f>
        <v>6290</v>
      </c>
      <c r="F11" s="6">
        <f>SUM(F8:F10)</f>
        <v>8523</v>
      </c>
      <c r="G11" s="6"/>
      <c r="H11" s="6">
        <f>SUM(H8:H10)</f>
        <v>7726</v>
      </c>
      <c r="I11" s="6">
        <f>SUM(I8:I10)</f>
        <v>7917</v>
      </c>
      <c r="J11" s="6">
        <f>SUM(J8:J10)</f>
        <v>9890</v>
      </c>
      <c r="K11" s="6"/>
      <c r="L11" s="6"/>
      <c r="M11" s="6"/>
      <c r="N11" s="6"/>
    </row>
    <row r="12" spans="1:14" s="5" customFormat="1" x14ac:dyDescent="0.2">
      <c r="B12" s="5" t="s">
        <v>25</v>
      </c>
      <c r="C12" s="6"/>
      <c r="D12" s="6">
        <f>D7-D11</f>
        <v>7078</v>
      </c>
      <c r="E12" s="6">
        <f>E7-E11</f>
        <v>4943</v>
      </c>
      <c r="F12" s="6">
        <f>F7-F11</f>
        <v>10136</v>
      </c>
      <c r="G12" s="6"/>
      <c r="H12" s="6">
        <f>H7-H11</f>
        <v>5808</v>
      </c>
      <c r="I12" s="6">
        <f>I7-I11</f>
        <v>7123</v>
      </c>
      <c r="J12" s="6">
        <f>J7-J11</f>
        <v>13702</v>
      </c>
      <c r="K12" s="6"/>
      <c r="L12" s="6"/>
      <c r="M12" s="6"/>
      <c r="N12" s="6"/>
    </row>
    <row r="13" spans="1:14" s="5" customFormat="1" x14ac:dyDescent="0.2">
      <c r="B13" s="5" t="s">
        <v>26</v>
      </c>
      <c r="C13" s="6"/>
      <c r="D13" s="6">
        <f>6828-410+711</f>
        <v>7129</v>
      </c>
      <c r="E13" s="6">
        <f>468-521+378</f>
        <v>325</v>
      </c>
      <c r="F13" s="6">
        <f>313-1344+901</f>
        <v>-130</v>
      </c>
      <c r="G13" s="6"/>
      <c r="H13" s="6">
        <f>27382-477+551</f>
        <v>27456</v>
      </c>
      <c r="I13" s="6">
        <f>18150-484+429</f>
        <v>18095</v>
      </c>
      <c r="J13" s="6">
        <f>2944-475+1607</f>
        <v>4076</v>
      </c>
      <c r="K13" s="6"/>
      <c r="L13" s="6"/>
      <c r="M13" s="6"/>
      <c r="N13" s="6"/>
    </row>
    <row r="14" spans="1:14" s="5" customFormat="1" x14ac:dyDescent="0.2">
      <c r="B14" s="5" t="s">
        <v>27</v>
      </c>
      <c r="C14" s="6"/>
      <c r="D14" s="6">
        <f>+D13+D12</f>
        <v>14207</v>
      </c>
      <c r="E14" s="6">
        <f>+E13+E12</f>
        <v>5268</v>
      </c>
      <c r="F14" s="6">
        <f>+F13+F12</f>
        <v>10006</v>
      </c>
      <c r="G14" s="6"/>
      <c r="H14" s="6">
        <f>+H13+H12</f>
        <v>33264</v>
      </c>
      <c r="I14" s="6">
        <f>+I13+I12</f>
        <v>25218</v>
      </c>
      <c r="J14" s="6">
        <f>+J13+J12</f>
        <v>17778</v>
      </c>
      <c r="K14" s="6"/>
      <c r="L14" s="6"/>
      <c r="M14" s="6"/>
      <c r="N14" s="6"/>
    </row>
    <row r="15" spans="1:14" s="5" customFormat="1" x14ac:dyDescent="0.2">
      <c r="B15" s="5" t="s">
        <v>39</v>
      </c>
      <c r="C15" s="6"/>
      <c r="D15" s="6">
        <f>1445+90+34</f>
        <v>1569</v>
      </c>
      <c r="E15" s="6">
        <f>1339+301+2</f>
        <v>1642</v>
      </c>
      <c r="F15" s="6">
        <f>2429+805+47</f>
        <v>3281</v>
      </c>
      <c r="G15" s="6"/>
      <c r="H15" s="6">
        <f>1394+407-27</f>
        <v>1774</v>
      </c>
      <c r="I15" s="6">
        <f>1671+116-51</f>
        <v>1736</v>
      </c>
      <c r="J15" s="6">
        <f>3559+495-42</f>
        <v>4012</v>
      </c>
      <c r="K15" s="6"/>
      <c r="L15" s="6"/>
      <c r="M15" s="6"/>
      <c r="N15" s="6"/>
    </row>
    <row r="16" spans="1:14" s="5" customFormat="1" x14ac:dyDescent="0.2">
      <c r="B16" s="5" t="s">
        <v>29</v>
      </c>
      <c r="C16" s="6"/>
      <c r="D16" s="6">
        <f>+D14-D15</f>
        <v>12638</v>
      </c>
      <c r="E16" s="6">
        <f>+E14-E15</f>
        <v>3626</v>
      </c>
      <c r="F16" s="6">
        <f>+F14-F15</f>
        <v>6725</v>
      </c>
      <c r="G16" s="6"/>
      <c r="H16" s="6">
        <f>+H14-H15</f>
        <v>31490</v>
      </c>
      <c r="I16" s="6">
        <f>+I14-I15</f>
        <v>23482</v>
      </c>
      <c r="J16" s="6">
        <f>+J14-J15</f>
        <v>13766</v>
      </c>
      <c r="K16" s="6"/>
      <c r="L16" s="6"/>
      <c r="M16" s="6"/>
      <c r="N16" s="6"/>
    </row>
    <row r="17" spans="2:14" x14ac:dyDescent="0.2">
      <c r="B17" t="s">
        <v>32</v>
      </c>
      <c r="D17" s="12">
        <f>+D16/D18</f>
        <v>5.3011744966442951</v>
      </c>
      <c r="E17" s="12">
        <f>+E16/E18</f>
        <v>1.4872846595570139</v>
      </c>
      <c r="F17" s="12">
        <f>+F16/F18</f>
        <v>2.5985316846986088</v>
      </c>
      <c r="H17" s="12">
        <f>+H16/H18</f>
        <v>12.167697063369397</v>
      </c>
      <c r="I17" s="12">
        <f>+I16/I18</f>
        <v>9.1583463338533537</v>
      </c>
      <c r="J17" s="12">
        <f>+J16/J18</f>
        <v>5.3984313725490196</v>
      </c>
    </row>
    <row r="18" spans="2:14" s="5" customFormat="1" x14ac:dyDescent="0.2">
      <c r="B18" s="5" t="s">
        <v>1</v>
      </c>
      <c r="C18" s="6"/>
      <c r="D18" s="6">
        <v>2384</v>
      </c>
      <c r="E18" s="6">
        <v>2438</v>
      </c>
      <c r="F18" s="6">
        <v>2588</v>
      </c>
      <c r="G18" s="6"/>
      <c r="H18" s="6">
        <v>2588</v>
      </c>
      <c r="I18" s="6">
        <v>2564</v>
      </c>
      <c r="J18" s="6">
        <v>2550</v>
      </c>
      <c r="K18" s="6"/>
      <c r="L18" s="6"/>
      <c r="M18" s="6"/>
      <c r="N18" s="6"/>
    </row>
    <row r="20" spans="2:14" x14ac:dyDescent="0.2">
      <c r="B20" s="5" t="s">
        <v>53</v>
      </c>
      <c r="H20" s="7">
        <f>H5/D5-1</f>
        <v>0.28368524507006532</v>
      </c>
      <c r="I20" s="7">
        <f>I5/E5-1</f>
        <v>0.31742824885614129</v>
      </c>
      <c r="J20" s="7">
        <f>J5/F5-1</f>
        <v>0.31949272317506394</v>
      </c>
    </row>
    <row r="22" spans="2:14" x14ac:dyDescent="0.2">
      <c r="B22" s="5" t="s">
        <v>20</v>
      </c>
      <c r="D22" s="7">
        <f>D7/D5</f>
        <v>0.70927652019529519</v>
      </c>
      <c r="E22" s="7">
        <f>E7/E5</f>
        <v>0.66747875690771885</v>
      </c>
      <c r="F22" s="7">
        <f>F7/F5</f>
        <v>0.71274685816876127</v>
      </c>
      <c r="H22" s="7">
        <f>H7/H5</f>
        <v>0.66851074339343053</v>
      </c>
      <c r="I22" s="7">
        <f>I7/I5</f>
        <v>0.67836362816291551</v>
      </c>
      <c r="J22" s="7">
        <f>J7/J5</f>
        <v>0.6829748429493675</v>
      </c>
    </row>
    <row r="23" spans="2:14" x14ac:dyDescent="0.2">
      <c r="B23" t="s">
        <v>31</v>
      </c>
      <c r="D23" s="7">
        <f>D12/D5</f>
        <v>0.44879842749350074</v>
      </c>
      <c r="E23" s="7">
        <f>E12/E5</f>
        <v>0.29371917523322838</v>
      </c>
      <c r="F23" s="7">
        <f>F12/F5</f>
        <v>0.3871805645746591</v>
      </c>
      <c r="H23" s="7">
        <f>H12/H5</f>
        <v>0.28688565077796985</v>
      </c>
      <c r="I23" s="7">
        <f>I12/I5</f>
        <v>0.32127554011997655</v>
      </c>
      <c r="J23" s="7">
        <f>J12/J5</f>
        <v>0.39666502619922994</v>
      </c>
    </row>
    <row r="25" spans="2:14" s="5" customFormat="1" x14ac:dyDescent="0.2">
      <c r="B25" s="5" t="s">
        <v>33</v>
      </c>
      <c r="C25" s="6"/>
      <c r="D25" s="6"/>
      <c r="E25" s="6"/>
      <c r="F25" s="6"/>
      <c r="G25" s="6"/>
      <c r="H25" s="6"/>
      <c r="I25" s="6">
        <f>I26-I33</f>
        <v>151456</v>
      </c>
      <c r="J25" s="6">
        <f>J26-J33</f>
        <v>180504</v>
      </c>
      <c r="K25" s="6"/>
      <c r="L25" s="6"/>
      <c r="M25" s="6"/>
      <c r="N25" s="6"/>
    </row>
    <row r="26" spans="2:14" s="5" customFormat="1" x14ac:dyDescent="0.2">
      <c r="B26" s="5" t="s">
        <v>3</v>
      </c>
      <c r="C26" s="6"/>
      <c r="D26" s="6"/>
      <c r="E26" s="6"/>
      <c r="F26" s="6"/>
      <c r="G26" s="6"/>
      <c r="H26" s="6"/>
      <c r="I26" s="6">
        <f>96747+8944+1919+2274+68180+27555</f>
        <v>205619</v>
      </c>
      <c r="J26" s="6">
        <f>110301+8022+1312+2059+79235+36091</f>
        <v>237020</v>
      </c>
      <c r="K26" s="6"/>
      <c r="L26" s="6"/>
      <c r="M26" s="6"/>
      <c r="N26" s="6"/>
    </row>
    <row r="27" spans="2:14" s="5" customFormat="1" x14ac:dyDescent="0.2">
      <c r="B27" s="5" t="s">
        <v>38</v>
      </c>
      <c r="C27" s="6"/>
      <c r="D27" s="6"/>
      <c r="E27" s="6"/>
      <c r="F27" s="6"/>
      <c r="G27" s="6"/>
      <c r="H27" s="6"/>
      <c r="I27" s="6">
        <f>12107+6924</f>
        <v>19031</v>
      </c>
      <c r="J27" s="6">
        <f>14938+8351</f>
        <v>23289</v>
      </c>
      <c r="K27" s="6"/>
      <c r="L27" s="6"/>
      <c r="M27" s="6"/>
      <c r="N27" s="6"/>
    </row>
    <row r="28" spans="2:14" s="5" customFormat="1" x14ac:dyDescent="0.2">
      <c r="B28" s="5" t="s">
        <v>37</v>
      </c>
      <c r="C28" s="6"/>
      <c r="D28" s="6"/>
      <c r="E28" s="6"/>
      <c r="F28" s="6"/>
      <c r="G28" s="6"/>
      <c r="H28" s="6"/>
      <c r="I28" s="6">
        <v>11428</v>
      </c>
      <c r="J28" s="6">
        <v>13844</v>
      </c>
      <c r="K28" s="6"/>
      <c r="L28" s="6"/>
      <c r="M28" s="6"/>
      <c r="N28" s="6"/>
    </row>
    <row r="29" spans="2:14" s="5" customFormat="1" x14ac:dyDescent="0.2">
      <c r="B29" s="5" t="s">
        <v>36</v>
      </c>
      <c r="C29" s="6"/>
      <c r="D29" s="6"/>
      <c r="E29" s="6"/>
      <c r="F29" s="6"/>
      <c r="G29" s="6"/>
      <c r="H29" s="6"/>
      <c r="I29" s="6">
        <v>2910</v>
      </c>
      <c r="J29" s="6">
        <v>2893</v>
      </c>
      <c r="K29" s="6"/>
      <c r="L29" s="6"/>
      <c r="M29" s="6"/>
      <c r="N29" s="6"/>
    </row>
    <row r="30" spans="2:14" s="5" customFormat="1" x14ac:dyDescent="0.2">
      <c r="B30" s="5" t="s">
        <v>35</v>
      </c>
      <c r="C30" s="6"/>
      <c r="D30" s="6"/>
      <c r="E30" s="6"/>
      <c r="F30" s="6"/>
      <c r="G30" s="6"/>
      <c r="H30" s="6"/>
      <c r="I30" s="6">
        <f>6661+82109</f>
        <v>88770</v>
      </c>
      <c r="J30" s="6">
        <f>5980+81645</f>
        <v>87625</v>
      </c>
      <c r="K30" s="6"/>
      <c r="L30" s="6"/>
      <c r="M30" s="6"/>
      <c r="N30" s="6"/>
    </row>
    <row r="31" spans="2:14" s="5" customFormat="1" x14ac:dyDescent="0.2">
      <c r="B31" s="5" t="s">
        <v>34</v>
      </c>
      <c r="C31" s="6"/>
      <c r="D31" s="6"/>
      <c r="E31" s="6"/>
      <c r="F31" s="6"/>
      <c r="G31" s="6"/>
      <c r="H31" s="6"/>
      <c r="I31" s="6">
        <f>SUM(I26:I30)</f>
        <v>327758</v>
      </c>
      <c r="J31" s="6">
        <f>SUM(J26:J30)</f>
        <v>364671</v>
      </c>
      <c r="K31" s="6"/>
      <c r="L31" s="6"/>
      <c r="M31" s="6"/>
      <c r="N31" s="6"/>
    </row>
    <row r="32" spans="2:14" s="5" customFormat="1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2:14" s="5" customFormat="1" x14ac:dyDescent="0.2">
      <c r="B33" s="5" t="s">
        <v>4</v>
      </c>
      <c r="C33" s="6"/>
      <c r="D33" s="6"/>
      <c r="E33" s="6"/>
      <c r="F33" s="6"/>
      <c r="G33" s="6"/>
      <c r="H33" s="6"/>
      <c r="I33" s="6">
        <f>1440+2012+50711</f>
        <v>54163</v>
      </c>
      <c r="J33" s="6">
        <f>2950+1754+51812</f>
        <v>56516</v>
      </c>
      <c r="K33" s="6"/>
      <c r="L33" s="6"/>
      <c r="M33" s="6"/>
      <c r="N33" s="6"/>
    </row>
    <row r="34" spans="2:14" s="5" customFormat="1" x14ac:dyDescent="0.2">
      <c r="B34" s="5" t="s">
        <v>39</v>
      </c>
      <c r="C34" s="6"/>
      <c r="D34" s="6"/>
      <c r="E34" s="6"/>
      <c r="F34" s="6"/>
      <c r="G34" s="6"/>
      <c r="H34" s="6"/>
      <c r="I34" s="6">
        <v>1413</v>
      </c>
      <c r="J34" s="6">
        <v>3056</v>
      </c>
      <c r="K34" s="6"/>
      <c r="L34" s="6"/>
      <c r="M34" s="6"/>
      <c r="N34" s="6"/>
    </row>
    <row r="35" spans="2:14" s="5" customFormat="1" x14ac:dyDescent="0.2">
      <c r="B35" s="5" t="s">
        <v>40</v>
      </c>
      <c r="C35" s="6"/>
      <c r="D35" s="6"/>
      <c r="E35" s="6"/>
      <c r="F35" s="6"/>
      <c r="G35" s="6"/>
      <c r="H35" s="6"/>
      <c r="I35" s="6">
        <v>23609</v>
      </c>
      <c r="J35" s="6">
        <v>25445</v>
      </c>
      <c r="K35" s="6"/>
      <c r="L35" s="6"/>
      <c r="M35" s="6"/>
      <c r="N35" s="6"/>
    </row>
    <row r="36" spans="2:14" s="5" customFormat="1" x14ac:dyDescent="0.2">
      <c r="B36" s="5" t="s">
        <v>41</v>
      </c>
      <c r="C36" s="6"/>
      <c r="D36" s="6"/>
      <c r="E36" s="6"/>
      <c r="F36" s="6"/>
      <c r="G36" s="6"/>
      <c r="H36" s="6"/>
      <c r="I36" s="6">
        <v>7468</v>
      </c>
      <c r="J36" s="6">
        <v>12688</v>
      </c>
      <c r="K36" s="6"/>
      <c r="L36" s="6"/>
      <c r="M36" s="6"/>
      <c r="N36" s="6"/>
    </row>
    <row r="37" spans="2:14" s="5" customFormat="1" x14ac:dyDescent="0.2">
      <c r="B37" s="5" t="s">
        <v>54</v>
      </c>
      <c r="C37" s="6"/>
      <c r="D37" s="6"/>
      <c r="E37" s="6"/>
      <c r="F37" s="6"/>
      <c r="G37" s="6"/>
      <c r="H37" s="6"/>
      <c r="I37" s="6">
        <f>9157+415</f>
        <v>9572</v>
      </c>
      <c r="J37" s="6">
        <f>9863+402</f>
        <v>10265</v>
      </c>
      <c r="K37" s="6"/>
      <c r="L37" s="6"/>
      <c r="M37" s="6"/>
      <c r="N37" s="6"/>
    </row>
    <row r="38" spans="2:14" s="5" customFormat="1" x14ac:dyDescent="0.2">
      <c r="B38" s="5" t="s">
        <v>55</v>
      </c>
      <c r="C38" s="6"/>
      <c r="D38" s="6"/>
      <c r="E38" s="6"/>
      <c r="F38" s="6"/>
      <c r="G38" s="6"/>
      <c r="H38" s="6"/>
      <c r="I38" s="6">
        <v>5420</v>
      </c>
      <c r="J38" s="6">
        <v>6286</v>
      </c>
      <c r="K38" s="6"/>
      <c r="L38" s="6"/>
      <c r="M38" s="6"/>
      <c r="N38" s="6"/>
    </row>
    <row r="39" spans="2:14" s="5" customFormat="1" x14ac:dyDescent="0.2">
      <c r="B39" s="5" t="s">
        <v>44</v>
      </c>
      <c r="C39" s="6"/>
      <c r="D39" s="6"/>
      <c r="E39" s="6"/>
      <c r="F39" s="6"/>
      <c r="G39" s="6"/>
      <c r="H39" s="6"/>
      <c r="I39" s="6">
        <v>2194</v>
      </c>
      <c r="J39" s="6">
        <v>2485</v>
      </c>
      <c r="K39" s="6"/>
      <c r="L39" s="6"/>
      <c r="M39" s="6"/>
      <c r="N39" s="6"/>
    </row>
    <row r="40" spans="2:14" s="5" customFormat="1" x14ac:dyDescent="0.2">
      <c r="B40" s="5" t="s">
        <v>45</v>
      </c>
      <c r="C40" s="6"/>
      <c r="D40" s="6"/>
      <c r="E40" s="6"/>
      <c r="F40" s="6"/>
      <c r="G40" s="6"/>
      <c r="H40" s="6"/>
      <c r="I40" s="6">
        <f>366+223553</f>
        <v>223919</v>
      </c>
      <c r="J40" s="6">
        <f>384+247546</f>
        <v>247930</v>
      </c>
      <c r="K40" s="6"/>
      <c r="L40" s="6"/>
      <c r="M40" s="6"/>
      <c r="N40" s="6"/>
    </row>
    <row r="41" spans="2:14" s="5" customFormat="1" x14ac:dyDescent="0.2">
      <c r="B41" s="5" t="s">
        <v>46</v>
      </c>
      <c r="C41" s="6"/>
      <c r="D41" s="6"/>
      <c r="E41" s="6"/>
      <c r="F41" s="6"/>
      <c r="G41" s="6"/>
      <c r="H41" s="6"/>
      <c r="I41" s="6">
        <f>SUM(I33:I40)</f>
        <v>327758</v>
      </c>
      <c r="J41" s="6">
        <f>SUM(J33:J40)</f>
        <v>364671</v>
      </c>
      <c r="K41" s="6"/>
      <c r="L41" s="6"/>
      <c r="M41" s="6"/>
      <c r="N41" s="6"/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USD</vt:lpstr>
      <vt:lpstr>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2016-03-13T00:16:44Z</dcterms:created>
  <dcterms:modified xsi:type="dcterms:W3CDTF">2016-04-29T19:22:33Z</dcterms:modified>
</cp:coreProperties>
</file>