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640" windowHeight="1216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J21" i="2"/>
  <c r="T2" i="2"/>
  <c r="U2" i="2" s="1"/>
  <c r="V2" i="2" s="1"/>
  <c r="W2" i="2" s="1"/>
  <c r="X2" i="2" s="1"/>
  <c r="Y2" i="2" s="1"/>
  <c r="Z2" i="2" s="1"/>
  <c r="AA2" i="2" s="1"/>
  <c r="AB2" i="2" s="1"/>
  <c r="S2" i="2"/>
  <c r="E37" i="2"/>
  <c r="E35" i="2"/>
  <c r="E33" i="2"/>
  <c r="E27" i="2"/>
  <c r="E29" i="2" s="1"/>
  <c r="I37" i="2"/>
  <c r="I35" i="2"/>
  <c r="I33" i="2"/>
  <c r="I21" i="2"/>
  <c r="I27" i="2" s="1"/>
  <c r="I29" i="2" s="1"/>
  <c r="F21" i="2"/>
  <c r="F27" i="2" s="1"/>
  <c r="F40" i="2" s="1"/>
  <c r="J27" i="2"/>
  <c r="J40" i="2" s="1"/>
  <c r="H40" i="2"/>
  <c r="K40" i="2"/>
  <c r="L40" i="2"/>
  <c r="G37" i="2"/>
  <c r="G35" i="2"/>
  <c r="G33" i="2"/>
  <c r="G29" i="2"/>
  <c r="G40" i="2" s="1"/>
  <c r="K37" i="2"/>
  <c r="K35" i="2"/>
  <c r="K33" i="2"/>
  <c r="K29" i="2"/>
  <c r="G26" i="2"/>
  <c r="G27" i="2"/>
  <c r="K27" i="2"/>
  <c r="G21" i="2"/>
  <c r="K21" i="2"/>
  <c r="H37" i="2"/>
  <c r="H35" i="2"/>
  <c r="H36" i="2" s="1"/>
  <c r="L38" i="2"/>
  <c r="L37" i="2"/>
  <c r="L36" i="2"/>
  <c r="L35" i="2"/>
  <c r="H34" i="2"/>
  <c r="H33" i="2"/>
  <c r="H29" i="2"/>
  <c r="L34" i="2"/>
  <c r="L33" i="2"/>
  <c r="L29" i="2"/>
  <c r="H27" i="2"/>
  <c r="H26" i="2"/>
  <c r="H21" i="2"/>
  <c r="L27" i="2"/>
  <c r="L26" i="2"/>
  <c r="L21" i="2"/>
  <c r="L6" i="1"/>
  <c r="L5" i="1"/>
  <c r="L7" i="1"/>
  <c r="L4" i="1"/>
  <c r="E40" i="2" l="1"/>
  <c r="E34" i="2"/>
  <c r="E36" i="2"/>
  <c r="E38" i="2" s="1"/>
  <c r="I40" i="2"/>
  <c r="I34" i="2"/>
  <c r="I36" i="2"/>
  <c r="I38" i="2" s="1"/>
  <c r="G34" i="2"/>
  <c r="G36" i="2" s="1"/>
  <c r="G38" i="2" s="1"/>
  <c r="K34" i="2"/>
  <c r="K36" i="2" s="1"/>
  <c r="K38" i="2" s="1"/>
  <c r="H38" i="2"/>
</calcChain>
</file>

<file path=xl/sharedStrings.xml><?xml version="1.0" encoding="utf-8"?>
<sst xmlns="http://schemas.openxmlformats.org/spreadsheetml/2006/main" count="59" uniqueCount="56">
  <si>
    <t>Price EUR</t>
  </si>
  <si>
    <t>Shares</t>
  </si>
  <si>
    <t>MC EUR</t>
  </si>
  <si>
    <t>Cash EUR</t>
  </si>
  <si>
    <t>Debt EUR</t>
  </si>
  <si>
    <t>EV EUR</t>
  </si>
  <si>
    <t>Q216</t>
  </si>
  <si>
    <t>Main</t>
  </si>
  <si>
    <t>Xarelto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</si>
  <si>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</si>
  <si>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</si>
  <si>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</si>
  <si>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</si>
  <si>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</si>
  <si>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</si>
  <si>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</si>
  <si>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</si>
  <si>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</si>
  <si>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Q316</t>
  </si>
  <si>
    <t>Q416</t>
  </si>
  <si>
    <t>Eylea</t>
  </si>
  <si>
    <t>Revenue</t>
  </si>
  <si>
    <t>Animal</t>
  </si>
  <si>
    <t>Covestro</t>
  </si>
  <si>
    <t>Other</t>
  </si>
  <si>
    <t>Crop</t>
  </si>
  <si>
    <t>Consumer</t>
  </si>
  <si>
    <t>Other Pharma</t>
  </si>
  <si>
    <t>Kogenate/Kovaltry</t>
  </si>
  <si>
    <t>Mirena</t>
  </si>
  <si>
    <t>Nexavar</t>
  </si>
  <si>
    <t>Betaferon/Betaseron</t>
  </si>
  <si>
    <t>Yaz</t>
  </si>
  <si>
    <t>Adalat</t>
  </si>
  <si>
    <t>Aspirin Cardio</t>
  </si>
  <si>
    <t>Glucobay</t>
  </si>
  <si>
    <t>Avalox</t>
  </si>
  <si>
    <t>Gadavist</t>
  </si>
  <si>
    <t>Xofigo</t>
  </si>
  <si>
    <t>Ultravist</t>
  </si>
  <si>
    <t>Stivarga</t>
  </si>
  <si>
    <t>Net Income</t>
  </si>
  <si>
    <t>Taxes</t>
  </si>
  <si>
    <t>Pretax Income</t>
  </si>
  <si>
    <t>Interest Income</t>
  </si>
  <si>
    <t>Operating Income</t>
  </si>
  <si>
    <t>COGS</t>
  </si>
  <si>
    <t>Gross Profit</t>
  </si>
  <si>
    <t>S&amp;M</t>
  </si>
  <si>
    <t>R&amp;D</t>
  </si>
  <si>
    <t>G&amp;A</t>
  </si>
  <si>
    <t>Operating Expenses</t>
  </si>
  <si>
    <t>Gross Margin</t>
  </si>
  <si>
    <t>Levitra</t>
  </si>
  <si>
    <t>Fosrenol</t>
  </si>
  <si>
    <t>Cipro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</si>
</sst>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57150</xdr:rowOff>
    </xdr:from>
    <xdr:to>
      <xdr:col>12</xdr:col>
      <xdr:colOff>38100</xdr:colOff>
      <xdr:row>53</xdr:row>
      <xdr:rowOff>76200</xdr:rowOff>
    </xdr:to>
    <xdr:cxnSp macro="">
      <xdr:nvCxnSpPr>
        <xdr:cNvPr id="3" name="Straight Connector 2"/>
        <xdr:cNvCxnSpPr/>
      </xdr:nvCxnSpPr>
      <xdr:spPr>
        <a:xfrm>
          <a:off x="7677150" y="5715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M7"/>
  <sheetViews>
    <sheetView workbookViewId="0">
      <selection activeCell="L7" sqref="L7"/>
    </sheetView>
  </sheetViews>
  <sheetFormatPr defaultRowHeight="12.75" x14ac:dyDescent="0.2"/>
  <cols>
    <col min="11" max="11" width="9.7109375" bestFit="1" customWidth="1"/>
  </cols>
  <sheetData>
    <row r="2" spans="11:13" x14ac:dyDescent="0.2">
      <c r="K2" t="s">
        <v>0</v>
      </c>
      <c r="L2" s="1">
        <v>90.5</v>
      </c>
    </row>
    <row r="3" spans="11:13" x14ac:dyDescent="0.2">
      <c r="K3" t="s">
        <v>1</v>
      </c>
      <c r="L3" s="2">
        <v>826.94780800000001</v>
      </c>
      <c r="M3" s="3" t="s">
        <v>6</v>
      </c>
    </row>
    <row r="4" spans="11:13" x14ac:dyDescent="0.2">
      <c r="K4" t="s">
        <v>2</v>
      </c>
      <c r="L4" s="2">
        <f>+L3*L2</f>
        <v>74838.776624000006</v>
      </c>
    </row>
    <row r="5" spans="11:13" x14ac:dyDescent="0.2">
      <c r="K5" t="s">
        <v>3</v>
      </c>
      <c r="L5" s="2">
        <f>1055+1246+50+505+913</f>
        <v>3769</v>
      </c>
      <c r="M5" s="3" t="s">
        <v>6</v>
      </c>
    </row>
    <row r="6" spans="11:13" x14ac:dyDescent="0.2">
      <c r="K6" t="s">
        <v>4</v>
      </c>
      <c r="L6" s="2">
        <f>16488+3220</f>
        <v>19708</v>
      </c>
      <c r="M6" s="3" t="s">
        <v>6</v>
      </c>
    </row>
    <row r="7" spans="11:13" x14ac:dyDescent="0.2">
      <c r="K7" t="s">
        <v>5</v>
      </c>
      <c r="L7" s="2">
        <f>+L4-L5+L6</f>
        <v>90777.776624000006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7" sqref="J27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28" x14ac:dyDescent="0.2">
      <c r="A1" s="4" t="s">
        <v>7</v>
      </c>
    </row>
    <row r="2" spans="1:28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R2">
        <v>2014</v>
      </c>
      <c r="S2">
        <f>+R2+1</f>
        <v>2015</v>
      </c>
      <c r="T2">
        <f t="shared" ref="T2:AB2" si="0">+S2+1</f>
        <v>2016</v>
      </c>
      <c r="U2">
        <f t="shared" si="0"/>
        <v>2017</v>
      </c>
      <c r="V2">
        <f t="shared" si="0"/>
        <v>2018</v>
      </c>
      <c r="W2">
        <f t="shared" si="0"/>
        <v>2019</v>
      </c>
      <c r="X2">
        <f t="shared" si="0"/>
        <v>2020</v>
      </c>
      <c r="Y2">
        <f t="shared" si="0"/>
        <v>2021</v>
      </c>
      <c r="Z2">
        <f t="shared" si="0"/>
        <v>2022</v>
      </c>
      <c r="AA2">
        <f t="shared" si="0"/>
        <v>2023</v>
      </c>
      <c r="AB2">
        <f t="shared" si="0"/>
        <v>2024</v>
      </c>
    </row>
    <row r="3" spans="1:28" s="2" customFormat="1" x14ac:dyDescent="0.2">
      <c r="B3" s="2" t="s">
        <v>8</v>
      </c>
      <c r="C3" s="5"/>
      <c r="D3" s="5"/>
      <c r="E3" s="5">
        <v>440</v>
      </c>
      <c r="F3" s="5">
        <v>516</v>
      </c>
      <c r="G3" s="5">
        <v>482</v>
      </c>
      <c r="H3" s="5">
        <v>549</v>
      </c>
      <c r="I3" s="5">
        <v>571</v>
      </c>
      <c r="J3" s="5">
        <v>650</v>
      </c>
      <c r="K3" s="5">
        <v>617</v>
      </c>
      <c r="L3" s="5">
        <v>703</v>
      </c>
      <c r="M3" s="5"/>
      <c r="N3" s="5"/>
    </row>
    <row r="4" spans="1:28" s="2" customFormat="1" x14ac:dyDescent="0.2">
      <c r="B4" s="2" t="s">
        <v>20</v>
      </c>
      <c r="C4" s="5"/>
      <c r="D4" s="5"/>
      <c r="E4" s="5">
        <v>189</v>
      </c>
      <c r="F4" s="5">
        <v>219</v>
      </c>
      <c r="G4" s="5">
        <v>253</v>
      </c>
      <c r="H4" s="5">
        <v>301</v>
      </c>
      <c r="I4" s="5">
        <v>320</v>
      </c>
      <c r="J4" s="5">
        <v>354</v>
      </c>
      <c r="K4" s="5">
        <v>372</v>
      </c>
      <c r="L4" s="5">
        <v>418</v>
      </c>
      <c r="M4" s="5"/>
      <c r="N4" s="5"/>
    </row>
    <row r="5" spans="1:28" s="2" customFormat="1" x14ac:dyDescent="0.2">
      <c r="B5" s="2" t="s">
        <v>28</v>
      </c>
      <c r="C5" s="5"/>
      <c r="D5" s="5"/>
      <c r="E5" s="5">
        <v>295</v>
      </c>
      <c r="F5" s="5">
        <v>301</v>
      </c>
      <c r="G5" s="5">
        <v>261</v>
      </c>
      <c r="H5" s="5">
        <v>299</v>
      </c>
      <c r="I5" s="5">
        <v>309</v>
      </c>
      <c r="J5" s="5">
        <v>286</v>
      </c>
      <c r="K5" s="5">
        <v>296</v>
      </c>
      <c r="L5" s="5">
        <v>280</v>
      </c>
      <c r="M5" s="5"/>
      <c r="N5" s="5"/>
    </row>
    <row r="6" spans="1:28" s="2" customFormat="1" x14ac:dyDescent="0.2">
      <c r="B6" s="2" t="s">
        <v>29</v>
      </c>
      <c r="C6" s="5"/>
      <c r="D6" s="5"/>
      <c r="E6" s="5">
        <v>208</v>
      </c>
      <c r="F6" s="5">
        <v>225</v>
      </c>
      <c r="G6" s="5">
        <v>232</v>
      </c>
      <c r="H6" s="5">
        <v>270</v>
      </c>
      <c r="I6" s="5">
        <v>240</v>
      </c>
      <c r="J6" s="5">
        <v>226</v>
      </c>
      <c r="K6" s="5">
        <v>248</v>
      </c>
      <c r="L6" s="5">
        <v>258</v>
      </c>
      <c r="M6" s="5"/>
      <c r="N6" s="5"/>
    </row>
    <row r="7" spans="1:28" s="2" customFormat="1" x14ac:dyDescent="0.2">
      <c r="B7" s="2" t="s">
        <v>30</v>
      </c>
      <c r="C7" s="5"/>
      <c r="D7" s="5"/>
      <c r="E7" s="5">
        <v>192</v>
      </c>
      <c r="F7" s="5">
        <v>202</v>
      </c>
      <c r="G7" s="5">
        <v>196</v>
      </c>
      <c r="H7" s="5">
        <v>231</v>
      </c>
      <c r="I7" s="5">
        <v>234</v>
      </c>
      <c r="J7" s="5">
        <v>231</v>
      </c>
      <c r="K7" s="5">
        <v>213</v>
      </c>
      <c r="L7" s="5">
        <v>221</v>
      </c>
      <c r="M7" s="5"/>
      <c r="N7" s="5"/>
    </row>
    <row r="8" spans="1:28" s="2" customFormat="1" x14ac:dyDescent="0.2">
      <c r="B8" s="2" t="s">
        <v>31</v>
      </c>
      <c r="C8" s="5"/>
      <c r="D8" s="5"/>
      <c r="E8" s="5">
        <v>223</v>
      </c>
      <c r="F8" s="5">
        <v>191</v>
      </c>
      <c r="G8" s="5">
        <v>208</v>
      </c>
      <c r="H8" s="5">
        <v>222</v>
      </c>
      <c r="I8" s="5">
        <v>204</v>
      </c>
      <c r="J8" s="5">
        <v>190</v>
      </c>
      <c r="K8" s="5">
        <v>190</v>
      </c>
      <c r="L8" s="5">
        <v>196</v>
      </c>
      <c r="M8" s="5"/>
      <c r="N8" s="5"/>
    </row>
    <row r="9" spans="1:28" s="2" customFormat="1" x14ac:dyDescent="0.2">
      <c r="B9" s="2" t="s">
        <v>32</v>
      </c>
      <c r="C9" s="5"/>
      <c r="D9" s="5"/>
      <c r="E9" s="5">
        <v>198</v>
      </c>
      <c r="F9" s="5">
        <v>198</v>
      </c>
      <c r="G9" s="5">
        <v>181</v>
      </c>
      <c r="H9" s="5">
        <v>174</v>
      </c>
      <c r="I9" s="5">
        <v>183</v>
      </c>
      <c r="J9" s="5">
        <v>168</v>
      </c>
      <c r="K9" s="5">
        <v>172</v>
      </c>
      <c r="L9" s="5">
        <v>166</v>
      </c>
      <c r="M9" s="5"/>
      <c r="N9" s="5"/>
    </row>
    <row r="10" spans="1:28" s="2" customFormat="1" x14ac:dyDescent="0.2">
      <c r="B10" s="2" t="s">
        <v>33</v>
      </c>
      <c r="C10" s="5"/>
      <c r="D10" s="5"/>
      <c r="E10" s="5">
        <v>139</v>
      </c>
      <c r="F10" s="5">
        <v>153</v>
      </c>
      <c r="G10" s="5">
        <v>162</v>
      </c>
      <c r="H10" s="5">
        <v>168</v>
      </c>
      <c r="I10" s="5">
        <v>151</v>
      </c>
      <c r="J10" s="5">
        <v>152</v>
      </c>
      <c r="K10" s="5">
        <v>160</v>
      </c>
      <c r="L10" s="5">
        <v>161</v>
      </c>
      <c r="M10" s="5"/>
      <c r="N10" s="5"/>
    </row>
    <row r="11" spans="1:28" s="2" customFormat="1" x14ac:dyDescent="0.2">
      <c r="B11" s="2" t="s">
        <v>34</v>
      </c>
      <c r="C11" s="5"/>
      <c r="D11" s="5"/>
      <c r="E11" s="5">
        <v>124</v>
      </c>
      <c r="F11" s="5">
        <v>130</v>
      </c>
      <c r="G11" s="5">
        <v>136</v>
      </c>
      <c r="H11" s="5">
        <v>127</v>
      </c>
      <c r="I11" s="5">
        <v>130</v>
      </c>
      <c r="J11" s="5">
        <v>131</v>
      </c>
      <c r="K11" s="5">
        <v>137</v>
      </c>
      <c r="L11" s="5">
        <v>138</v>
      </c>
      <c r="M11" s="5"/>
      <c r="N11" s="5"/>
    </row>
    <row r="12" spans="1:28" s="2" customFormat="1" x14ac:dyDescent="0.2">
      <c r="B12" s="2" t="s">
        <v>35</v>
      </c>
      <c r="C12" s="5"/>
      <c r="D12" s="5"/>
      <c r="E12" s="5">
        <v>102</v>
      </c>
      <c r="F12" s="5">
        <v>133</v>
      </c>
      <c r="G12" s="5">
        <v>130</v>
      </c>
      <c r="H12" s="5">
        <v>129</v>
      </c>
      <c r="I12" s="5">
        <v>122</v>
      </c>
      <c r="J12" s="5">
        <v>142</v>
      </c>
      <c r="K12" s="5">
        <v>139</v>
      </c>
      <c r="L12" s="5">
        <v>128</v>
      </c>
      <c r="M12" s="5"/>
      <c r="N12" s="5"/>
    </row>
    <row r="13" spans="1:28" s="2" customFormat="1" x14ac:dyDescent="0.2">
      <c r="B13" s="2" t="s">
        <v>36</v>
      </c>
      <c r="C13" s="5"/>
      <c r="D13" s="5"/>
      <c r="E13" s="5">
        <v>85</v>
      </c>
      <c r="F13" s="5">
        <v>96</v>
      </c>
      <c r="G13" s="5">
        <v>110</v>
      </c>
      <c r="H13" s="5">
        <v>99</v>
      </c>
      <c r="I13" s="5">
        <v>85</v>
      </c>
      <c r="J13" s="5">
        <v>85</v>
      </c>
      <c r="K13" s="5">
        <v>98</v>
      </c>
      <c r="L13" s="5">
        <v>88</v>
      </c>
      <c r="M13" s="5"/>
      <c r="N13" s="5"/>
    </row>
    <row r="14" spans="1:28" s="2" customFormat="1" x14ac:dyDescent="0.2">
      <c r="B14" s="2" t="s">
        <v>37</v>
      </c>
      <c r="C14" s="5"/>
      <c r="D14" s="5"/>
      <c r="E14" s="5"/>
      <c r="F14" s="5"/>
      <c r="G14" s="5">
        <v>69</v>
      </c>
      <c r="H14" s="5">
        <v>71</v>
      </c>
      <c r="I14" s="5"/>
      <c r="J14" s="5"/>
      <c r="K14" s="5">
        <v>82</v>
      </c>
      <c r="L14" s="5">
        <v>89</v>
      </c>
      <c r="M14" s="5"/>
      <c r="N14" s="5"/>
    </row>
    <row r="15" spans="1:28" s="2" customFormat="1" x14ac:dyDescent="0.2">
      <c r="B15" s="2" t="s">
        <v>38</v>
      </c>
      <c r="C15" s="5"/>
      <c r="D15" s="5"/>
      <c r="E15" s="5">
        <v>49</v>
      </c>
      <c r="F15" s="5">
        <v>29</v>
      </c>
      <c r="G15" s="5">
        <v>54</v>
      </c>
      <c r="H15" s="5">
        <v>65</v>
      </c>
      <c r="I15" s="5">
        <v>69</v>
      </c>
      <c r="J15" s="5">
        <v>69</v>
      </c>
      <c r="K15" s="5">
        <v>75</v>
      </c>
      <c r="L15" s="5">
        <v>81</v>
      </c>
      <c r="M15" s="5"/>
      <c r="N15" s="5"/>
    </row>
    <row r="16" spans="1:28" s="2" customFormat="1" x14ac:dyDescent="0.2">
      <c r="B16" s="2" t="s">
        <v>53</v>
      </c>
      <c r="C16" s="5"/>
      <c r="D16" s="5"/>
      <c r="E16" s="5">
        <v>65</v>
      </c>
      <c r="F16" s="5">
        <v>56</v>
      </c>
      <c r="G16" s="5"/>
      <c r="H16" s="5"/>
      <c r="I16" s="5">
        <v>59</v>
      </c>
      <c r="J16" s="5">
        <v>61</v>
      </c>
      <c r="K16" s="5"/>
      <c r="L16" s="5"/>
      <c r="M16" s="5"/>
      <c r="N16" s="5"/>
    </row>
    <row r="17" spans="2:14" s="2" customFormat="1" x14ac:dyDescent="0.2">
      <c r="B17" s="2" t="s">
        <v>55</v>
      </c>
      <c r="C17" s="5"/>
      <c r="D17" s="5"/>
      <c r="E17" s="5"/>
      <c r="F17" s="5">
        <v>52</v>
      </c>
      <c r="G17" s="5"/>
      <c r="H17" s="5"/>
      <c r="I17" s="5"/>
      <c r="J17" s="5">
        <v>52</v>
      </c>
      <c r="K17" s="5"/>
      <c r="L17" s="5"/>
      <c r="M17" s="5"/>
      <c r="N17" s="5"/>
    </row>
    <row r="18" spans="2:14" s="2" customFormat="1" x14ac:dyDescent="0.2">
      <c r="B18" s="2" t="s">
        <v>54</v>
      </c>
      <c r="C18" s="5"/>
      <c r="D18" s="5"/>
      <c r="E18" s="5">
        <v>42</v>
      </c>
      <c r="F18" s="5"/>
      <c r="G18" s="5"/>
      <c r="H18" s="5"/>
      <c r="I18" s="5">
        <v>46</v>
      </c>
      <c r="J18" s="5"/>
      <c r="K18" s="5"/>
      <c r="L18" s="5"/>
      <c r="M18" s="5"/>
      <c r="N18" s="5"/>
    </row>
    <row r="19" spans="2:14" s="2" customFormat="1" x14ac:dyDescent="0.2">
      <c r="B19" s="2" t="s">
        <v>39</v>
      </c>
      <c r="C19" s="5"/>
      <c r="D19" s="5"/>
      <c r="E19" s="5"/>
      <c r="F19" s="5"/>
      <c r="G19" s="5">
        <v>73</v>
      </c>
      <c r="H19" s="5">
        <v>84</v>
      </c>
      <c r="I19" s="5"/>
      <c r="J19" s="5"/>
      <c r="K19" s="5">
        <v>71</v>
      </c>
      <c r="L19" s="5">
        <v>84</v>
      </c>
      <c r="M19" s="5"/>
      <c r="N19" s="5"/>
    </row>
    <row r="20" spans="2:14" s="2" customFormat="1" x14ac:dyDescent="0.2">
      <c r="B20" s="2" t="s">
        <v>40</v>
      </c>
      <c r="C20" s="5"/>
      <c r="D20" s="5"/>
      <c r="E20" s="5">
        <v>46</v>
      </c>
      <c r="F20" s="5">
        <v>63</v>
      </c>
      <c r="G20" s="5">
        <v>71</v>
      </c>
      <c r="H20" s="5">
        <v>92</v>
      </c>
      <c r="I20" s="5">
        <v>73</v>
      </c>
      <c r="J20" s="5">
        <v>77</v>
      </c>
      <c r="K20" s="5">
        <v>67</v>
      </c>
      <c r="L20" s="5">
        <v>67</v>
      </c>
      <c r="M20" s="5"/>
      <c r="N20" s="5"/>
    </row>
    <row r="21" spans="2:14" s="2" customFormat="1" x14ac:dyDescent="0.2">
      <c r="B21" s="2" t="s">
        <v>27</v>
      </c>
      <c r="C21" s="5"/>
      <c r="D21" s="5"/>
      <c r="E21" s="5">
        <f>3271-SUM(E3:E20)</f>
        <v>874</v>
      </c>
      <c r="F21" s="5">
        <f>3039-SUM(F3:F20)</f>
        <v>475</v>
      </c>
      <c r="G21" s="5">
        <f>3562-SUM(G3:G20)</f>
        <v>944</v>
      </c>
      <c r="H21" s="5">
        <f>3890-SUM(H3:H20)</f>
        <v>1009</v>
      </c>
      <c r="I21" s="5">
        <f>3482-SUM(I3:I20)</f>
        <v>686</v>
      </c>
      <c r="J21" s="5">
        <f>3571-SUM(J3:J20)</f>
        <v>697</v>
      </c>
      <c r="K21" s="5">
        <f>3889-SUM(K3:K20)</f>
        <v>952</v>
      </c>
      <c r="L21" s="5">
        <f>4104-SUM(L3:L20)</f>
        <v>1026</v>
      </c>
      <c r="M21" s="5"/>
      <c r="N21" s="5"/>
    </row>
    <row r="22" spans="2:14" s="2" customFormat="1" x14ac:dyDescent="0.2">
      <c r="B22" s="2" t="s">
        <v>26</v>
      </c>
      <c r="C22" s="5"/>
      <c r="D22" s="5"/>
      <c r="E22" s="5">
        <v>1701</v>
      </c>
      <c r="F22" s="5">
        <v>2080</v>
      </c>
      <c r="G22" s="5">
        <v>1556</v>
      </c>
      <c r="H22" s="5">
        <v>1590</v>
      </c>
      <c r="I22" s="5">
        <v>2169</v>
      </c>
      <c r="J22" s="5">
        <v>2240</v>
      </c>
      <c r="K22" s="5">
        <v>1520</v>
      </c>
      <c r="L22" s="5">
        <v>1553</v>
      </c>
      <c r="M22" s="5"/>
      <c r="N22" s="5"/>
    </row>
    <row r="23" spans="2:14" s="2" customFormat="1" x14ac:dyDescent="0.2">
      <c r="B23" s="2" t="s">
        <v>25</v>
      </c>
      <c r="C23" s="5"/>
      <c r="D23" s="5"/>
      <c r="E23" s="5">
        <v>1929</v>
      </c>
      <c r="F23" s="5">
        <v>2195</v>
      </c>
      <c r="G23" s="5">
        <v>3092</v>
      </c>
      <c r="H23" s="5">
        <v>2636</v>
      </c>
      <c r="I23" s="5">
        <v>2113</v>
      </c>
      <c r="J23" s="5">
        <v>2439</v>
      </c>
      <c r="K23" s="5">
        <v>3023</v>
      </c>
      <c r="L23" s="5">
        <v>2518</v>
      </c>
      <c r="M23" s="5"/>
      <c r="N23" s="5"/>
    </row>
    <row r="24" spans="2:14" s="2" customFormat="1" x14ac:dyDescent="0.2">
      <c r="B24" s="2" t="s">
        <v>23</v>
      </c>
      <c r="C24" s="5"/>
      <c r="D24" s="5"/>
      <c r="E24" s="5">
        <v>3036</v>
      </c>
      <c r="F24" s="5">
        <v>2948</v>
      </c>
      <c r="G24" s="5">
        <v>3014</v>
      </c>
      <c r="H24" s="5">
        <v>3185</v>
      </c>
      <c r="I24" s="5">
        <v>3009</v>
      </c>
      <c r="J24" s="5">
        <v>2774</v>
      </c>
      <c r="K24" s="5">
        <v>2850</v>
      </c>
      <c r="L24" s="5">
        <v>2975</v>
      </c>
      <c r="M24" s="5"/>
      <c r="N24" s="5"/>
    </row>
    <row r="25" spans="2:14" s="2" customFormat="1" x14ac:dyDescent="0.2">
      <c r="B25" s="2" t="s">
        <v>22</v>
      </c>
      <c r="C25" s="5"/>
      <c r="D25" s="5"/>
      <c r="E25" s="5"/>
      <c r="F25" s="5"/>
      <c r="G25" s="5">
        <v>386</v>
      </c>
      <c r="H25" s="5">
        <v>428</v>
      </c>
      <c r="I25" s="5"/>
      <c r="J25" s="5"/>
      <c r="K25" s="5">
        <v>408</v>
      </c>
      <c r="L25" s="5">
        <v>426</v>
      </c>
      <c r="M25" s="5"/>
      <c r="N25" s="5"/>
    </row>
    <row r="26" spans="2:14" s="2" customFormat="1" x14ac:dyDescent="0.2">
      <c r="B26" s="2" t="s">
        <v>24</v>
      </c>
      <c r="C26" s="5"/>
      <c r="D26" s="5"/>
      <c r="E26" s="5">
        <v>262</v>
      </c>
      <c r="F26" s="5"/>
      <c r="G26" s="5">
        <f>268+1</f>
        <v>269</v>
      </c>
      <c r="H26" s="5">
        <f>273+1</f>
        <v>274</v>
      </c>
      <c r="I26" s="5">
        <v>263</v>
      </c>
      <c r="J26" s="5"/>
      <c r="K26" s="5">
        <v>251</v>
      </c>
      <c r="L26" s="5">
        <f>256+1</f>
        <v>257</v>
      </c>
      <c r="M26" s="5"/>
      <c r="N26" s="5"/>
    </row>
    <row r="27" spans="2:14" s="6" customFormat="1" x14ac:dyDescent="0.2">
      <c r="B27" s="6" t="s">
        <v>21</v>
      </c>
      <c r="C27" s="7"/>
      <c r="D27" s="7"/>
      <c r="E27" s="7">
        <f>SUM(E3:E26)</f>
        <v>10199</v>
      </c>
      <c r="F27" s="7">
        <f>SUM(F3:F26)</f>
        <v>10262</v>
      </c>
      <c r="G27" s="7">
        <f>SUM(G3:G26)</f>
        <v>11879</v>
      </c>
      <c r="H27" s="7">
        <f>SUM(H3:H26)</f>
        <v>12003</v>
      </c>
      <c r="I27" s="7">
        <f>SUM(I3:I26)</f>
        <v>11036</v>
      </c>
      <c r="J27" s="7">
        <f>SUM(J3:J26)</f>
        <v>11024</v>
      </c>
      <c r="K27" s="7">
        <f>SUM(K3:K26)</f>
        <v>11941</v>
      </c>
      <c r="L27" s="7">
        <f>SUM(L3:L26)</f>
        <v>11833</v>
      </c>
      <c r="M27" s="7"/>
      <c r="N27" s="7"/>
    </row>
    <row r="28" spans="2:14" s="2" customFormat="1" x14ac:dyDescent="0.2">
      <c r="B28" s="2" t="s">
        <v>46</v>
      </c>
      <c r="C28" s="5"/>
      <c r="D28" s="5"/>
      <c r="E28" s="5">
        <v>4859</v>
      </c>
      <c r="F28" s="5"/>
      <c r="G28" s="5">
        <v>5476</v>
      </c>
      <c r="H28" s="5">
        <v>5267</v>
      </c>
      <c r="I28" s="5">
        <v>4956</v>
      </c>
      <c r="J28" s="5"/>
      <c r="K28" s="5">
        <v>5086</v>
      </c>
      <c r="L28" s="5">
        <v>5028</v>
      </c>
      <c r="M28" s="5"/>
      <c r="N28" s="5"/>
    </row>
    <row r="29" spans="2:14" s="2" customFormat="1" x14ac:dyDescent="0.2">
      <c r="B29" s="2" t="s">
        <v>47</v>
      </c>
      <c r="C29" s="5"/>
      <c r="D29" s="5"/>
      <c r="E29" s="5">
        <f t="shared" ref="E29:F29" si="1">+E27-E28</f>
        <v>5340</v>
      </c>
      <c r="F29" s="5"/>
      <c r="G29" s="5">
        <f>+G27-G28</f>
        <v>6403</v>
      </c>
      <c r="H29" s="5">
        <f>+H27-H28</f>
        <v>6736</v>
      </c>
      <c r="I29" s="5">
        <f>+I27-I28</f>
        <v>6080</v>
      </c>
      <c r="J29" s="5"/>
      <c r="K29" s="5">
        <f>+K27-K28</f>
        <v>6855</v>
      </c>
      <c r="L29" s="5">
        <f>+L27-L28</f>
        <v>6805</v>
      </c>
      <c r="M29" s="5"/>
      <c r="N29" s="5"/>
    </row>
    <row r="30" spans="2:14" s="2" customFormat="1" x14ac:dyDescent="0.2">
      <c r="B30" s="2" t="s">
        <v>48</v>
      </c>
      <c r="C30" s="5"/>
      <c r="D30" s="5"/>
      <c r="E30" s="5">
        <v>2579</v>
      </c>
      <c r="F30" s="5"/>
      <c r="G30" s="5">
        <v>2920</v>
      </c>
      <c r="H30" s="5">
        <v>3147</v>
      </c>
      <c r="I30" s="5">
        <v>2927</v>
      </c>
      <c r="J30" s="5"/>
      <c r="K30" s="5">
        <v>2914</v>
      </c>
      <c r="L30" s="5">
        <v>3092</v>
      </c>
      <c r="M30" s="5"/>
      <c r="N30" s="5"/>
    </row>
    <row r="31" spans="2:14" s="2" customFormat="1" x14ac:dyDescent="0.2">
      <c r="B31" s="2" t="s">
        <v>49</v>
      </c>
      <c r="C31" s="5"/>
      <c r="D31" s="5"/>
      <c r="E31" s="5">
        <v>867</v>
      </c>
      <c r="F31" s="5"/>
      <c r="G31" s="5">
        <v>946</v>
      </c>
      <c r="H31" s="5">
        <v>1035</v>
      </c>
      <c r="I31" s="5">
        <v>1041</v>
      </c>
      <c r="J31" s="5"/>
      <c r="K31" s="5">
        <v>1110</v>
      </c>
      <c r="L31" s="5">
        <v>1122</v>
      </c>
      <c r="M31" s="5"/>
      <c r="N31" s="5"/>
    </row>
    <row r="32" spans="2:14" s="2" customFormat="1" x14ac:dyDescent="0.2">
      <c r="B32" s="2" t="s">
        <v>50</v>
      </c>
      <c r="C32" s="5"/>
      <c r="D32" s="5"/>
      <c r="E32" s="5">
        <v>389</v>
      </c>
      <c r="F32" s="5"/>
      <c r="G32" s="5">
        <v>471</v>
      </c>
      <c r="H32" s="5">
        <v>548</v>
      </c>
      <c r="I32" s="5">
        <v>509</v>
      </c>
      <c r="J32" s="5"/>
      <c r="K32" s="5">
        <v>497</v>
      </c>
      <c r="L32" s="5">
        <v>489</v>
      </c>
      <c r="M32" s="5"/>
      <c r="N32" s="5"/>
    </row>
    <row r="33" spans="2:14" s="2" customFormat="1" x14ac:dyDescent="0.2">
      <c r="B33" s="2" t="s">
        <v>51</v>
      </c>
      <c r="C33" s="5"/>
      <c r="D33" s="5"/>
      <c r="E33" s="5">
        <f t="shared" ref="E33:F33" si="2">+E32+E31+E30</f>
        <v>3835</v>
      </c>
      <c r="F33" s="5"/>
      <c r="G33" s="5">
        <f>+G32+G31+G30</f>
        <v>4337</v>
      </c>
      <c r="H33" s="5">
        <f>+H32+H31+H30</f>
        <v>4730</v>
      </c>
      <c r="I33" s="5">
        <f>+I32+I31+I30</f>
        <v>4477</v>
      </c>
      <c r="J33" s="5"/>
      <c r="K33" s="5">
        <f>+K32+K31+K30</f>
        <v>4521</v>
      </c>
      <c r="L33" s="5">
        <f>+L32+L31+L30</f>
        <v>4703</v>
      </c>
      <c r="M33" s="5"/>
      <c r="N33" s="5"/>
    </row>
    <row r="34" spans="2:14" s="2" customFormat="1" x14ac:dyDescent="0.2">
      <c r="B34" s="2" t="s">
        <v>45</v>
      </c>
      <c r="C34" s="5"/>
      <c r="D34" s="5"/>
      <c r="E34" s="5">
        <f t="shared" ref="E34:F34" si="3">+E29-E33</f>
        <v>1505</v>
      </c>
      <c r="F34" s="5"/>
      <c r="G34" s="5">
        <f>+G29-G33</f>
        <v>2066</v>
      </c>
      <c r="H34" s="5">
        <f>+H29-H33</f>
        <v>2006</v>
      </c>
      <c r="I34" s="5">
        <f>+I29-I33</f>
        <v>1603</v>
      </c>
      <c r="J34" s="5"/>
      <c r="K34" s="5">
        <f>+K29-K33</f>
        <v>2334</v>
      </c>
      <c r="L34" s="5">
        <f>+L29-L33</f>
        <v>2102</v>
      </c>
      <c r="M34" s="5"/>
      <c r="N34" s="5"/>
    </row>
    <row r="35" spans="2:14" s="2" customFormat="1" x14ac:dyDescent="0.2">
      <c r="B35" s="2" t="s">
        <v>44</v>
      </c>
      <c r="C35" s="5"/>
      <c r="D35" s="5"/>
      <c r="E35" s="5">
        <f>204-131-302</f>
        <v>-229</v>
      </c>
      <c r="F35" s="5"/>
      <c r="G35" s="5">
        <f>247-369+6+12-292</f>
        <v>-396</v>
      </c>
      <c r="H35" s="5">
        <f>-287+31-214</f>
        <v>-470</v>
      </c>
      <c r="I35" s="5">
        <f>362-400-280</f>
        <v>-318</v>
      </c>
      <c r="J35" s="5"/>
      <c r="K35" s="5">
        <f>203-202-5+37-347</f>
        <v>-314</v>
      </c>
      <c r="L35" s="5">
        <f>159-123-314</f>
        <v>-278</v>
      </c>
      <c r="M35" s="5"/>
      <c r="N35" s="5"/>
    </row>
    <row r="36" spans="2:14" s="2" customFormat="1" x14ac:dyDescent="0.2">
      <c r="B36" s="2" t="s">
        <v>43</v>
      </c>
      <c r="C36" s="5"/>
      <c r="D36" s="5"/>
      <c r="E36" s="5">
        <f t="shared" ref="E36:F36" si="4">+E35+E34</f>
        <v>1276</v>
      </c>
      <c r="F36" s="5"/>
      <c r="G36" s="5">
        <f>+G35+G34</f>
        <v>1670</v>
      </c>
      <c r="H36" s="5">
        <f>+H35+H34</f>
        <v>1536</v>
      </c>
      <c r="I36" s="5">
        <f>+I35+I34</f>
        <v>1285</v>
      </c>
      <c r="J36" s="5"/>
      <c r="K36" s="5">
        <f>+K35+K34</f>
        <v>2020</v>
      </c>
      <c r="L36" s="5">
        <f>+L35+L34</f>
        <v>1824</v>
      </c>
      <c r="M36" s="5"/>
      <c r="N36" s="5"/>
    </row>
    <row r="37" spans="2:14" s="2" customFormat="1" x14ac:dyDescent="0.2">
      <c r="B37" s="2" t="s">
        <v>42</v>
      </c>
      <c r="C37" s="5"/>
      <c r="D37" s="5"/>
      <c r="E37" s="5">
        <f>236+7</f>
        <v>243</v>
      </c>
      <c r="F37" s="5"/>
      <c r="G37" s="5">
        <f>375+6</f>
        <v>381</v>
      </c>
      <c r="H37" s="5">
        <f>390+6</f>
        <v>396</v>
      </c>
      <c r="I37" s="5">
        <f>296+6</f>
        <v>302</v>
      </c>
      <c r="J37" s="5"/>
      <c r="K37" s="5">
        <f>478+70</f>
        <v>548</v>
      </c>
      <c r="L37" s="5">
        <f>431+68</f>
        <v>499</v>
      </c>
      <c r="M37" s="5"/>
      <c r="N37" s="5"/>
    </row>
    <row r="38" spans="2:14" s="2" customFormat="1" x14ac:dyDescent="0.2">
      <c r="B38" s="2" t="s">
        <v>41</v>
      </c>
      <c r="C38" s="5"/>
      <c r="D38" s="5"/>
      <c r="E38" s="5">
        <f t="shared" ref="E38:F38" si="5">+E36-E37</f>
        <v>1033</v>
      </c>
      <c r="F38" s="5"/>
      <c r="G38" s="5">
        <f>+G36-G37</f>
        <v>1289</v>
      </c>
      <c r="H38" s="5">
        <f>+H36-H37</f>
        <v>1140</v>
      </c>
      <c r="I38" s="5">
        <f>+I36-I37</f>
        <v>983</v>
      </c>
      <c r="J38" s="5"/>
      <c r="K38" s="5">
        <f>+K36-K37</f>
        <v>1472</v>
      </c>
      <c r="L38" s="5">
        <f>+L36-L37</f>
        <v>1325</v>
      </c>
      <c r="M38" s="5"/>
      <c r="N38" s="5"/>
    </row>
    <row r="39" spans="2:14" s="2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s="2" customFormat="1" x14ac:dyDescent="0.2">
      <c r="B40" s="2" t="s">
        <v>52</v>
      </c>
      <c r="C40" s="5"/>
      <c r="D40" s="5"/>
      <c r="E40" s="8">
        <f t="shared" ref="E40" si="6">E29/E27</f>
        <v>0.5235807432101186</v>
      </c>
      <c r="F40" s="8">
        <f t="shared" ref="F40:G40" si="7">F29/F27</f>
        <v>0</v>
      </c>
      <c r="G40" s="8">
        <f>G29/G27</f>
        <v>0.53901843589527743</v>
      </c>
      <c r="H40" s="8">
        <f>H29/H27</f>
        <v>0.56119303507456464</v>
      </c>
      <c r="I40" s="8">
        <f>I29/I27</f>
        <v>0.55092424791591155</v>
      </c>
      <c r="J40" s="8">
        <f>J29/J27</f>
        <v>0</v>
      </c>
      <c r="K40" s="8">
        <f>K29/K27</f>
        <v>0.57407252323925972</v>
      </c>
      <c r="L40" s="8">
        <f>L29/L27</f>
        <v>0.5750866221583707</v>
      </c>
      <c r="M40" s="5"/>
      <c r="N40" s="5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2016-10-16T00:26:13Z</dcterms:created>
  <dcterms:modified xsi:type="dcterms:W3CDTF">2016-10-16T01:30:47Z</dcterms:modified>
</cp:coreProperties>
</file>