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2185" windowHeight="12405"/>
  </bookViews>
  <sheets>
    <sheet name="Main" sheetId="1" r:id="rId1"/>
    <sheet name="Model" sheetId="2" r:id="rId2"/>
    <sheet name="RMB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1" i="3" l="1"/>
  <c r="V21" i="3"/>
  <c r="W19" i="3"/>
  <c r="V17" i="3"/>
  <c r="V14" i="3"/>
  <c r="V12" i="3"/>
  <c r="V9" i="3"/>
  <c r="V10" i="3" s="1"/>
  <c r="V8" i="3"/>
  <c r="V7" i="3"/>
  <c r="V6" i="3"/>
  <c r="V4" i="3"/>
  <c r="V3" i="3"/>
  <c r="W16" i="3"/>
  <c r="W17" i="3"/>
  <c r="W15" i="3"/>
  <c r="W14" i="3"/>
  <c r="W13" i="3"/>
  <c r="W12" i="3"/>
  <c r="W11" i="3"/>
  <c r="W10" i="3"/>
  <c r="W9" i="3"/>
  <c r="W8" i="3"/>
  <c r="W7" i="3"/>
  <c r="W6" i="3"/>
  <c r="W4" i="3"/>
  <c r="W3" i="3"/>
  <c r="W5" i="3" s="1"/>
  <c r="U5" i="3"/>
  <c r="T5" i="3"/>
  <c r="S5" i="3"/>
  <c r="R5" i="3"/>
  <c r="Q5" i="3"/>
  <c r="N5" i="3"/>
  <c r="M5" i="3"/>
  <c r="L5" i="3"/>
  <c r="L7" i="3" s="1"/>
  <c r="K5" i="3"/>
  <c r="J5" i="3"/>
  <c r="I5" i="3"/>
  <c r="I7" i="3" s="1"/>
  <c r="H5" i="3"/>
  <c r="G5" i="3"/>
  <c r="M21" i="3"/>
  <c r="N19" i="3"/>
  <c r="M19" i="3"/>
  <c r="L19" i="3"/>
  <c r="M17" i="3"/>
  <c r="N17" i="3" s="1"/>
  <c r="M12" i="3"/>
  <c r="N12" i="3" s="1"/>
  <c r="L17" i="3"/>
  <c r="L12" i="3"/>
  <c r="N10" i="3"/>
  <c r="N11" i="3" s="1"/>
  <c r="M10" i="3"/>
  <c r="L10" i="3"/>
  <c r="N9" i="3"/>
  <c r="M9" i="3"/>
  <c r="L9" i="3"/>
  <c r="N8" i="3"/>
  <c r="M8" i="3"/>
  <c r="L8" i="3"/>
  <c r="N4" i="3"/>
  <c r="M4" i="3"/>
  <c r="N3" i="3"/>
  <c r="M3" i="3"/>
  <c r="L4" i="3"/>
  <c r="L3" i="3"/>
  <c r="M6" i="3"/>
  <c r="N7" i="3"/>
  <c r="N6" i="3" s="1"/>
  <c r="M7" i="3"/>
  <c r="S2" i="3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R2" i="3"/>
  <c r="E21" i="3"/>
  <c r="E14" i="3"/>
  <c r="E10" i="3"/>
  <c r="E5" i="3"/>
  <c r="E7" i="3" s="1"/>
  <c r="H14" i="3"/>
  <c r="H10" i="3"/>
  <c r="H7" i="3"/>
  <c r="F14" i="3"/>
  <c r="F10" i="3"/>
  <c r="F5" i="3"/>
  <c r="J19" i="3" s="1"/>
  <c r="I14" i="3"/>
  <c r="I10" i="3"/>
  <c r="L6" i="1"/>
  <c r="L5" i="1"/>
  <c r="K19" i="3"/>
  <c r="K21" i="3"/>
  <c r="G21" i="3"/>
  <c r="G14" i="3"/>
  <c r="J12" i="3"/>
  <c r="K14" i="3"/>
  <c r="K10" i="3"/>
  <c r="J10" i="3"/>
  <c r="G11" i="3"/>
  <c r="G13" i="3" s="1"/>
  <c r="G10" i="3"/>
  <c r="K7" i="3"/>
  <c r="G7" i="3"/>
  <c r="J7" i="3"/>
  <c r="J21" i="3" s="1"/>
  <c r="V11" i="3" l="1"/>
  <c r="V13" i="3" s="1"/>
  <c r="V15" i="3" s="1"/>
  <c r="V16" i="3" s="1"/>
  <c r="V5" i="3"/>
  <c r="L6" i="3"/>
  <c r="L21" i="3"/>
  <c r="I19" i="3"/>
  <c r="N21" i="3"/>
  <c r="L11" i="3"/>
  <c r="L13" i="3" s="1"/>
  <c r="M11" i="3"/>
  <c r="K11" i="3"/>
  <c r="K13" i="3" s="1"/>
  <c r="K15" i="3" s="1"/>
  <c r="K16" i="3" s="1"/>
  <c r="N13" i="3"/>
  <c r="M13" i="3"/>
  <c r="E11" i="3"/>
  <c r="E13" i="3" s="1"/>
  <c r="E15" i="3" s="1"/>
  <c r="E16" i="3" s="1"/>
  <c r="H11" i="3"/>
  <c r="H13" i="3" s="1"/>
  <c r="H15" i="3" s="1"/>
  <c r="H16" i="3" s="1"/>
  <c r="H21" i="3"/>
  <c r="F7" i="3"/>
  <c r="I11" i="3"/>
  <c r="I13" i="3" s="1"/>
  <c r="I15" i="3" s="1"/>
  <c r="I16" i="3" s="1"/>
  <c r="I21" i="3"/>
  <c r="J11" i="3"/>
  <c r="J13" i="3" s="1"/>
  <c r="J15" i="3" s="1"/>
  <c r="J16" i="3" s="1"/>
  <c r="G15" i="3"/>
  <c r="G16" i="3" s="1"/>
  <c r="R24" i="2"/>
  <c r="F25" i="2"/>
  <c r="S19" i="2"/>
  <c r="R19" i="2"/>
  <c r="R17" i="2"/>
  <c r="R15" i="2"/>
  <c r="R10" i="2"/>
  <c r="R12" i="2" s="1"/>
  <c r="S17" i="2"/>
  <c r="S15" i="2"/>
  <c r="S10" i="2"/>
  <c r="S12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J19" i="2"/>
  <c r="I19" i="2"/>
  <c r="F19" i="2"/>
  <c r="I17" i="2"/>
  <c r="I15" i="2"/>
  <c r="I10" i="2"/>
  <c r="I12" i="2" s="1"/>
  <c r="I24" i="2" s="1"/>
  <c r="F17" i="2"/>
  <c r="F15" i="2"/>
  <c r="F10" i="2"/>
  <c r="F12" i="2" s="1"/>
  <c r="F16" i="2" s="1"/>
  <c r="J17" i="2"/>
  <c r="J15" i="2"/>
  <c r="J10" i="2"/>
  <c r="J12" i="2" s="1"/>
  <c r="L10" i="1"/>
  <c r="L11" i="1" s="1"/>
  <c r="L3" i="1"/>
  <c r="L4" i="1"/>
  <c r="L15" i="3" l="1"/>
  <c r="L16" i="3" s="1"/>
  <c r="L14" i="3"/>
  <c r="F11" i="3"/>
  <c r="F13" i="3" s="1"/>
  <c r="F15" i="3" s="1"/>
  <c r="F16" i="3" s="1"/>
  <c r="F21" i="3"/>
  <c r="M14" i="3"/>
  <c r="M15" i="3" s="1"/>
  <c r="M16" i="3" s="1"/>
  <c r="N14" i="3"/>
  <c r="N15" i="3" s="1"/>
  <c r="N16" i="3" s="1"/>
  <c r="L7" i="1"/>
  <c r="S22" i="2"/>
  <c r="F24" i="2"/>
  <c r="S24" i="2"/>
  <c r="S16" i="2"/>
  <c r="J16" i="2"/>
  <c r="J24" i="2"/>
  <c r="J22" i="2"/>
  <c r="F18" i="2"/>
  <c r="F20" i="2" s="1"/>
  <c r="R16" i="2"/>
  <c r="I16" i="2"/>
  <c r="J18" i="2" l="1"/>
  <c r="J20" i="2" s="1"/>
  <c r="J25" i="2"/>
  <c r="I18" i="2"/>
  <c r="I20" i="2" s="1"/>
  <c r="I25" i="2"/>
  <c r="R18" i="2"/>
  <c r="R20" i="2" s="1"/>
  <c r="R25" i="2"/>
  <c r="S25" i="2"/>
  <c r="S18" i="2"/>
  <c r="S20" i="2" s="1"/>
</calcChain>
</file>

<file path=xl/sharedStrings.xml><?xml version="1.0" encoding="utf-8"?>
<sst xmlns="http://schemas.openxmlformats.org/spreadsheetml/2006/main" count="79" uniqueCount="49">
  <si>
    <t>Shares</t>
  </si>
  <si>
    <t>EV</t>
  </si>
  <si>
    <t>Main</t>
  </si>
  <si>
    <t>Revenue</t>
  </si>
  <si>
    <t>Q415</t>
  </si>
  <si>
    <t>Price USD</t>
  </si>
  <si>
    <t>MC USD</t>
  </si>
  <si>
    <t>Cash RMB</t>
  </si>
  <si>
    <t>Debt RMB</t>
  </si>
  <si>
    <t>Net Cash RMB</t>
  </si>
  <si>
    <t>Net Cash USD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</si>
  <si>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</si>
  <si>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</si>
  <si>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</si>
  <si>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</si>
  <si>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</si>
  <si>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</si>
  <si>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</si>
  <si>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</si>
  <si>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</si>
  <si>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</si>
  <si>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</si>
  <si>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Online Marketing</t>
  </si>
  <si>
    <t>Other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</si>
  <si>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</si>
  <si>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</si>
  <si>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</si>
  <si>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</si>
  <si>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</si>
  <si>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</si>
  <si>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</si>
  <si>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</si>
  <si>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</si>
  <si>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</si>
  <si>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Revenue Growth</t>
  </si>
  <si>
    <t>Gross Margin</t>
  </si>
  <si>
    <t>Operating Margin</t>
  </si>
  <si>
    <t>Robin Li - CEO</t>
  </si>
  <si>
    <t>Jennifer Li - CFO</t>
  </si>
  <si>
    <t>Internet+ initiative?</t>
  </si>
  <si>
    <t>Qunar, Ctrip?</t>
  </si>
  <si>
    <t>Mobile MAUs</t>
  </si>
  <si>
    <t>Mobile map MAUs</t>
  </si>
  <si>
    <t>Baidu Wallet</t>
  </si>
  <si>
    <t>GMV RMB</t>
  </si>
  <si>
    <t>Marketing</t>
  </si>
  <si>
    <t>Services</t>
  </si>
  <si>
    <t>RMB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</si>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</sst>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19050</xdr:rowOff>
    </xdr:from>
    <xdr:to>
      <xdr:col>10</xdr:col>
      <xdr:colOff>38100</xdr:colOff>
      <xdr:row>42</xdr:row>
      <xdr:rowOff>19050</xdr:rowOff>
    </xdr:to>
    <xdr:cxnSp macro="">
      <xdr:nvCxnSpPr>
        <xdr:cNvPr id="3" name="Straight Connector 2"/>
        <xdr:cNvCxnSpPr/>
      </xdr:nvCxnSpPr>
      <xdr:spPr>
        <a:xfrm>
          <a:off x="6457950" y="19050"/>
          <a:ext cx="0" cy="6638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0</xdr:row>
      <xdr:rowOff>47625</xdr:rowOff>
    </xdr:from>
    <xdr:to>
      <xdr:col>19</xdr:col>
      <xdr:colOff>47625</xdr:colOff>
      <xdr:row>38</xdr:row>
      <xdr:rowOff>85725</xdr:rowOff>
    </xdr:to>
    <xdr:cxnSp macro="">
      <xdr:nvCxnSpPr>
        <xdr:cNvPr id="5" name="Straight Connector 4"/>
        <xdr:cNvCxnSpPr/>
      </xdr:nvCxnSpPr>
      <xdr:spPr>
        <a:xfrm>
          <a:off x="11953875" y="47625"/>
          <a:ext cx="0" cy="6029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66675</xdr:rowOff>
    </xdr:from>
    <xdr:to>
      <xdr:col>11</xdr:col>
      <xdr:colOff>57150</xdr:colOff>
      <xdr:row>50</xdr:row>
      <xdr:rowOff>104775</xdr:rowOff>
    </xdr:to>
    <xdr:cxnSp macro="">
      <xdr:nvCxnSpPr>
        <xdr:cNvPr id="3" name="Straight Connector 2"/>
        <xdr:cNvCxnSpPr/>
      </xdr:nvCxnSpPr>
      <xdr:spPr>
        <a:xfrm>
          <a:off x="7086600" y="66675"/>
          <a:ext cx="0" cy="813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0</xdr:row>
      <xdr:rowOff>47625</xdr:rowOff>
    </xdr:from>
    <xdr:to>
      <xdr:col>22</xdr:col>
      <xdr:colOff>57150</xdr:colOff>
      <xdr:row>28</xdr:row>
      <xdr:rowOff>57150</xdr:rowOff>
    </xdr:to>
    <xdr:cxnSp macro="">
      <xdr:nvCxnSpPr>
        <xdr:cNvPr id="5" name="Straight Connector 4"/>
        <xdr:cNvCxnSpPr/>
      </xdr:nvCxnSpPr>
      <xdr:spPr>
        <a:xfrm>
          <a:off x="13792200" y="47625"/>
          <a:ext cx="0" cy="4543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tabSelected="1" workbookViewId="0"/>
  </sheetViews>
  <sheetFormatPr defaultRowHeight="12.75" x14ac:dyDescent="0.2"/>
  <cols>
    <col min="11" max="11" width="13.5703125" bestFit="1" customWidth="1"/>
  </cols>
  <sheetData>
    <row r="2" spans="2:13" x14ac:dyDescent="0.2">
      <c r="B2" t="s">
        <v>40</v>
      </c>
      <c r="K2" t="s">
        <v>5</v>
      </c>
      <c r="L2" s="1">
        <v>182</v>
      </c>
    </row>
    <row r="3" spans="2:13" x14ac:dyDescent="0.2">
      <c r="B3" t="s">
        <v>39</v>
      </c>
      <c r="K3" t="s">
        <v>0</v>
      </c>
      <c r="L3" s="2">
        <f>271.13541+7.492921</f>
        <v>278.628331</v>
      </c>
      <c r="M3" s="3" t="s">
        <v>18</v>
      </c>
    </row>
    <row r="4" spans="2:13" x14ac:dyDescent="0.2">
      <c r="K4" t="s">
        <v>6</v>
      </c>
      <c r="L4" s="2">
        <f>+L3*L2</f>
        <v>50710.356242000002</v>
      </c>
    </row>
    <row r="5" spans="2:13" x14ac:dyDescent="0.2">
      <c r="K5" t="s">
        <v>7</v>
      </c>
      <c r="L5" s="2">
        <f>12593.244+229.887+58752.895+38299.459</f>
        <v>109875.485</v>
      </c>
      <c r="M5" s="3" t="s">
        <v>18</v>
      </c>
    </row>
    <row r="6" spans="2:13" x14ac:dyDescent="0.2">
      <c r="K6" t="s">
        <v>8</v>
      </c>
      <c r="L6" s="2">
        <f>174.2+30553.131+3224.387</f>
        <v>33951.718000000001</v>
      </c>
      <c r="M6" s="3" t="s">
        <v>18</v>
      </c>
    </row>
    <row r="7" spans="2:13" x14ac:dyDescent="0.2">
      <c r="B7" t="s">
        <v>37</v>
      </c>
      <c r="K7" t="s">
        <v>1</v>
      </c>
      <c r="L7" s="2">
        <f>+L4-L11</f>
        <v>39011.238100945717</v>
      </c>
    </row>
    <row r="8" spans="2:13" x14ac:dyDescent="0.2">
      <c r="B8" t="s">
        <v>38</v>
      </c>
    </row>
    <row r="10" spans="2:13" x14ac:dyDescent="0.2">
      <c r="K10" t="s">
        <v>9</v>
      </c>
      <c r="L10" s="2">
        <f>L5-L6</f>
        <v>75923.766999999993</v>
      </c>
    </row>
    <row r="11" spans="2:13" x14ac:dyDescent="0.2">
      <c r="K11" t="s">
        <v>10</v>
      </c>
      <c r="L11" s="2">
        <f>+L10/6.4897</f>
        <v>11699.118141054285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32" x14ac:dyDescent="0.2">
      <c r="A1" s="9" t="s">
        <v>2</v>
      </c>
    </row>
    <row r="2" spans="1:32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4</v>
      </c>
      <c r="K2" s="3" t="s">
        <v>18</v>
      </c>
      <c r="L2" s="3" t="s">
        <v>19</v>
      </c>
      <c r="M2" s="3" t="s">
        <v>20</v>
      </c>
      <c r="N2" s="3" t="s">
        <v>21</v>
      </c>
      <c r="P2">
        <v>2012</v>
      </c>
      <c r="Q2">
        <f>+P2+1</f>
        <v>2013</v>
      </c>
      <c r="R2">
        <f t="shared" ref="R2:AF2" si="0">+Q2+1</f>
        <v>2014</v>
      </c>
      <c r="S2">
        <f t="shared" si="0"/>
        <v>2015</v>
      </c>
      <c r="T2">
        <f t="shared" si="0"/>
        <v>2016</v>
      </c>
      <c r="U2">
        <f t="shared" si="0"/>
        <v>2017</v>
      </c>
      <c r="V2">
        <f t="shared" si="0"/>
        <v>2018</v>
      </c>
      <c r="W2">
        <f t="shared" si="0"/>
        <v>2019</v>
      </c>
      <c r="X2">
        <f t="shared" si="0"/>
        <v>2020</v>
      </c>
      <c r="Y2">
        <f t="shared" si="0"/>
        <v>2021</v>
      </c>
      <c r="Z2">
        <f t="shared" si="0"/>
        <v>2022</v>
      </c>
      <c r="AA2">
        <f t="shared" si="0"/>
        <v>2023</v>
      </c>
      <c r="AB2">
        <f t="shared" si="0"/>
        <v>2024</v>
      </c>
      <c r="AC2">
        <f t="shared" si="0"/>
        <v>2025</v>
      </c>
      <c r="AD2">
        <f t="shared" si="0"/>
        <v>2026</v>
      </c>
      <c r="AE2">
        <f t="shared" si="0"/>
        <v>2027</v>
      </c>
      <c r="AF2">
        <f t="shared" si="0"/>
        <v>2028</v>
      </c>
    </row>
    <row r="3" spans="1:32" x14ac:dyDescent="0.2">
      <c r="B3" t="s">
        <v>41</v>
      </c>
      <c r="J3" s="3">
        <v>657</v>
      </c>
      <c r="K3" s="3">
        <v>663</v>
      </c>
    </row>
    <row r="4" spans="1:32" x14ac:dyDescent="0.2">
      <c r="B4" t="s">
        <v>42</v>
      </c>
      <c r="J4" s="3">
        <v>302</v>
      </c>
      <c r="K4" s="3">
        <v>321</v>
      </c>
    </row>
    <row r="5" spans="1:32" x14ac:dyDescent="0.2">
      <c r="B5" t="s">
        <v>44</v>
      </c>
      <c r="J5" s="4">
        <v>14700</v>
      </c>
      <c r="K5" s="4">
        <v>16000</v>
      </c>
    </row>
    <row r="6" spans="1:32" x14ac:dyDescent="0.2">
      <c r="B6" t="s">
        <v>43</v>
      </c>
      <c r="J6" s="4">
        <v>53</v>
      </c>
      <c r="K6" s="3">
        <v>65</v>
      </c>
    </row>
    <row r="8" spans="1:32" s="2" customFormat="1" x14ac:dyDescent="0.2">
      <c r="B8" s="2" t="s">
        <v>22</v>
      </c>
      <c r="C8" s="4"/>
      <c r="D8" s="4"/>
      <c r="E8" s="4"/>
      <c r="F8" s="4">
        <v>13844.607</v>
      </c>
      <c r="G8" s="4"/>
      <c r="H8" s="4"/>
      <c r="I8" s="4">
        <v>17680.374</v>
      </c>
      <c r="J8" s="4">
        <v>17610.379000000001</v>
      </c>
      <c r="K8" s="4"/>
      <c r="L8" s="4"/>
      <c r="M8" s="4"/>
      <c r="N8" s="4"/>
      <c r="R8" s="2">
        <v>48495.214999999997</v>
      </c>
      <c r="S8" s="2">
        <v>64037.006000000001</v>
      </c>
    </row>
    <row r="9" spans="1:32" s="2" customFormat="1" x14ac:dyDescent="0.2">
      <c r="B9" s="2" t="s">
        <v>23</v>
      </c>
      <c r="C9" s="4"/>
      <c r="D9" s="4"/>
      <c r="E9" s="4"/>
      <c r="F9" s="4">
        <v>205.62200000000001</v>
      </c>
      <c r="G9" s="4"/>
      <c r="H9" s="4"/>
      <c r="I9" s="4">
        <v>702.70699999999999</v>
      </c>
      <c r="J9" s="4">
        <v>1088.415</v>
      </c>
      <c r="K9" s="4"/>
      <c r="L9" s="4"/>
      <c r="M9" s="4"/>
      <c r="N9" s="4"/>
      <c r="R9" s="2">
        <v>557.10299999999995</v>
      </c>
      <c r="S9" s="2">
        <v>2344.723</v>
      </c>
    </row>
    <row r="10" spans="1:32" s="5" customFormat="1" x14ac:dyDescent="0.2">
      <c r="B10" s="5" t="s">
        <v>3</v>
      </c>
      <c r="C10" s="6"/>
      <c r="D10" s="6"/>
      <c r="E10" s="6"/>
      <c r="F10" s="6">
        <f>+F9+F8</f>
        <v>14050.228999999999</v>
      </c>
      <c r="G10" s="6"/>
      <c r="H10" s="6"/>
      <c r="I10" s="6">
        <f>+I9+I8</f>
        <v>18383.080999999998</v>
      </c>
      <c r="J10" s="6">
        <f>+J9+J8</f>
        <v>18698.794000000002</v>
      </c>
      <c r="K10" s="6"/>
      <c r="L10" s="6"/>
      <c r="M10" s="6"/>
      <c r="N10" s="6"/>
      <c r="R10" s="5">
        <f>+R9+R8</f>
        <v>49052.317999999999</v>
      </c>
      <c r="S10" s="5">
        <f>+S9+S8</f>
        <v>66381.729000000007</v>
      </c>
    </row>
    <row r="11" spans="1:32" s="2" customFormat="1" x14ac:dyDescent="0.2">
      <c r="B11" s="2" t="s">
        <v>24</v>
      </c>
      <c r="C11" s="4"/>
      <c r="D11" s="4"/>
      <c r="E11" s="4"/>
      <c r="F11" s="4">
        <v>5438.3509999999997</v>
      </c>
      <c r="G11" s="4"/>
      <c r="H11" s="4"/>
      <c r="I11" s="4">
        <v>7479.58</v>
      </c>
      <c r="J11" s="4">
        <v>8149.3270000000002</v>
      </c>
      <c r="K11" s="4"/>
      <c r="L11" s="4"/>
      <c r="M11" s="4"/>
      <c r="N11" s="4"/>
      <c r="R11" s="2">
        <v>18885.45</v>
      </c>
      <c r="S11" s="2">
        <v>27458.03</v>
      </c>
    </row>
    <row r="12" spans="1:32" s="2" customFormat="1" x14ac:dyDescent="0.2">
      <c r="B12" s="2" t="s">
        <v>25</v>
      </c>
      <c r="C12" s="4"/>
      <c r="D12" s="4"/>
      <c r="E12" s="4"/>
      <c r="F12" s="4">
        <f>+F10-F11</f>
        <v>8611.8780000000006</v>
      </c>
      <c r="G12" s="4"/>
      <c r="H12" s="4"/>
      <c r="I12" s="4">
        <f>+I10-I11</f>
        <v>10903.500999999998</v>
      </c>
      <c r="J12" s="4">
        <f>+J10-J11</f>
        <v>10549.467000000001</v>
      </c>
      <c r="K12" s="4"/>
      <c r="L12" s="4"/>
      <c r="M12" s="4"/>
      <c r="N12" s="4"/>
      <c r="R12" s="2">
        <f>+R10-R11</f>
        <v>30166.867999999999</v>
      </c>
      <c r="S12" s="2">
        <f>+S10-S11</f>
        <v>38923.699000000008</v>
      </c>
    </row>
    <row r="13" spans="1:32" s="2" customFormat="1" x14ac:dyDescent="0.2">
      <c r="B13" s="2" t="s">
        <v>26</v>
      </c>
      <c r="C13" s="4"/>
      <c r="D13" s="4"/>
      <c r="E13" s="4"/>
      <c r="F13" s="4">
        <v>3524.3710000000001</v>
      </c>
      <c r="G13" s="4"/>
      <c r="H13" s="4"/>
      <c r="I13" s="4">
        <v>5701.8590000000004</v>
      </c>
      <c r="J13" s="4">
        <v>4527.8130000000001</v>
      </c>
      <c r="K13" s="4"/>
      <c r="L13" s="4"/>
      <c r="M13" s="4"/>
      <c r="N13" s="4"/>
      <c r="R13" s="2">
        <v>10382.142</v>
      </c>
      <c r="S13" s="2">
        <v>17076.383000000002</v>
      </c>
    </row>
    <row r="14" spans="1:32" s="2" customFormat="1" x14ac:dyDescent="0.2">
      <c r="B14" s="2" t="s">
        <v>27</v>
      </c>
      <c r="C14" s="4"/>
      <c r="D14" s="4"/>
      <c r="E14" s="4"/>
      <c r="F14" s="4">
        <v>2135.5059999999999</v>
      </c>
      <c r="G14" s="4"/>
      <c r="H14" s="4"/>
      <c r="I14" s="4">
        <v>2689.97</v>
      </c>
      <c r="J14" s="4">
        <v>2486.7779999999998</v>
      </c>
      <c r="K14" s="4"/>
      <c r="L14" s="4"/>
      <c r="M14" s="4"/>
      <c r="N14" s="4"/>
      <c r="R14" s="2">
        <v>6980.9620000000004</v>
      </c>
      <c r="S14" s="2">
        <v>10175.762000000001</v>
      </c>
    </row>
    <row r="15" spans="1:32" s="2" customFormat="1" x14ac:dyDescent="0.2">
      <c r="B15" s="2" t="s">
        <v>28</v>
      </c>
      <c r="C15" s="4"/>
      <c r="D15" s="4"/>
      <c r="E15" s="4"/>
      <c r="F15" s="4">
        <f>+F14+F13</f>
        <v>5659.8770000000004</v>
      </c>
      <c r="G15" s="4"/>
      <c r="H15" s="4"/>
      <c r="I15" s="4">
        <f>+I14+I13</f>
        <v>8391.8289999999997</v>
      </c>
      <c r="J15" s="4">
        <f>+J14+J13</f>
        <v>7014.5910000000003</v>
      </c>
      <c r="K15" s="4"/>
      <c r="L15" s="4"/>
      <c r="M15" s="4"/>
      <c r="N15" s="4"/>
      <c r="R15" s="2">
        <f>+R14+R13</f>
        <v>17363.103999999999</v>
      </c>
      <c r="S15" s="2">
        <f>+S14+S13</f>
        <v>27252.145000000004</v>
      </c>
    </row>
    <row r="16" spans="1:32" s="2" customFormat="1" x14ac:dyDescent="0.2">
      <c r="B16" s="2" t="s">
        <v>29</v>
      </c>
      <c r="C16" s="4"/>
      <c r="D16" s="4"/>
      <c r="E16" s="4"/>
      <c r="F16" s="4">
        <f>+F12-F15</f>
        <v>2952.0010000000002</v>
      </c>
      <c r="G16" s="4"/>
      <c r="H16" s="4"/>
      <c r="I16" s="4">
        <f>+I12-I15</f>
        <v>2511.6719999999987</v>
      </c>
      <c r="J16" s="4">
        <f>+J12-J15</f>
        <v>3534.8760000000002</v>
      </c>
      <c r="K16" s="4"/>
      <c r="L16" s="4"/>
      <c r="M16" s="4"/>
      <c r="N16" s="4"/>
      <c r="R16" s="2">
        <f>+R12-R15</f>
        <v>12803.763999999999</v>
      </c>
      <c r="S16" s="2">
        <f>+S12-S15</f>
        <v>11671.554000000004</v>
      </c>
    </row>
    <row r="17" spans="2:19" s="2" customFormat="1" x14ac:dyDescent="0.2">
      <c r="B17" s="2" t="s">
        <v>30</v>
      </c>
      <c r="C17" s="4"/>
      <c r="D17" s="4"/>
      <c r="E17" s="4"/>
      <c r="F17" s="4">
        <f>573.154-183.575+22.873+1.142+96.054</f>
        <v>509.64800000000002</v>
      </c>
      <c r="G17" s="4"/>
      <c r="H17" s="4"/>
      <c r="I17" s="4">
        <f>616.171-329.372+61.407-8.856+200.625</f>
        <v>539.97500000000002</v>
      </c>
      <c r="J17" s="4">
        <f>572.725-299.372+106.007+23.119</f>
        <v>402.47900000000004</v>
      </c>
      <c r="K17" s="4"/>
      <c r="L17" s="4"/>
      <c r="M17" s="4"/>
      <c r="N17" s="4"/>
      <c r="R17" s="2">
        <f>1992.818-628.571+75.78-19.943+260.558</f>
        <v>1680.6419999999998</v>
      </c>
      <c r="S17" s="2">
        <f>2362.632-1041.394+181.802+3.867</f>
        <v>1506.9069999999999</v>
      </c>
    </row>
    <row r="18" spans="2:19" s="2" customFormat="1" x14ac:dyDescent="0.2">
      <c r="B18" s="2" t="s">
        <v>31</v>
      </c>
      <c r="C18" s="4"/>
      <c r="D18" s="4"/>
      <c r="E18" s="4"/>
      <c r="F18" s="4">
        <f>F16+F17</f>
        <v>3461.6490000000003</v>
      </c>
      <c r="G18" s="4"/>
      <c r="H18" s="4"/>
      <c r="I18" s="4">
        <f>I16+I17</f>
        <v>3051.6469999999986</v>
      </c>
      <c r="J18" s="4">
        <f>J16+J17</f>
        <v>3937.3550000000005</v>
      </c>
      <c r="K18" s="4"/>
      <c r="L18" s="4"/>
      <c r="M18" s="4"/>
      <c r="N18" s="4"/>
      <c r="R18" s="2">
        <f>+R16+R17</f>
        <v>14484.405999999999</v>
      </c>
      <c r="S18" s="2">
        <f>+S16+S17</f>
        <v>13178.461000000003</v>
      </c>
    </row>
    <row r="19" spans="2:19" s="2" customFormat="1" x14ac:dyDescent="0.2">
      <c r="B19" s="2" t="s">
        <v>32</v>
      </c>
      <c r="C19" s="4"/>
      <c r="D19" s="4"/>
      <c r="E19" s="4"/>
      <c r="F19" s="4">
        <f>538.493-315.776</f>
        <v>222.71700000000004</v>
      </c>
      <c r="G19" s="4"/>
      <c r="H19" s="4"/>
      <c r="I19" s="4">
        <f>590.517-379.939</f>
        <v>210.57800000000003</v>
      </c>
      <c r="J19" s="4">
        <f>0-60.085</f>
        <v>-60.085000000000001</v>
      </c>
      <c r="K19" s="4"/>
      <c r="L19" s="4"/>
      <c r="M19" s="4"/>
      <c r="N19" s="4"/>
      <c r="R19" s="2">
        <f>2231.172-943.698</f>
        <v>1287.4740000000002</v>
      </c>
      <c r="S19" s="2">
        <f>5474.377-1231.927</f>
        <v>4242.4500000000007</v>
      </c>
    </row>
    <row r="20" spans="2:19" s="2" customFormat="1" x14ac:dyDescent="0.2">
      <c r="B20" s="2" t="s">
        <v>33</v>
      </c>
      <c r="C20" s="4"/>
      <c r="D20" s="4"/>
      <c r="E20" s="4"/>
      <c r="F20" s="4">
        <f>+F18-F19</f>
        <v>3238.9320000000002</v>
      </c>
      <c r="G20" s="4"/>
      <c r="H20" s="4"/>
      <c r="I20" s="4">
        <f>+I18-I19</f>
        <v>2841.0689999999986</v>
      </c>
      <c r="J20" s="4">
        <f>+J18-J19</f>
        <v>3997.4400000000005</v>
      </c>
      <c r="K20" s="4"/>
      <c r="L20" s="4"/>
      <c r="M20" s="4"/>
      <c r="N20" s="4"/>
      <c r="R20" s="2">
        <f>+R18-R19</f>
        <v>13196.931999999999</v>
      </c>
      <c r="S20" s="2">
        <f>+S18-S19</f>
        <v>8936.0110000000022</v>
      </c>
    </row>
    <row r="22" spans="2:19" x14ac:dyDescent="0.2">
      <c r="B22" t="s">
        <v>34</v>
      </c>
      <c r="J22" s="8">
        <f>J10/F10-1</f>
        <v>0.33085332630521558</v>
      </c>
      <c r="S22" s="7">
        <f>S10/R10-1</f>
        <v>0.3532842423471203</v>
      </c>
    </row>
    <row r="24" spans="2:19" x14ac:dyDescent="0.2">
      <c r="B24" t="s">
        <v>35</v>
      </c>
      <c r="F24" s="8">
        <f>F12/F10</f>
        <v>0.612935063193632</v>
      </c>
      <c r="I24" s="8">
        <f t="shared" ref="I24:J24" si="1">I12/I10</f>
        <v>0.59312696277626142</v>
      </c>
      <c r="J24" s="8">
        <f t="shared" si="1"/>
        <v>0.56417900534120002</v>
      </c>
      <c r="R24" s="8">
        <f t="shared" ref="R24:S24" si="2">R12/R10</f>
        <v>0.61499372975605349</v>
      </c>
      <c r="S24" s="8">
        <f t="shared" si="2"/>
        <v>0.58636163273180186</v>
      </c>
    </row>
    <row r="25" spans="2:19" x14ac:dyDescent="0.2">
      <c r="B25" t="s">
        <v>36</v>
      </c>
      <c r="F25" s="8">
        <f>F16/F10</f>
        <v>0.21010340827896828</v>
      </c>
      <c r="I25" s="8">
        <f>I16/I10</f>
        <v>0.13662954539557318</v>
      </c>
      <c r="J25" s="8">
        <f>J16/J10</f>
        <v>0.18904299389575605</v>
      </c>
      <c r="R25" s="8">
        <f>R16/R10</f>
        <v>0.26102260855440101</v>
      </c>
      <c r="S25" s="8">
        <f>S16/S10</f>
        <v>0.17582479660932004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25" sqref="K25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3"/>
  </cols>
  <sheetData>
    <row r="1" spans="1:33" x14ac:dyDescent="0.2">
      <c r="A1" s="9" t="s">
        <v>2</v>
      </c>
    </row>
    <row r="2" spans="1:33" x14ac:dyDescent="0.2">
      <c r="B2" t="s">
        <v>47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4</v>
      </c>
      <c r="K2" s="3" t="s">
        <v>18</v>
      </c>
      <c r="L2" s="3" t="s">
        <v>19</v>
      </c>
      <c r="M2" s="3" t="s">
        <v>20</v>
      </c>
      <c r="N2" s="3" t="s">
        <v>21</v>
      </c>
      <c r="Q2" s="3">
        <v>2010</v>
      </c>
      <c r="R2" s="3">
        <f>+Q2+1</f>
        <v>2011</v>
      </c>
      <c r="S2" s="3">
        <f t="shared" ref="S2:AG2" si="0">+R2+1</f>
        <v>2012</v>
      </c>
      <c r="T2" s="3">
        <f t="shared" si="0"/>
        <v>2013</v>
      </c>
      <c r="U2" s="3">
        <f t="shared" si="0"/>
        <v>2014</v>
      </c>
      <c r="V2" s="3">
        <f t="shared" si="0"/>
        <v>2015</v>
      </c>
      <c r="W2" s="3">
        <f t="shared" si="0"/>
        <v>2016</v>
      </c>
      <c r="X2" s="3">
        <f t="shared" si="0"/>
        <v>2017</v>
      </c>
      <c r="Y2" s="3">
        <f t="shared" si="0"/>
        <v>2018</v>
      </c>
      <c r="Z2" s="3">
        <f t="shared" si="0"/>
        <v>2019</v>
      </c>
      <c r="AA2" s="3">
        <f t="shared" si="0"/>
        <v>2020</v>
      </c>
      <c r="AB2" s="3">
        <f t="shared" si="0"/>
        <v>2021</v>
      </c>
      <c r="AC2" s="3">
        <f t="shared" si="0"/>
        <v>2022</v>
      </c>
      <c r="AD2" s="3">
        <f t="shared" si="0"/>
        <v>2023</v>
      </c>
      <c r="AE2" s="3">
        <f t="shared" si="0"/>
        <v>2024</v>
      </c>
      <c r="AF2" s="3">
        <f t="shared" si="0"/>
        <v>2025</v>
      </c>
      <c r="AG2" s="3">
        <f t="shared" si="0"/>
        <v>2026</v>
      </c>
    </row>
    <row r="3" spans="1:33" s="2" customFormat="1" x14ac:dyDescent="0.2">
      <c r="B3" s="2" t="s">
        <v>45</v>
      </c>
      <c r="C3" s="4"/>
      <c r="D3" s="4"/>
      <c r="E3" s="4">
        <v>13427.179</v>
      </c>
      <c r="F3" s="4">
        <v>13844.607</v>
      </c>
      <c r="G3" s="4">
        <v>12518.757</v>
      </c>
      <c r="H3" s="4">
        <v>16227.495999999999</v>
      </c>
      <c r="I3" s="4">
        <v>17680.374</v>
      </c>
      <c r="J3" s="4">
        <v>17610.379000000001</v>
      </c>
      <c r="K3" s="4">
        <v>14930.53</v>
      </c>
      <c r="L3" s="11">
        <f t="shared" ref="L3:L5" si="1">+H3*1.22</f>
        <v>19797.545119999999</v>
      </c>
      <c r="M3" s="11">
        <f t="shared" ref="M3:M4" si="2">+I3*1.22</f>
        <v>21570.056280000001</v>
      </c>
      <c r="N3" s="11">
        <f t="shared" ref="N3:N4" si="3">+J3*1.22</f>
        <v>21484.662380000002</v>
      </c>
      <c r="O3" s="4"/>
      <c r="P3" s="4"/>
      <c r="Q3" s="4"/>
      <c r="R3" s="4"/>
      <c r="S3" s="4"/>
      <c r="T3" s="4"/>
      <c r="U3" s="4"/>
      <c r="V3" s="4">
        <f>SUM(G3:J3)</f>
        <v>64037.005999999994</v>
      </c>
      <c r="W3" s="4">
        <f>SUM(K3:N3)</f>
        <v>77782.793780000007</v>
      </c>
    </row>
    <row r="4" spans="1:33" s="2" customFormat="1" x14ac:dyDescent="0.2">
      <c r="B4" s="2" t="s">
        <v>46</v>
      </c>
      <c r="C4" s="4"/>
      <c r="D4" s="4"/>
      <c r="E4" s="4">
        <v>92.576999999999998</v>
      </c>
      <c r="F4" s="4">
        <v>205.62200000000001</v>
      </c>
      <c r="G4" s="4">
        <v>205.85900000000001</v>
      </c>
      <c r="H4" s="4">
        <v>347.74200000000002</v>
      </c>
      <c r="I4" s="4">
        <v>702.70699999999999</v>
      </c>
      <c r="J4" s="4">
        <v>1088.415</v>
      </c>
      <c r="K4" s="4">
        <v>890.04200000000003</v>
      </c>
      <c r="L4" s="11">
        <f t="shared" si="1"/>
        <v>424.24524000000002</v>
      </c>
      <c r="M4" s="11">
        <f t="shared" si="2"/>
        <v>857.30254000000002</v>
      </c>
      <c r="N4" s="11">
        <f t="shared" si="3"/>
        <v>1327.8662999999999</v>
      </c>
      <c r="O4" s="4"/>
      <c r="P4" s="4"/>
      <c r="Q4" s="4"/>
      <c r="R4" s="4"/>
      <c r="S4" s="4"/>
      <c r="T4" s="4"/>
      <c r="U4" s="4"/>
      <c r="V4" s="4">
        <f>SUM(G4:J4)</f>
        <v>2344.723</v>
      </c>
      <c r="W4" s="4">
        <f>SUM(K4:N4)</f>
        <v>3499.4560799999999</v>
      </c>
    </row>
    <row r="5" spans="1:33" s="5" customFormat="1" x14ac:dyDescent="0.2">
      <c r="B5" s="5" t="s">
        <v>3</v>
      </c>
      <c r="C5" s="6"/>
      <c r="D5" s="6"/>
      <c r="E5" s="6">
        <f>+E3+E4</f>
        <v>13519.755999999999</v>
      </c>
      <c r="F5" s="6">
        <f>+F3+F4</f>
        <v>14050.228999999999</v>
      </c>
      <c r="G5" s="6">
        <f t="shared" ref="G5:N5" si="4">+G3+G4</f>
        <v>12724.616</v>
      </c>
      <c r="H5" s="6">
        <f t="shared" si="4"/>
        <v>16575.237999999998</v>
      </c>
      <c r="I5" s="6">
        <f t="shared" si="4"/>
        <v>18383.080999999998</v>
      </c>
      <c r="J5" s="6">
        <f t="shared" si="4"/>
        <v>18698.794000000002</v>
      </c>
      <c r="K5" s="6">
        <f t="shared" si="4"/>
        <v>15820.572</v>
      </c>
      <c r="L5" s="6">
        <f t="shared" si="4"/>
        <v>20221.790359999999</v>
      </c>
      <c r="M5" s="6">
        <f t="shared" si="4"/>
        <v>22427.358820000001</v>
      </c>
      <c r="N5" s="6">
        <f t="shared" si="4"/>
        <v>22812.528680000003</v>
      </c>
      <c r="O5" s="6"/>
      <c r="P5" s="6"/>
      <c r="Q5" s="6">
        <f t="shared" ref="Q5:W5" si="5">+Q3+Q4</f>
        <v>0</v>
      </c>
      <c r="R5" s="6">
        <f t="shared" si="5"/>
        <v>0</v>
      </c>
      <c r="S5" s="6">
        <f t="shared" si="5"/>
        <v>0</v>
      </c>
      <c r="T5" s="6">
        <f t="shared" si="5"/>
        <v>0</v>
      </c>
      <c r="U5" s="6">
        <f t="shared" si="5"/>
        <v>0</v>
      </c>
      <c r="V5" s="6">
        <f t="shared" si="5"/>
        <v>66381.728999999992</v>
      </c>
      <c r="W5" s="6">
        <f t="shared" si="5"/>
        <v>81282.249860000011</v>
      </c>
    </row>
    <row r="6" spans="1:33" s="2" customFormat="1" x14ac:dyDescent="0.2">
      <c r="B6" s="2" t="s">
        <v>24</v>
      </c>
      <c r="C6" s="4"/>
      <c r="D6" s="4"/>
      <c r="E6" s="4">
        <v>5068.3370000000004</v>
      </c>
      <c r="F6" s="4">
        <v>5438.3509999999997</v>
      </c>
      <c r="G6" s="4">
        <v>5326.1030000000001</v>
      </c>
      <c r="H6" s="4">
        <v>6503.02</v>
      </c>
      <c r="I6" s="4">
        <v>7479.58</v>
      </c>
      <c r="J6" s="4">
        <v>8149.3270000000002</v>
      </c>
      <c r="K6" s="4">
        <v>7563.1840000000002</v>
      </c>
      <c r="L6" s="4">
        <f>+L5-L7</f>
        <v>8897.5877583999991</v>
      </c>
      <c r="M6" s="4">
        <f t="shared" ref="M6:N6" si="6">+M5-M7</f>
        <v>9868.0378807999987</v>
      </c>
      <c r="N6" s="4">
        <f t="shared" si="6"/>
        <v>10037.512619200001</v>
      </c>
      <c r="O6" s="4"/>
      <c r="P6" s="4"/>
      <c r="Q6" s="4"/>
      <c r="R6" s="4"/>
      <c r="S6" s="4"/>
      <c r="T6" s="4"/>
      <c r="U6" s="4"/>
      <c r="V6" s="4">
        <f>SUM(G6:J6)</f>
        <v>27458.030000000002</v>
      </c>
      <c r="W6" s="4">
        <f>SUM(K6:N6)</f>
        <v>36366.322258399996</v>
      </c>
    </row>
    <row r="7" spans="1:33" s="2" customFormat="1" x14ac:dyDescent="0.2">
      <c r="B7" s="2" t="s">
        <v>25</v>
      </c>
      <c r="C7" s="4"/>
      <c r="D7" s="4"/>
      <c r="E7" s="4">
        <f>+E5-E6</f>
        <v>8451.4189999999981</v>
      </c>
      <c r="F7" s="4">
        <f>+F5-F6</f>
        <v>8611.8780000000006</v>
      </c>
      <c r="G7" s="4">
        <f>+G5-G6</f>
        <v>7398.5129999999999</v>
      </c>
      <c r="H7" s="4">
        <f t="shared" ref="H7:I7" si="7">+H5-H6</f>
        <v>10072.217999999997</v>
      </c>
      <c r="I7" s="4">
        <f t="shared" si="7"/>
        <v>10903.500999999998</v>
      </c>
      <c r="J7" s="4">
        <f>+J5-J6</f>
        <v>10549.467000000001</v>
      </c>
      <c r="K7" s="4">
        <f>+K5-K6</f>
        <v>8257.387999999999</v>
      </c>
      <c r="L7" s="4">
        <f>+L5*0.56</f>
        <v>11324.2026016</v>
      </c>
      <c r="M7" s="4">
        <f t="shared" ref="M7:N7" si="8">+M5*0.56</f>
        <v>12559.320939200003</v>
      </c>
      <c r="N7" s="4">
        <f t="shared" si="8"/>
        <v>12775.016060800002</v>
      </c>
      <c r="O7" s="4"/>
      <c r="P7" s="4"/>
      <c r="Q7" s="4"/>
      <c r="R7" s="4"/>
      <c r="S7" s="4"/>
      <c r="T7" s="4"/>
      <c r="U7" s="4"/>
      <c r="V7" s="4">
        <f>+V5-V6</f>
        <v>38923.698999999993</v>
      </c>
      <c r="W7" s="4">
        <f>+W5-W6</f>
        <v>44915.927601600015</v>
      </c>
    </row>
    <row r="8" spans="1:33" s="2" customFormat="1" x14ac:dyDescent="0.2">
      <c r="B8" s="2" t="s">
        <v>26</v>
      </c>
      <c r="C8" s="4"/>
      <c r="D8" s="4"/>
      <c r="E8" s="4">
        <v>2700.0079999999998</v>
      </c>
      <c r="F8" s="4">
        <v>3524.3710000000001</v>
      </c>
      <c r="G8" s="4">
        <v>2956.8670000000002</v>
      </c>
      <c r="H8" s="4">
        <v>3889.8440000000001</v>
      </c>
      <c r="I8" s="4">
        <v>5701.8590000000004</v>
      </c>
      <c r="J8" s="4">
        <v>4527.8130000000001</v>
      </c>
      <c r="K8" s="4">
        <v>3945.944</v>
      </c>
      <c r="L8" s="4">
        <f>+H8*1.2</f>
        <v>4667.8127999999997</v>
      </c>
      <c r="M8" s="4">
        <f t="shared" ref="M8:M9" si="9">+I8*1.2</f>
        <v>6842.2308000000003</v>
      </c>
      <c r="N8" s="4">
        <f t="shared" ref="N8:N9" si="10">+J8*1.2</f>
        <v>5433.3756000000003</v>
      </c>
      <c r="O8" s="4"/>
      <c r="P8" s="4"/>
      <c r="Q8" s="4"/>
      <c r="R8" s="4"/>
      <c r="S8" s="4"/>
      <c r="T8" s="4"/>
      <c r="U8" s="4"/>
      <c r="V8" s="4">
        <f t="shared" ref="V8:V9" si="11">SUM(G8:J8)</f>
        <v>17076.383000000002</v>
      </c>
      <c r="W8" s="4">
        <f t="shared" ref="V8:W9" si="12">SUM(K8:N8)</f>
        <v>20889.3632</v>
      </c>
    </row>
    <row r="9" spans="1:33" s="2" customFormat="1" x14ac:dyDescent="0.2">
      <c r="B9" s="2" t="s">
        <v>27</v>
      </c>
      <c r="C9" s="4"/>
      <c r="D9" s="4"/>
      <c r="E9" s="4">
        <v>1831.59</v>
      </c>
      <c r="F9" s="4">
        <v>2135.5059999999999</v>
      </c>
      <c r="G9" s="4">
        <v>2286.3330000000001</v>
      </c>
      <c r="H9" s="4">
        <v>2712.681</v>
      </c>
      <c r="I9" s="4">
        <v>2689.97</v>
      </c>
      <c r="J9" s="4">
        <v>2486.7779999999998</v>
      </c>
      <c r="K9" s="4">
        <v>2100.7069999999999</v>
      </c>
      <c r="L9" s="4">
        <f t="shared" ref="L9" si="13">+H9*1.2</f>
        <v>3255.2172</v>
      </c>
      <c r="M9" s="4">
        <f t="shared" si="9"/>
        <v>3227.9639999999995</v>
      </c>
      <c r="N9" s="4">
        <f t="shared" si="10"/>
        <v>2984.1335999999997</v>
      </c>
      <c r="O9" s="4"/>
      <c r="P9" s="4"/>
      <c r="Q9" s="4"/>
      <c r="R9" s="4"/>
      <c r="S9" s="4"/>
      <c r="T9" s="4"/>
      <c r="U9" s="4"/>
      <c r="V9" s="4">
        <f t="shared" si="11"/>
        <v>10175.762000000001</v>
      </c>
      <c r="W9" s="4">
        <f t="shared" si="12"/>
        <v>11568.021799999999</v>
      </c>
    </row>
    <row r="10" spans="1:33" s="2" customFormat="1" x14ac:dyDescent="0.2">
      <c r="B10" s="2" t="s">
        <v>28</v>
      </c>
      <c r="C10" s="4"/>
      <c r="D10" s="4"/>
      <c r="E10" s="4">
        <f>+E9+E8</f>
        <v>4531.598</v>
      </c>
      <c r="F10" s="4">
        <f>+F9+F8</f>
        <v>5659.8770000000004</v>
      </c>
      <c r="G10" s="4">
        <f>+G9+G8</f>
        <v>5243.2000000000007</v>
      </c>
      <c r="H10" s="4">
        <f t="shared" ref="H10:I10" si="14">+H9+H8</f>
        <v>6602.5249999999996</v>
      </c>
      <c r="I10" s="4">
        <f t="shared" si="14"/>
        <v>8391.8289999999997</v>
      </c>
      <c r="J10" s="4">
        <f>+J9+J8</f>
        <v>7014.5910000000003</v>
      </c>
      <c r="K10" s="4">
        <f>+K9+K8</f>
        <v>6046.6509999999998</v>
      </c>
      <c r="L10" s="4">
        <f t="shared" ref="L10:N10" si="15">+L9+L8</f>
        <v>7923.03</v>
      </c>
      <c r="M10" s="4">
        <f t="shared" si="15"/>
        <v>10070.194799999999</v>
      </c>
      <c r="N10" s="4">
        <f t="shared" si="15"/>
        <v>8417.5092000000004</v>
      </c>
      <c r="O10" s="4"/>
      <c r="P10" s="4"/>
      <c r="Q10" s="4"/>
      <c r="R10" s="4"/>
      <c r="S10" s="4"/>
      <c r="T10" s="4"/>
      <c r="U10" s="4"/>
      <c r="V10" s="4">
        <f t="shared" ref="V10:W10" si="16">+V9+V8</f>
        <v>27252.145000000004</v>
      </c>
      <c r="W10" s="4">
        <f t="shared" si="16"/>
        <v>32457.384999999998</v>
      </c>
    </row>
    <row r="11" spans="1:33" s="2" customFormat="1" x14ac:dyDescent="0.2">
      <c r="B11" s="2" t="s">
        <v>29</v>
      </c>
      <c r="C11" s="4"/>
      <c r="D11" s="4"/>
      <c r="E11" s="4">
        <f>+E7-E10</f>
        <v>3919.8209999999981</v>
      </c>
      <c r="F11" s="4">
        <f>+F7-F10</f>
        <v>2952.0010000000002</v>
      </c>
      <c r="G11" s="4">
        <f>+G7-G10</f>
        <v>2155.3129999999992</v>
      </c>
      <c r="H11" s="4">
        <f t="shared" ref="H11:I11" si="17">+H7-H10</f>
        <v>3469.6929999999975</v>
      </c>
      <c r="I11" s="4">
        <f t="shared" si="17"/>
        <v>2511.6719999999987</v>
      </c>
      <c r="J11" s="4">
        <f>+J7-J10</f>
        <v>3534.8760000000002</v>
      </c>
      <c r="K11" s="4">
        <f>+K7-K10</f>
        <v>2210.7369999999992</v>
      </c>
      <c r="L11" s="4">
        <f t="shared" ref="L11:N11" si="18">+L7-L10</f>
        <v>3401.1726016000002</v>
      </c>
      <c r="M11" s="4">
        <f t="shared" si="18"/>
        <v>2489.1261392000033</v>
      </c>
      <c r="N11" s="4">
        <f t="shared" si="18"/>
        <v>4357.506860800002</v>
      </c>
      <c r="O11" s="4"/>
      <c r="P11" s="4"/>
      <c r="Q11" s="4"/>
      <c r="R11" s="4"/>
      <c r="S11" s="4"/>
      <c r="T11" s="4"/>
      <c r="U11" s="4"/>
      <c r="V11" s="4">
        <f t="shared" ref="V11:W11" si="19">+V7-V10</f>
        <v>11671.553999999989</v>
      </c>
      <c r="W11" s="4">
        <f t="shared" si="19"/>
        <v>12458.542601600016</v>
      </c>
    </row>
    <row r="12" spans="1:33" s="2" customFormat="1" x14ac:dyDescent="0.2">
      <c r="B12" s="2" t="s">
        <v>30</v>
      </c>
      <c r="C12" s="4"/>
      <c r="D12" s="4"/>
      <c r="E12" s="4">
        <v>324.83199999999999</v>
      </c>
      <c r="F12" s="4">
        <v>509.64800000000002</v>
      </c>
      <c r="G12" s="4">
        <v>453.97300000000001</v>
      </c>
      <c r="H12" s="4">
        <v>544.36199999999997</v>
      </c>
      <c r="I12" s="4">
        <v>539.97500000000002</v>
      </c>
      <c r="J12" s="4">
        <f>572.725-299.372+106.007+23.119</f>
        <v>402.47900000000004</v>
      </c>
      <c r="K12" s="4">
        <v>442.59199999999998</v>
      </c>
      <c r="L12" s="4">
        <f>+K12</f>
        <v>442.59199999999998</v>
      </c>
      <c r="M12" s="4">
        <f t="shared" ref="M12:O12" si="20">+L12</f>
        <v>442.59199999999998</v>
      </c>
      <c r="N12" s="4">
        <f t="shared" si="20"/>
        <v>442.59199999999998</v>
      </c>
      <c r="O12" s="4"/>
      <c r="P12" s="4"/>
      <c r="Q12" s="4"/>
      <c r="R12" s="4"/>
      <c r="S12" s="4"/>
      <c r="T12" s="4"/>
      <c r="U12" s="4"/>
      <c r="V12" s="4">
        <f>SUM(G12:J12)</f>
        <v>1940.789</v>
      </c>
      <c r="W12" s="4">
        <f t="shared" ref="V12:W14" si="21">SUM(K12:N12)</f>
        <v>1770.3679999999999</v>
      </c>
    </row>
    <row r="13" spans="1:33" s="2" customFormat="1" x14ac:dyDescent="0.2">
      <c r="B13" s="2" t="s">
        <v>31</v>
      </c>
      <c r="C13" s="4"/>
      <c r="D13" s="4"/>
      <c r="E13" s="4">
        <f>+E11+E12</f>
        <v>4244.6529999999984</v>
      </c>
      <c r="F13" s="4">
        <f>+F11+F12</f>
        <v>3461.6490000000003</v>
      </c>
      <c r="G13" s="4">
        <f>+G11+G12</f>
        <v>2609.2859999999991</v>
      </c>
      <c r="H13" s="4">
        <f t="shared" ref="H13:I13" si="22">+H11+H12</f>
        <v>4014.0549999999976</v>
      </c>
      <c r="I13" s="4">
        <f t="shared" si="22"/>
        <v>3051.6469999999986</v>
      </c>
      <c r="J13" s="4">
        <f>+J11+J12</f>
        <v>3937.3550000000005</v>
      </c>
      <c r="K13" s="4">
        <f>+K11+K12</f>
        <v>2653.3289999999993</v>
      </c>
      <c r="L13" s="4">
        <f t="shared" ref="L13" si="23">+L11+L12</f>
        <v>3843.7646016000003</v>
      </c>
      <c r="M13" s="4">
        <f t="shared" ref="M13" si="24">+M11+M12</f>
        <v>2931.7181392000034</v>
      </c>
      <c r="N13" s="4">
        <f t="shared" ref="N13" si="25">+N11+N12</f>
        <v>4800.0988608000016</v>
      </c>
      <c r="O13" s="4"/>
      <c r="P13" s="4"/>
      <c r="Q13" s="4"/>
      <c r="R13" s="4"/>
      <c r="S13" s="4"/>
      <c r="T13" s="4"/>
      <c r="U13" s="4"/>
      <c r="V13" s="4">
        <f t="shared" ref="V13:W13" si="26">+V11+V12</f>
        <v>13612.34299999999</v>
      </c>
      <c r="W13" s="4">
        <f t="shared" si="26"/>
        <v>14228.910601600017</v>
      </c>
    </row>
    <row r="14" spans="1:33" s="2" customFormat="1" x14ac:dyDescent="0.2">
      <c r="B14" s="2" t="s">
        <v>32</v>
      </c>
      <c r="C14" s="4"/>
      <c r="D14" s="4"/>
      <c r="E14" s="4">
        <f>656.768-288.227</f>
        <v>368.54100000000005</v>
      </c>
      <c r="F14" s="4">
        <f>538.493-315.776</f>
        <v>222.71700000000004</v>
      </c>
      <c r="G14" s="4">
        <f>541-380.994</f>
        <v>160.00599999999997</v>
      </c>
      <c r="H14" s="4">
        <f>762.951-410.909</f>
        <v>352.04200000000003</v>
      </c>
      <c r="I14" s="4">
        <f>590.517-379.939</f>
        <v>210.57800000000003</v>
      </c>
      <c r="J14" s="4">
        <v>0</v>
      </c>
      <c r="K14" s="4">
        <f>674.75-8.252</f>
        <v>666.49800000000005</v>
      </c>
      <c r="L14" s="4">
        <f>+L13*0.1</f>
        <v>384.37646016000008</v>
      </c>
      <c r="M14" s="4">
        <f t="shared" ref="M14:O14" si="27">+M13*0.1</f>
        <v>293.17181392000037</v>
      </c>
      <c r="N14" s="4">
        <f t="shared" si="27"/>
        <v>480.00988608000017</v>
      </c>
      <c r="O14" s="4"/>
      <c r="P14" s="4"/>
      <c r="Q14" s="4"/>
      <c r="R14" s="4"/>
      <c r="S14" s="4"/>
      <c r="T14" s="4"/>
      <c r="U14" s="4"/>
      <c r="V14" s="4">
        <f>SUM(G14:J14)</f>
        <v>722.62599999999998</v>
      </c>
      <c r="W14" s="4">
        <f t="shared" si="21"/>
        <v>1824.0561601600007</v>
      </c>
    </row>
    <row r="15" spans="1:33" s="2" customFormat="1" x14ac:dyDescent="0.2">
      <c r="B15" s="2" t="s">
        <v>33</v>
      </c>
      <c r="C15" s="4"/>
      <c r="D15" s="4"/>
      <c r="E15" s="4">
        <f>+E13-E14</f>
        <v>3876.1119999999983</v>
      </c>
      <c r="F15" s="4">
        <f>+F13-F14</f>
        <v>3238.9320000000002</v>
      </c>
      <c r="G15" s="4">
        <f>+G13-G14</f>
        <v>2449.2799999999993</v>
      </c>
      <c r="H15" s="4">
        <f t="shared" ref="H15:I15" si="28">+H13-H14</f>
        <v>3662.0129999999976</v>
      </c>
      <c r="I15" s="4">
        <f t="shared" si="28"/>
        <v>2841.0689999999986</v>
      </c>
      <c r="J15" s="4">
        <f>+J13-J14</f>
        <v>3937.3550000000005</v>
      </c>
      <c r="K15" s="4">
        <f>+K13-K14</f>
        <v>1986.8309999999992</v>
      </c>
      <c r="L15" s="4">
        <f t="shared" ref="L15" si="29">+L13-L14</f>
        <v>3459.3881414400003</v>
      </c>
      <c r="M15" s="4">
        <f t="shared" ref="M15" si="30">+M13-M14</f>
        <v>2638.5463252800032</v>
      </c>
      <c r="N15" s="4">
        <f t="shared" ref="N15" si="31">+N13-N14</f>
        <v>4320.0889747200017</v>
      </c>
      <c r="O15" s="4"/>
      <c r="P15" s="4"/>
      <c r="Q15" s="4"/>
      <c r="R15" s="4"/>
      <c r="S15" s="4"/>
      <c r="T15" s="4"/>
      <c r="U15" s="4"/>
      <c r="V15" s="4">
        <f t="shared" ref="V15:W15" si="32">+V13-V14</f>
        <v>12889.71699999999</v>
      </c>
      <c r="W15" s="4">
        <f t="shared" si="32"/>
        <v>12404.854441440017</v>
      </c>
    </row>
    <row r="16" spans="1:33" x14ac:dyDescent="0.2">
      <c r="B16" s="2" t="s">
        <v>48</v>
      </c>
      <c r="E16" s="10">
        <f t="shared" ref="E16:J16" si="33">E15/E17</f>
        <v>110.01992563367483</v>
      </c>
      <c r="F16" s="10">
        <f t="shared" si="33"/>
        <v>91.835017861279439</v>
      </c>
      <c r="G16" s="10">
        <f t="shared" si="33"/>
        <v>69.4488965451947</v>
      </c>
      <c r="H16" s="10">
        <f t="shared" ref="H16:I16" si="34">H15/H17</f>
        <v>103.83279452186692</v>
      </c>
      <c r="I16" s="10">
        <f t="shared" si="34"/>
        <v>81.338896767299673</v>
      </c>
      <c r="J16" s="10">
        <f t="shared" si="33"/>
        <v>113.53495172806272</v>
      </c>
      <c r="K16" s="10">
        <f>K15/K17</f>
        <v>57.287113991274069</v>
      </c>
      <c r="L16" s="10">
        <f t="shared" ref="L16" si="35">L15/L17</f>
        <v>99.745958664191932</v>
      </c>
      <c r="M16" s="10">
        <f t="shared" ref="M16" si="36">M15/M17</f>
        <v>76.078289551337235</v>
      </c>
      <c r="N16" s="10">
        <f t="shared" ref="N16" si="37">N15/N17</f>
        <v>124.56289918328794</v>
      </c>
      <c r="O16" s="10"/>
      <c r="V16" s="10">
        <f>V15/V17</f>
        <v>367.89870079315494</v>
      </c>
      <c r="W16" s="10">
        <f>W15/W17</f>
        <v>357.67426139009154</v>
      </c>
    </row>
    <row r="17" spans="2:23" s="2" customFormat="1" x14ac:dyDescent="0.2">
      <c r="B17" s="2" t="s">
        <v>0</v>
      </c>
      <c r="C17" s="4"/>
      <c r="D17" s="4"/>
      <c r="E17" s="4">
        <v>35.231000000000002</v>
      </c>
      <c r="F17" s="4">
        <v>35.269030000000001</v>
      </c>
      <c r="G17" s="4">
        <v>35.267370999999997</v>
      </c>
      <c r="H17" s="4">
        <v>35.268366</v>
      </c>
      <c r="I17" s="4">
        <v>34.928787</v>
      </c>
      <c r="J17" s="4">
        <v>34.679673000000001</v>
      </c>
      <c r="K17" s="4">
        <v>34.681987999999997</v>
      </c>
      <c r="L17" s="4">
        <f>+K17</f>
        <v>34.681987999999997</v>
      </c>
      <c r="M17" s="4">
        <f t="shared" ref="M17:O17" si="38">+L17</f>
        <v>34.681987999999997</v>
      </c>
      <c r="N17" s="4">
        <f t="shared" si="38"/>
        <v>34.681987999999997</v>
      </c>
      <c r="O17" s="4"/>
      <c r="P17" s="4"/>
      <c r="Q17" s="4"/>
      <c r="R17" s="4"/>
      <c r="S17" s="4"/>
      <c r="T17" s="4"/>
      <c r="U17" s="4"/>
      <c r="V17" s="4">
        <f>AVERAGE(G17:J17)</f>
        <v>35.036049249999998</v>
      </c>
      <c r="W17" s="4">
        <f>AVERAGE(K17:N17)</f>
        <v>34.681987999999997</v>
      </c>
    </row>
    <row r="19" spans="2:23" x14ac:dyDescent="0.2">
      <c r="B19" s="2" t="s">
        <v>34</v>
      </c>
      <c r="I19" s="8">
        <f>I5/E5-1</f>
        <v>0.35971987955995655</v>
      </c>
      <c r="J19" s="8">
        <f>J5/F5-1</f>
        <v>0.33085332630521558</v>
      </c>
      <c r="K19" s="8">
        <f>K5/G5-1</f>
        <v>0.2433044737852994</v>
      </c>
      <c r="L19" s="8">
        <f t="shared" ref="L19:N19" si="39">L5/H5-1</f>
        <v>0.2200000000000002</v>
      </c>
      <c r="M19" s="8">
        <f t="shared" si="39"/>
        <v>0.2200000000000002</v>
      </c>
      <c r="N19" s="8">
        <f t="shared" si="39"/>
        <v>0.21999999999999997</v>
      </c>
      <c r="W19" s="8">
        <f>W5/V5-1</f>
        <v>0.22446720030446965</v>
      </c>
    </row>
    <row r="21" spans="2:23" x14ac:dyDescent="0.2">
      <c r="B21" s="2" t="s">
        <v>35</v>
      </c>
      <c r="E21" s="8">
        <f>E7/E5</f>
        <v>0.62511623730487431</v>
      </c>
      <c r="F21" s="8">
        <f>F7/F5</f>
        <v>0.612935063193632</v>
      </c>
      <c r="G21" s="8">
        <f>G7/G5</f>
        <v>0.58143310572201157</v>
      </c>
      <c r="H21" s="8">
        <f t="shared" ref="H21:K21" si="40">H7/H5</f>
        <v>0.60766656864896895</v>
      </c>
      <c r="I21" s="8">
        <f t="shared" si="40"/>
        <v>0.59312696277626142</v>
      </c>
      <c r="J21" s="8">
        <f t="shared" si="40"/>
        <v>0.56417900534120002</v>
      </c>
      <c r="K21" s="8">
        <f t="shared" si="40"/>
        <v>0.52193991468829315</v>
      </c>
      <c r="L21" s="8">
        <f t="shared" ref="L21:N21" si="41">L7/L5</f>
        <v>0.56000000000000005</v>
      </c>
      <c r="M21" s="8">
        <f t="shared" si="41"/>
        <v>0.56000000000000005</v>
      </c>
      <c r="N21" s="8">
        <f t="shared" si="41"/>
        <v>0.56000000000000005</v>
      </c>
      <c r="V21" s="8">
        <f t="shared" ref="V21:W21" si="42">V7/V5</f>
        <v>0.58636163273180186</v>
      </c>
      <c r="W21" s="8">
        <f t="shared" si="42"/>
        <v>0.55259208103814672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2016-03-30T02:45:32Z</dcterms:created>
  <dcterms:modified xsi:type="dcterms:W3CDTF">2016-05-06T05:39:48Z</dcterms:modified>
</cp:coreProperties>
</file>