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360" windowHeight="12225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2" l="1"/>
  <c r="L29" i="2"/>
  <c r="L22" i="2"/>
  <c r="L17" i="2"/>
  <c r="M6" i="1"/>
  <c r="M5" i="1"/>
  <c r="AC3" i="2" l="1"/>
  <c r="AD3" i="2" s="1"/>
  <c r="AE3" i="2" s="1"/>
  <c r="AC13" i="2"/>
  <c r="AD13" i="2" s="1"/>
  <c r="AE13" i="2" s="1"/>
  <c r="AF13" i="2" s="1"/>
  <c r="AG13" i="2" s="1"/>
  <c r="AH13" i="2" s="1"/>
  <c r="AI13" i="2" s="1"/>
  <c r="AJ13" i="2" s="1"/>
  <c r="AK13" i="2" s="1"/>
  <c r="G30" i="2"/>
  <c r="G29" i="2"/>
  <c r="C33" i="2"/>
  <c r="C32" i="2"/>
  <c r="C14" i="2"/>
  <c r="C20" i="2"/>
  <c r="C15" i="2"/>
  <c r="C17" i="2" s="1"/>
  <c r="AA33" i="2"/>
  <c r="AA32" i="2"/>
  <c r="AA26" i="2"/>
  <c r="AB27" i="2"/>
  <c r="AC27" i="2" s="1"/>
  <c r="AD27" i="2" s="1"/>
  <c r="AE27" i="2" s="1"/>
  <c r="AA27" i="2"/>
  <c r="AA25" i="2"/>
  <c r="AA24" i="2"/>
  <c r="AA23" i="2"/>
  <c r="AB22" i="2"/>
  <c r="AA22" i="2"/>
  <c r="AA18" i="2"/>
  <c r="AA20" i="2" s="1"/>
  <c r="AA21" i="2" s="1"/>
  <c r="AB19" i="2"/>
  <c r="AA19" i="2"/>
  <c r="AB18" i="2"/>
  <c r="AA17" i="2"/>
  <c r="AA16" i="2"/>
  <c r="AA15" i="2"/>
  <c r="AB14" i="2"/>
  <c r="AC14" i="2" s="1"/>
  <c r="AD14" i="2" s="1"/>
  <c r="AE14" i="2" s="1"/>
  <c r="AF14" i="2" s="1"/>
  <c r="AG14" i="2" s="1"/>
  <c r="AH14" i="2" s="1"/>
  <c r="AI14" i="2" s="1"/>
  <c r="AJ14" i="2" s="1"/>
  <c r="AK14" i="2" s="1"/>
  <c r="AA14" i="2"/>
  <c r="AB13" i="2"/>
  <c r="AA13" i="2"/>
  <c r="AA12" i="2"/>
  <c r="AA11" i="2"/>
  <c r="AA10" i="2"/>
  <c r="AA9" i="2"/>
  <c r="AA8" i="2"/>
  <c r="AB7" i="2"/>
  <c r="AC7" i="2" s="1"/>
  <c r="AD7" i="2" s="1"/>
  <c r="AE7" i="2" s="1"/>
  <c r="AF7" i="2" s="1"/>
  <c r="AG7" i="2" s="1"/>
  <c r="AH7" i="2" s="1"/>
  <c r="AI7" i="2" s="1"/>
  <c r="AJ7" i="2" s="1"/>
  <c r="AK7" i="2" s="1"/>
  <c r="AA7" i="2"/>
  <c r="AB6" i="2"/>
  <c r="AA6" i="2"/>
  <c r="AB5" i="2"/>
  <c r="AA5" i="2"/>
  <c r="AA4" i="2"/>
  <c r="AB3" i="2"/>
  <c r="AB30" i="2" s="1"/>
  <c r="AA3" i="2"/>
  <c r="N19" i="2"/>
  <c r="M19" i="2"/>
  <c r="N18" i="2"/>
  <c r="M18" i="2"/>
  <c r="M27" i="2"/>
  <c r="N27" i="2" s="1"/>
  <c r="J33" i="2"/>
  <c r="I33" i="2"/>
  <c r="H33" i="2"/>
  <c r="G33" i="2"/>
  <c r="F33" i="2"/>
  <c r="E33" i="2"/>
  <c r="D33" i="2"/>
  <c r="K33" i="2"/>
  <c r="N20" i="2"/>
  <c r="M20" i="2"/>
  <c r="L20" i="2"/>
  <c r="K32" i="2"/>
  <c r="J32" i="2"/>
  <c r="I32" i="2"/>
  <c r="H32" i="2"/>
  <c r="G32" i="2"/>
  <c r="F32" i="2"/>
  <c r="E32" i="2"/>
  <c r="D32" i="2"/>
  <c r="N3" i="2"/>
  <c r="N30" i="2" s="1"/>
  <c r="M3" i="2"/>
  <c r="M30" i="2" s="1"/>
  <c r="M4" i="2"/>
  <c r="N4" i="2" s="1"/>
  <c r="N7" i="2"/>
  <c r="M7" i="2"/>
  <c r="M8" i="2"/>
  <c r="N8" i="2" s="1"/>
  <c r="M10" i="2"/>
  <c r="N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M9" i="2"/>
  <c r="N9" i="2" s="1"/>
  <c r="M11" i="2"/>
  <c r="N11" i="2" s="1"/>
  <c r="M12" i="2"/>
  <c r="N12" i="2" s="1"/>
  <c r="N14" i="2"/>
  <c r="M14" i="2"/>
  <c r="N13" i="2"/>
  <c r="M13" i="2"/>
  <c r="K30" i="2"/>
  <c r="J30" i="2"/>
  <c r="I30" i="2"/>
  <c r="H30" i="2"/>
  <c r="H29" i="2"/>
  <c r="J29" i="2"/>
  <c r="I29" i="2"/>
  <c r="K29" i="2"/>
  <c r="D14" i="2"/>
  <c r="D20" i="2"/>
  <c r="D15" i="2"/>
  <c r="D17" i="2" s="1"/>
  <c r="H20" i="2"/>
  <c r="H15" i="2"/>
  <c r="H17" i="2" s="1"/>
  <c r="H14" i="2"/>
  <c r="E20" i="2"/>
  <c r="E17" i="2"/>
  <c r="I20" i="2"/>
  <c r="I17" i="2"/>
  <c r="E14" i="2"/>
  <c r="I14" i="2"/>
  <c r="E15" i="2"/>
  <c r="I15" i="2"/>
  <c r="F14" i="2"/>
  <c r="F20" i="2"/>
  <c r="F15" i="2"/>
  <c r="F17" i="2" s="1"/>
  <c r="J20" i="2"/>
  <c r="J15" i="2"/>
  <c r="J17" i="2" s="1"/>
  <c r="J14" i="2"/>
  <c r="G20" i="2"/>
  <c r="G15" i="2"/>
  <c r="G17" i="2" s="1"/>
  <c r="K20" i="2"/>
  <c r="K17" i="2"/>
  <c r="K21" i="2" s="1"/>
  <c r="K23" i="2" s="1"/>
  <c r="K25" i="2" s="1"/>
  <c r="K26" i="2" s="1"/>
  <c r="K15" i="2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R2" i="2"/>
  <c r="M4" i="1"/>
  <c r="M7" i="1" s="1"/>
  <c r="AB20" i="2" l="1"/>
  <c r="AB12" i="2"/>
  <c r="AC12" i="2" s="1"/>
  <c r="AD12" i="2" s="1"/>
  <c r="AE12" i="2" s="1"/>
  <c r="AF12" i="2" s="1"/>
  <c r="AG12" i="2" s="1"/>
  <c r="AH12" i="2" s="1"/>
  <c r="AI12" i="2" s="1"/>
  <c r="AJ12" i="2" s="1"/>
  <c r="AK12" i="2" s="1"/>
  <c r="AB11" i="2"/>
  <c r="AC11" i="2" s="1"/>
  <c r="AD11" i="2" s="1"/>
  <c r="AE11" i="2" s="1"/>
  <c r="AF11" i="2" s="1"/>
  <c r="AG11" i="2" s="1"/>
  <c r="AH11" i="2" s="1"/>
  <c r="AI11" i="2" s="1"/>
  <c r="AJ11" i="2" s="1"/>
  <c r="AK11" i="2" s="1"/>
  <c r="AB9" i="2"/>
  <c r="AC9" i="2" s="1"/>
  <c r="AD9" i="2" s="1"/>
  <c r="AE9" i="2" s="1"/>
  <c r="AF9" i="2" s="1"/>
  <c r="AG9" i="2" s="1"/>
  <c r="AH9" i="2" s="1"/>
  <c r="AI9" i="2" s="1"/>
  <c r="AJ9" i="2" s="1"/>
  <c r="AK9" i="2" s="1"/>
  <c r="AB8" i="2"/>
  <c r="AC8" i="2" s="1"/>
  <c r="AD8" i="2" s="1"/>
  <c r="AE8" i="2" s="1"/>
  <c r="AF8" i="2" s="1"/>
  <c r="AG8" i="2" s="1"/>
  <c r="AH8" i="2" s="1"/>
  <c r="AI8" i="2" s="1"/>
  <c r="AJ8" i="2" s="1"/>
  <c r="AK8" i="2" s="1"/>
  <c r="AB4" i="2"/>
  <c r="AF27" i="2"/>
  <c r="AF3" i="2"/>
  <c r="C21" i="2"/>
  <c r="C23" i="2" s="1"/>
  <c r="C25" i="2" s="1"/>
  <c r="C26" i="2" s="1"/>
  <c r="N15" i="2"/>
  <c r="L15" i="2"/>
  <c r="M15" i="2"/>
  <c r="D21" i="2"/>
  <c r="D23" i="2" s="1"/>
  <c r="D25" i="2" s="1"/>
  <c r="D26" i="2" s="1"/>
  <c r="H21" i="2"/>
  <c r="H23" i="2" s="1"/>
  <c r="H25" i="2" s="1"/>
  <c r="H26" i="2" s="1"/>
  <c r="E21" i="2"/>
  <c r="E23" i="2" s="1"/>
  <c r="E25" i="2" s="1"/>
  <c r="E26" i="2" s="1"/>
  <c r="I21" i="2"/>
  <c r="I23" i="2" s="1"/>
  <c r="I25" i="2" s="1"/>
  <c r="I26" i="2" s="1"/>
  <c r="F21" i="2"/>
  <c r="F23" i="2" s="1"/>
  <c r="F25" i="2" s="1"/>
  <c r="F26" i="2" s="1"/>
  <c r="J21" i="2"/>
  <c r="J23" i="2" s="1"/>
  <c r="J25" i="2" s="1"/>
  <c r="J26" i="2" s="1"/>
  <c r="G21" i="2"/>
  <c r="G23" i="2" s="1"/>
  <c r="G25" i="2" s="1"/>
  <c r="G26" i="2" s="1"/>
  <c r="AC4" i="2" l="1"/>
  <c r="AB15" i="2"/>
  <c r="AB29" i="2" s="1"/>
  <c r="M29" i="2"/>
  <c r="M17" i="2"/>
  <c r="N29" i="2"/>
  <c r="N17" i="2"/>
  <c r="AG27" i="2"/>
  <c r="AG3" i="2"/>
  <c r="N32" i="2" l="1"/>
  <c r="N21" i="2"/>
  <c r="N23" i="2" s="1"/>
  <c r="N16" i="2"/>
  <c r="M32" i="2"/>
  <c r="M21" i="2"/>
  <c r="M23" i="2" s="1"/>
  <c r="M16" i="2"/>
  <c r="AB16" i="2" s="1"/>
  <c r="AB17" i="2" s="1"/>
  <c r="AD4" i="2"/>
  <c r="AC15" i="2"/>
  <c r="L32" i="2"/>
  <c r="L21" i="2"/>
  <c r="L23" i="2" s="1"/>
  <c r="AH27" i="2"/>
  <c r="AH3" i="2"/>
  <c r="AB21" i="2" l="1"/>
  <c r="AB23" i="2" s="1"/>
  <c r="AB32" i="2"/>
  <c r="AE4" i="2"/>
  <c r="AD15" i="2"/>
  <c r="AC19" i="2"/>
  <c r="AC20" i="2" s="1"/>
  <c r="AC17" i="2"/>
  <c r="AC16" i="2" s="1"/>
  <c r="M24" i="2"/>
  <c r="M33" i="2" s="1"/>
  <c r="N24" i="2"/>
  <c r="N33" i="2" s="1"/>
  <c r="N25" i="2"/>
  <c r="N26" i="2" s="1"/>
  <c r="L25" i="2"/>
  <c r="L26" i="2" s="1"/>
  <c r="AI27" i="2"/>
  <c r="AI3" i="2"/>
  <c r="AC21" i="2" l="1"/>
  <c r="AC23" i="2" s="1"/>
  <c r="M25" i="2"/>
  <c r="M26" i="2" s="1"/>
  <c r="AC24" i="2"/>
  <c r="AC25" i="2" s="1"/>
  <c r="AC26" i="2" s="1"/>
  <c r="AD19" i="2"/>
  <c r="AD20" i="2" s="1"/>
  <c r="AD17" i="2"/>
  <c r="AD16" i="2" s="1"/>
  <c r="AF4" i="2"/>
  <c r="AE15" i="2"/>
  <c r="L33" i="2"/>
  <c r="AB24" i="2"/>
  <c r="AJ27" i="2"/>
  <c r="AJ3" i="2"/>
  <c r="AG4" i="2" l="1"/>
  <c r="AF15" i="2"/>
  <c r="AE19" i="2"/>
  <c r="AE20" i="2" s="1"/>
  <c r="AE17" i="2"/>
  <c r="AE16" i="2" s="1"/>
  <c r="AD21" i="2"/>
  <c r="AD23" i="2" s="1"/>
  <c r="AD24" i="2" s="1"/>
  <c r="AD25" i="2" s="1"/>
  <c r="AD26" i="2" s="1"/>
  <c r="AK3" i="2"/>
  <c r="AB33" i="2"/>
  <c r="AB25" i="2"/>
  <c r="AB26" i="2" s="1"/>
  <c r="AK27" i="2"/>
  <c r="AF19" i="2" l="1"/>
  <c r="AF20" i="2" s="1"/>
  <c r="AF17" i="2"/>
  <c r="AF21" i="2" s="1"/>
  <c r="AF23" i="2" s="1"/>
  <c r="AF24" i="2" s="1"/>
  <c r="AF25" i="2" s="1"/>
  <c r="AF26" i="2" s="1"/>
  <c r="AE21" i="2"/>
  <c r="AE23" i="2" s="1"/>
  <c r="AE24" i="2" s="1"/>
  <c r="AE25" i="2" s="1"/>
  <c r="AE26" i="2" s="1"/>
  <c r="AH4" i="2"/>
  <c r="AG15" i="2"/>
  <c r="AI4" i="2" l="1"/>
  <c r="AH15" i="2"/>
  <c r="AG17" i="2"/>
  <c r="AG16" i="2" s="1"/>
  <c r="AG19" i="2"/>
  <c r="AG20" i="2" s="1"/>
  <c r="AG21" i="2" s="1"/>
  <c r="AG23" i="2" s="1"/>
  <c r="AF16" i="2"/>
  <c r="AG24" i="2" l="1"/>
  <c r="AG25" i="2"/>
  <c r="AG26" i="2" s="1"/>
  <c r="AH19" i="2"/>
  <c r="AH20" i="2" s="1"/>
  <c r="AH17" i="2"/>
  <c r="AH16" i="2" s="1"/>
  <c r="AJ4" i="2"/>
  <c r="AI15" i="2"/>
  <c r="AI19" i="2" l="1"/>
  <c r="AI20" i="2" s="1"/>
  <c r="AI17" i="2"/>
  <c r="AI21" i="2" s="1"/>
  <c r="AI23" i="2" s="1"/>
  <c r="AI24" i="2" s="1"/>
  <c r="AI25" i="2" s="1"/>
  <c r="AI26" i="2" s="1"/>
  <c r="AK4" i="2"/>
  <c r="AK15" i="2" s="1"/>
  <c r="AJ15" i="2"/>
  <c r="AH21" i="2"/>
  <c r="AH23" i="2" s="1"/>
  <c r="AH24" i="2" l="1"/>
  <c r="AH25" i="2"/>
  <c r="AH26" i="2" s="1"/>
  <c r="AJ19" i="2"/>
  <c r="AJ20" i="2" s="1"/>
  <c r="AJ17" i="2"/>
  <c r="AK17" i="2"/>
  <c r="AK16" i="2" s="1"/>
  <c r="AK19" i="2"/>
  <c r="AK20" i="2" s="1"/>
  <c r="AI16" i="2"/>
  <c r="AK21" i="2" l="1"/>
  <c r="AK23" i="2" s="1"/>
  <c r="AK24" i="2" s="1"/>
  <c r="AK25" i="2" s="1"/>
  <c r="AK26" i="2" s="1"/>
  <c r="AJ16" i="2"/>
  <c r="AJ21" i="2"/>
  <c r="AJ23" i="2" s="1"/>
  <c r="AJ24" i="2" s="1"/>
  <c r="AJ25" i="2" s="1"/>
  <c r="AJ26" i="2" s="1"/>
</calcChain>
</file>

<file path=xl/sharedStrings.xml><?xml version="1.0" encoding="utf-8"?>
<sst xmlns="http://schemas.openxmlformats.org/spreadsheetml/2006/main" count="70" uniqueCount="62">
  <si>
    <t>Price</t>
  </si>
  <si>
    <t>Shares</t>
  </si>
  <si>
    <t>MC</t>
  </si>
  <si>
    <t>Cash</t>
  </si>
  <si>
    <t>Debt</t>
  </si>
  <si>
    <t>EV</t>
  </si>
  <si>
    <t>Main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</si>
  <si>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</si>
  <si>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</si>
  <si>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</si>
  <si>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</si>
  <si>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</si>
  <si>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</si>
  <si>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</si>
  <si>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</si>
  <si>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</si>
  <si>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</si>
  <si>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</si>
  <si>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</si>
  <si>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Tecfidera</t>
  </si>
  <si>
    <t>EPS</t>
  </si>
  <si>
    <t>Net Income</t>
  </si>
  <si>
    <t>Taxes</t>
  </si>
  <si>
    <t>Pretax Income</t>
  </si>
  <si>
    <t>Interest Income</t>
  </si>
  <si>
    <t>Operating Income</t>
  </si>
  <si>
    <t>Operating Expenses</t>
  </si>
  <si>
    <t>SG&amp;A</t>
  </si>
  <si>
    <t>R&amp;D</t>
  </si>
  <si>
    <t>Gross Profit</t>
  </si>
  <si>
    <t>COGS</t>
  </si>
  <si>
    <t>Revenue</t>
  </si>
  <si>
    <t>Interferon</t>
  </si>
  <si>
    <t>Tysabri</t>
  </si>
  <si>
    <t>Fampyra</t>
  </si>
  <si>
    <t>Eloctate</t>
  </si>
  <si>
    <t>Alprolix</t>
  </si>
  <si>
    <t>Fumaderm</t>
  </si>
  <si>
    <t>Benepali</t>
  </si>
  <si>
    <t>CD20</t>
  </si>
  <si>
    <t>Other</t>
  </si>
  <si>
    <t>Flixabi</t>
  </si>
  <si>
    <t>Avonex</t>
  </si>
  <si>
    <t>Plegridy</t>
  </si>
  <si>
    <t>aducanumab</t>
  </si>
  <si>
    <t>Gross Margin</t>
  </si>
  <si>
    <t>Tax Rate</t>
  </si>
  <si>
    <t>Brand</t>
  </si>
  <si>
    <t>Generic</t>
  </si>
  <si>
    <t>nusinersen</t>
  </si>
  <si>
    <t>Indication</t>
  </si>
  <si>
    <t>SMA</t>
  </si>
  <si>
    <t>Alzheimer's</t>
  </si>
  <si>
    <t>Approved</t>
  </si>
  <si>
    <t>Phase</t>
  </si>
  <si>
    <t>amiselimod</t>
  </si>
  <si>
    <t>IBD</t>
  </si>
  <si>
    <t>ocrelizumab</t>
  </si>
  <si>
    <t>PPMS</t>
  </si>
  <si>
    <t>E2609</t>
  </si>
  <si>
    <t>BACE1</t>
  </si>
  <si>
    <t>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</si>
</sst>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0</xdr:row>
      <xdr:rowOff>0</xdr:rowOff>
    </xdr:from>
    <xdr:to>
      <xdr:col>12</xdr:col>
      <xdr:colOff>57150</xdr:colOff>
      <xdr:row>38</xdr:row>
      <xdr:rowOff>0</xdr:rowOff>
    </xdr:to>
    <xdr:cxnSp macro="">
      <xdr:nvCxnSpPr>
        <xdr:cNvPr id="3" name="Straight Connector 2"/>
        <xdr:cNvCxnSpPr/>
      </xdr:nvCxnSpPr>
      <xdr:spPr>
        <a:xfrm>
          <a:off x="7696200" y="0"/>
          <a:ext cx="0" cy="6153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47625</xdr:colOff>
      <xdr:row>0</xdr:row>
      <xdr:rowOff>19050</xdr:rowOff>
    </xdr:from>
    <xdr:to>
      <xdr:col>27</xdr:col>
      <xdr:colOff>47625</xdr:colOff>
      <xdr:row>38</xdr:row>
      <xdr:rowOff>19050</xdr:rowOff>
    </xdr:to>
    <xdr:cxnSp macro="">
      <xdr:nvCxnSpPr>
        <xdr:cNvPr id="5" name="Straight Connector 4"/>
        <xdr:cNvCxnSpPr/>
      </xdr:nvCxnSpPr>
      <xdr:spPr>
        <a:xfrm>
          <a:off x="16830675" y="19050"/>
          <a:ext cx="0" cy="6153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workbookViewId="0"/>
  </sheetViews>
  <sheetFormatPr defaultRowHeight="12.75" x14ac:dyDescent="0.2"/>
  <cols>
    <col min="3" max="3" width="13.7109375" customWidth="1"/>
    <col min="4" max="4" width="11.85546875" customWidth="1"/>
  </cols>
  <sheetData>
    <row r="2" spans="2:14" x14ac:dyDescent="0.2">
      <c r="B2" s="8" t="s">
        <v>47</v>
      </c>
      <c r="C2" s="16" t="s">
        <v>48</v>
      </c>
      <c r="D2" s="16" t="s">
        <v>50</v>
      </c>
      <c r="E2" s="16" t="s">
        <v>53</v>
      </c>
      <c r="F2" s="16" t="s">
        <v>61</v>
      </c>
      <c r="G2" s="16"/>
      <c r="H2" s="16"/>
      <c r="I2" s="17"/>
      <c r="L2" t="s">
        <v>0</v>
      </c>
      <c r="M2" s="1">
        <v>294</v>
      </c>
    </row>
    <row r="3" spans="2:14" x14ac:dyDescent="0.2">
      <c r="B3" s="9" t="s">
        <v>38</v>
      </c>
      <c r="C3" s="18"/>
      <c r="D3" s="18"/>
      <c r="E3" s="18"/>
      <c r="F3" s="18"/>
      <c r="G3" s="18"/>
      <c r="H3" s="18"/>
      <c r="I3" s="19"/>
      <c r="L3" t="s">
        <v>1</v>
      </c>
      <c r="M3" s="2">
        <v>219.12076200000001</v>
      </c>
      <c r="N3" s="3" t="s">
        <v>16</v>
      </c>
    </row>
    <row r="4" spans="2:14" x14ac:dyDescent="0.2">
      <c r="B4" s="9"/>
      <c r="C4" s="18"/>
      <c r="D4" s="18"/>
      <c r="E4" s="18"/>
      <c r="F4" s="18"/>
      <c r="G4" s="18"/>
      <c r="H4" s="18"/>
      <c r="I4" s="19"/>
      <c r="L4" t="s">
        <v>2</v>
      </c>
      <c r="M4" s="2">
        <f>+M3*M2</f>
        <v>64421.504028000003</v>
      </c>
      <c r="N4" s="3"/>
    </row>
    <row r="5" spans="2:14" x14ac:dyDescent="0.2">
      <c r="B5" s="9"/>
      <c r="C5" s="18"/>
      <c r="D5" s="18"/>
      <c r="E5" s="18"/>
      <c r="F5" s="18"/>
      <c r="G5" s="18"/>
      <c r="H5" s="18"/>
      <c r="I5" s="19"/>
      <c r="L5" t="s">
        <v>3</v>
      </c>
      <c r="M5" s="2">
        <f>1362+2434.8+3477.6+1153</f>
        <v>8427.4</v>
      </c>
      <c r="N5" s="3" t="s">
        <v>16</v>
      </c>
    </row>
    <row r="6" spans="2:14" x14ac:dyDescent="0.2">
      <c r="B6" s="9"/>
      <c r="C6" s="18"/>
      <c r="D6" s="18"/>
      <c r="E6" s="18"/>
      <c r="F6" s="18"/>
      <c r="G6" s="18"/>
      <c r="H6" s="18"/>
      <c r="I6" s="19"/>
      <c r="L6" t="s">
        <v>4</v>
      </c>
      <c r="M6" s="2">
        <f>6538.3+4.8</f>
        <v>6543.1</v>
      </c>
      <c r="N6" s="3" t="s">
        <v>16</v>
      </c>
    </row>
    <row r="7" spans="2:14" x14ac:dyDescent="0.2">
      <c r="B7" s="9"/>
      <c r="C7" s="18"/>
      <c r="D7" s="18"/>
      <c r="E7" s="18"/>
      <c r="F7" s="18"/>
      <c r="G7" s="18"/>
      <c r="H7" s="18"/>
      <c r="I7" s="19"/>
      <c r="L7" t="s">
        <v>5</v>
      </c>
      <c r="M7" s="2">
        <f>+M4-M5+M6</f>
        <v>62537.204028</v>
      </c>
    </row>
    <row r="8" spans="2:14" x14ac:dyDescent="0.2">
      <c r="B8" s="9"/>
      <c r="C8" s="18"/>
      <c r="D8" s="18"/>
      <c r="E8" s="18"/>
      <c r="F8" s="18"/>
      <c r="G8" s="18"/>
      <c r="H8" s="18"/>
      <c r="I8" s="19"/>
    </row>
    <row r="9" spans="2:14" x14ac:dyDescent="0.2">
      <c r="B9" s="9"/>
      <c r="C9" s="18"/>
      <c r="D9" s="18"/>
      <c r="E9" s="18"/>
      <c r="F9" s="18"/>
      <c r="G9" s="18"/>
      <c r="H9" s="18"/>
      <c r="I9" s="19"/>
    </row>
    <row r="10" spans="2:14" x14ac:dyDescent="0.2">
      <c r="B10" s="9"/>
      <c r="C10" s="18"/>
      <c r="D10" s="18"/>
      <c r="E10" s="18"/>
      <c r="F10" s="18"/>
      <c r="G10" s="18"/>
      <c r="H10" s="18"/>
      <c r="I10" s="19"/>
    </row>
    <row r="11" spans="2:14" x14ac:dyDescent="0.2">
      <c r="B11" s="8"/>
      <c r="C11" s="16"/>
      <c r="D11" s="16"/>
      <c r="E11" s="16" t="s">
        <v>54</v>
      </c>
      <c r="F11" s="16"/>
      <c r="G11" s="16"/>
      <c r="H11" s="16"/>
      <c r="I11" s="17"/>
    </row>
    <row r="12" spans="2:14" x14ac:dyDescent="0.2">
      <c r="B12" s="9" t="s">
        <v>41</v>
      </c>
      <c r="C12" s="18"/>
      <c r="D12" s="18"/>
      <c r="E12" s="18"/>
      <c r="F12" s="18"/>
      <c r="G12" s="18"/>
      <c r="H12" s="18"/>
      <c r="I12" s="19"/>
    </row>
    <row r="13" spans="2:14" x14ac:dyDescent="0.2">
      <c r="B13" s="9"/>
      <c r="C13" s="18" t="s">
        <v>44</v>
      </c>
      <c r="D13" s="18" t="s">
        <v>52</v>
      </c>
      <c r="E13" s="18"/>
      <c r="F13" s="18"/>
      <c r="G13" s="18"/>
      <c r="H13" s="18"/>
      <c r="I13" s="19"/>
    </row>
    <row r="14" spans="2:14" x14ac:dyDescent="0.2">
      <c r="B14" s="9"/>
      <c r="C14" s="18" t="s">
        <v>49</v>
      </c>
      <c r="D14" s="18" t="s">
        <v>51</v>
      </c>
      <c r="E14" s="18"/>
      <c r="F14" s="18"/>
      <c r="G14" s="18"/>
      <c r="H14" s="18"/>
      <c r="I14" s="19"/>
    </row>
    <row r="15" spans="2:14" x14ac:dyDescent="0.2">
      <c r="B15" s="9"/>
      <c r="C15" s="18" t="s">
        <v>55</v>
      </c>
      <c r="D15" s="18" t="s">
        <v>56</v>
      </c>
      <c r="E15" s="18"/>
      <c r="F15" s="18"/>
      <c r="G15" s="18"/>
      <c r="H15" s="18"/>
      <c r="I15" s="19"/>
    </row>
    <row r="16" spans="2:14" x14ac:dyDescent="0.2">
      <c r="B16" s="9"/>
      <c r="C16" s="18" t="s">
        <v>57</v>
      </c>
      <c r="D16" s="18" t="s">
        <v>58</v>
      </c>
      <c r="E16" s="18"/>
      <c r="F16" s="18"/>
      <c r="G16" s="18"/>
      <c r="H16" s="18"/>
      <c r="I16" s="19"/>
    </row>
    <row r="17" spans="2:9" x14ac:dyDescent="0.2">
      <c r="B17" s="9" t="s">
        <v>59</v>
      </c>
      <c r="C17" s="18"/>
      <c r="D17" s="18" t="s">
        <v>52</v>
      </c>
      <c r="E17" s="18"/>
      <c r="F17" s="18" t="s">
        <v>60</v>
      </c>
      <c r="G17" s="18"/>
      <c r="H17" s="18"/>
      <c r="I17" s="19"/>
    </row>
    <row r="18" spans="2:9" x14ac:dyDescent="0.2">
      <c r="B18" s="9"/>
      <c r="C18" s="18"/>
      <c r="D18" s="18"/>
      <c r="E18" s="18"/>
      <c r="F18" s="18"/>
      <c r="G18" s="18"/>
      <c r="H18" s="18"/>
      <c r="I18" s="19"/>
    </row>
    <row r="19" spans="2:9" x14ac:dyDescent="0.2">
      <c r="B19" s="9"/>
      <c r="C19" s="18"/>
      <c r="D19" s="18"/>
      <c r="E19" s="18"/>
      <c r="F19" s="18"/>
      <c r="G19" s="18"/>
      <c r="H19" s="18"/>
      <c r="I19" s="19"/>
    </row>
    <row r="20" spans="2:9" x14ac:dyDescent="0.2">
      <c r="B20" s="9"/>
      <c r="C20" s="18"/>
      <c r="D20" s="18"/>
      <c r="E20" s="18"/>
      <c r="F20" s="18"/>
      <c r="G20" s="18"/>
      <c r="H20" s="18"/>
      <c r="I20" s="19"/>
    </row>
    <row r="21" spans="2:9" x14ac:dyDescent="0.2">
      <c r="B21" s="9"/>
      <c r="C21" s="18"/>
      <c r="D21" s="18"/>
      <c r="E21" s="18"/>
      <c r="F21" s="18"/>
      <c r="G21" s="18"/>
      <c r="H21" s="18"/>
      <c r="I21" s="19"/>
    </row>
    <row r="22" spans="2:9" x14ac:dyDescent="0.2">
      <c r="B22" s="9"/>
      <c r="C22" s="18"/>
      <c r="D22" s="18"/>
      <c r="E22" s="18"/>
      <c r="F22" s="18"/>
      <c r="G22" s="18"/>
      <c r="H22" s="18"/>
      <c r="I22" s="19"/>
    </row>
    <row r="23" spans="2:9" x14ac:dyDescent="0.2">
      <c r="B23" s="9"/>
      <c r="C23" s="18"/>
      <c r="D23" s="18"/>
      <c r="E23" s="18"/>
      <c r="F23" s="18"/>
      <c r="G23" s="18"/>
      <c r="H23" s="18"/>
      <c r="I23" s="19"/>
    </row>
    <row r="24" spans="2:9" x14ac:dyDescent="0.2">
      <c r="B24" s="9"/>
      <c r="C24" s="18"/>
      <c r="D24" s="18"/>
      <c r="E24" s="18"/>
      <c r="F24" s="18"/>
      <c r="G24" s="18"/>
      <c r="H24" s="18"/>
      <c r="I24" s="19"/>
    </row>
    <row r="25" spans="2:9" x14ac:dyDescent="0.2">
      <c r="B25" s="9"/>
      <c r="C25" s="18"/>
      <c r="D25" s="18"/>
      <c r="E25" s="18"/>
      <c r="F25" s="18"/>
      <c r="G25" s="18"/>
      <c r="H25" s="18"/>
      <c r="I25" s="19"/>
    </row>
    <row r="26" spans="2:9" x14ac:dyDescent="0.2">
      <c r="B26" s="9"/>
      <c r="C26" s="18"/>
      <c r="D26" s="18"/>
      <c r="E26" s="18"/>
      <c r="F26" s="18"/>
      <c r="G26" s="18"/>
      <c r="H26" s="18"/>
      <c r="I26" s="19"/>
    </row>
    <row r="27" spans="2:9" x14ac:dyDescent="0.2">
      <c r="B27" s="9"/>
      <c r="C27" s="18"/>
      <c r="D27" s="18"/>
      <c r="E27" s="18"/>
      <c r="F27" s="18"/>
      <c r="G27" s="18"/>
      <c r="H27" s="18"/>
      <c r="I27" s="19"/>
    </row>
    <row r="28" spans="2:9" x14ac:dyDescent="0.2">
      <c r="B28" s="10"/>
      <c r="C28" s="20"/>
      <c r="D28" s="20"/>
      <c r="E28" s="20"/>
      <c r="F28" s="20"/>
      <c r="G28" s="20"/>
      <c r="H28" s="20"/>
      <c r="I28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7" sqref="G7:L7"/>
    </sheetView>
  </sheetViews>
  <sheetFormatPr defaultRowHeight="12.75" x14ac:dyDescent="0.2"/>
  <cols>
    <col min="1" max="1" width="5" bestFit="1" customWidth="1"/>
    <col min="2" max="2" width="18.140625" bestFit="1" customWidth="1"/>
    <col min="3" max="42" width="9.140625" style="3"/>
  </cols>
  <sheetData>
    <row r="1" spans="1:65" x14ac:dyDescent="0.2">
      <c r="A1" s="15" t="s">
        <v>6</v>
      </c>
    </row>
    <row r="2" spans="1:65" x14ac:dyDescent="0.2"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Q2" s="3">
        <v>2005</v>
      </c>
      <c r="R2" s="3">
        <f>+Q2+1</f>
        <v>2006</v>
      </c>
      <c r="S2" s="3">
        <f t="shared" ref="S2:BM2" si="0">+R2+1</f>
        <v>2007</v>
      </c>
      <c r="T2" s="3">
        <f t="shared" si="0"/>
        <v>2008</v>
      </c>
      <c r="U2" s="3">
        <f t="shared" si="0"/>
        <v>2009</v>
      </c>
      <c r="V2" s="3">
        <f t="shared" si="0"/>
        <v>2010</v>
      </c>
      <c r="W2" s="3">
        <f t="shared" si="0"/>
        <v>2011</v>
      </c>
      <c r="X2" s="3">
        <f t="shared" si="0"/>
        <v>2012</v>
      </c>
      <c r="Y2" s="3">
        <f t="shared" si="0"/>
        <v>2013</v>
      </c>
      <c r="Z2" s="3">
        <f t="shared" si="0"/>
        <v>2014</v>
      </c>
      <c r="AA2" s="3">
        <f t="shared" si="0"/>
        <v>2015</v>
      </c>
      <c r="AB2" s="3">
        <f t="shared" si="0"/>
        <v>2016</v>
      </c>
      <c r="AC2" s="3">
        <f t="shared" si="0"/>
        <v>2017</v>
      </c>
      <c r="AD2" s="3">
        <f t="shared" si="0"/>
        <v>2018</v>
      </c>
      <c r="AE2" s="3">
        <f t="shared" si="0"/>
        <v>2019</v>
      </c>
      <c r="AF2" s="3">
        <f t="shared" si="0"/>
        <v>2020</v>
      </c>
      <c r="AG2" s="3">
        <f t="shared" si="0"/>
        <v>2021</v>
      </c>
      <c r="AH2" s="3">
        <f t="shared" si="0"/>
        <v>2022</v>
      </c>
      <c r="AI2" s="3">
        <f t="shared" si="0"/>
        <v>2023</v>
      </c>
      <c r="AJ2" s="3">
        <f t="shared" si="0"/>
        <v>2024</v>
      </c>
      <c r="AK2" s="3">
        <f t="shared" si="0"/>
        <v>2025</v>
      </c>
      <c r="AL2" s="3">
        <f t="shared" si="0"/>
        <v>2026</v>
      </c>
      <c r="AM2" s="3">
        <f t="shared" si="0"/>
        <v>2027</v>
      </c>
      <c r="AN2" s="3">
        <f t="shared" si="0"/>
        <v>2028</v>
      </c>
      <c r="AO2" s="3">
        <f t="shared" si="0"/>
        <v>2029</v>
      </c>
      <c r="AP2" s="3">
        <f t="shared" si="0"/>
        <v>2030</v>
      </c>
      <c r="AQ2">
        <f t="shared" si="0"/>
        <v>2031</v>
      </c>
      <c r="AR2">
        <f t="shared" si="0"/>
        <v>2032</v>
      </c>
      <c r="AS2">
        <f t="shared" si="0"/>
        <v>2033</v>
      </c>
      <c r="AT2">
        <f t="shared" si="0"/>
        <v>2034</v>
      </c>
      <c r="AU2">
        <f t="shared" si="0"/>
        <v>2035</v>
      </c>
      <c r="AV2">
        <f t="shared" si="0"/>
        <v>2036</v>
      </c>
      <c r="AW2">
        <f t="shared" si="0"/>
        <v>2037</v>
      </c>
      <c r="AX2">
        <f t="shared" si="0"/>
        <v>2038</v>
      </c>
      <c r="AY2">
        <f t="shared" si="0"/>
        <v>2039</v>
      </c>
      <c r="AZ2">
        <f t="shared" si="0"/>
        <v>2040</v>
      </c>
      <c r="BA2">
        <f t="shared" si="0"/>
        <v>2041</v>
      </c>
      <c r="BB2">
        <f t="shared" si="0"/>
        <v>2042</v>
      </c>
      <c r="BC2">
        <f t="shared" si="0"/>
        <v>2043</v>
      </c>
      <c r="BD2">
        <f t="shared" si="0"/>
        <v>2044</v>
      </c>
      <c r="BE2">
        <f t="shared" si="0"/>
        <v>2045</v>
      </c>
      <c r="BF2">
        <f t="shared" si="0"/>
        <v>2046</v>
      </c>
      <c r="BG2">
        <f t="shared" si="0"/>
        <v>2047</v>
      </c>
      <c r="BH2">
        <f t="shared" si="0"/>
        <v>2048</v>
      </c>
      <c r="BI2">
        <f t="shared" si="0"/>
        <v>2049</v>
      </c>
      <c r="BJ2">
        <f t="shared" si="0"/>
        <v>2050</v>
      </c>
      <c r="BK2">
        <f t="shared" si="0"/>
        <v>2051</v>
      </c>
      <c r="BL2">
        <f t="shared" si="0"/>
        <v>2052</v>
      </c>
      <c r="BM2">
        <f t="shared" si="0"/>
        <v>2053</v>
      </c>
    </row>
    <row r="3" spans="1:65" s="2" customFormat="1" x14ac:dyDescent="0.2">
      <c r="B3" s="2" t="s">
        <v>19</v>
      </c>
      <c r="C3" s="5">
        <v>505.7</v>
      </c>
      <c r="D3" s="5">
        <v>700.4</v>
      </c>
      <c r="E3" s="5">
        <v>787.1</v>
      </c>
      <c r="F3" s="5">
        <v>916</v>
      </c>
      <c r="G3" s="5">
        <v>824.9</v>
      </c>
      <c r="H3" s="5">
        <v>883.3</v>
      </c>
      <c r="I3" s="5">
        <v>937.4</v>
      </c>
      <c r="J3" s="5">
        <v>992.8</v>
      </c>
      <c r="K3" s="5">
        <v>945.9</v>
      </c>
      <c r="L3" s="5">
        <v>986.5</v>
      </c>
      <c r="M3" s="5">
        <f t="shared" ref="M3:N3" si="1">+I3*1.01</f>
        <v>946.774</v>
      </c>
      <c r="N3" s="5">
        <f t="shared" si="1"/>
        <v>1002.728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>
        <f>SUM(G3:J3)</f>
        <v>3638.3999999999996</v>
      </c>
      <c r="AB3" s="5">
        <f>SUM(K3:N3)</f>
        <v>3881.902</v>
      </c>
      <c r="AC3" s="5">
        <f>+AB3*1.01</f>
        <v>3920.72102</v>
      </c>
      <c r="AD3" s="5">
        <f t="shared" ref="AD3:AJ3" si="2">+AC3*1.01</f>
        <v>3959.9282302000001</v>
      </c>
      <c r="AE3" s="5">
        <f t="shared" si="2"/>
        <v>3999.5275125020003</v>
      </c>
      <c r="AF3" s="5">
        <f t="shared" si="2"/>
        <v>4039.5227876270201</v>
      </c>
      <c r="AG3" s="5">
        <f t="shared" si="2"/>
        <v>4079.9180155032905</v>
      </c>
      <c r="AH3" s="5">
        <f t="shared" si="2"/>
        <v>4120.7171956583234</v>
      </c>
      <c r="AI3" s="5">
        <f t="shared" si="2"/>
        <v>4161.9243676149063</v>
      </c>
      <c r="AJ3" s="5">
        <f t="shared" si="2"/>
        <v>4203.5436112910556</v>
      </c>
      <c r="AK3" s="5">
        <f>+AJ3*0.1</f>
        <v>420.3543611291056</v>
      </c>
      <c r="AL3" s="5"/>
      <c r="AM3" s="5"/>
      <c r="AN3" s="5"/>
      <c r="AO3" s="5"/>
      <c r="AP3" s="5"/>
    </row>
    <row r="4" spans="1:65" s="2" customFormat="1" x14ac:dyDescent="0.2">
      <c r="B4" s="2" t="s">
        <v>32</v>
      </c>
      <c r="C4" s="5"/>
      <c r="D4" s="5"/>
      <c r="E4" s="5"/>
      <c r="F4" s="5"/>
      <c r="G4" s="5">
        <v>754.5</v>
      </c>
      <c r="H4" s="5"/>
      <c r="I4" s="5"/>
      <c r="J4" s="5"/>
      <c r="K4" s="5">
        <v>670.4</v>
      </c>
      <c r="L4" s="5">
        <v>728.3</v>
      </c>
      <c r="M4" s="5">
        <f t="shared" ref="M4:N4" si="3">+L4*0.95</f>
        <v>691.88499999999988</v>
      </c>
      <c r="N4" s="5">
        <f t="shared" si="3"/>
        <v>657.29074999999989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>
        <f t="shared" ref="AA4:AA14" si="4">SUM(G4:J4)</f>
        <v>754.5</v>
      </c>
      <c r="AB4" s="5">
        <f t="shared" ref="AB4:AB14" si="5">SUM(K4:N4)</f>
        <v>2747.8757499999992</v>
      </c>
      <c r="AC4" s="5">
        <f>+AB4*0.95</f>
        <v>2610.4819624999991</v>
      </c>
      <c r="AD4" s="5">
        <f t="shared" ref="AD4:AK4" si="6">+AC4*0.95</f>
        <v>2479.9578643749992</v>
      </c>
      <c r="AE4" s="5">
        <f t="shared" si="6"/>
        <v>2355.9599711562491</v>
      </c>
      <c r="AF4" s="5">
        <f t="shared" si="6"/>
        <v>2238.1619725984365</v>
      </c>
      <c r="AG4" s="5">
        <f t="shared" si="6"/>
        <v>2126.2538739685147</v>
      </c>
      <c r="AH4" s="5">
        <f t="shared" si="6"/>
        <v>2019.9411802700888</v>
      </c>
      <c r="AI4" s="5">
        <f t="shared" si="6"/>
        <v>1918.9441212565844</v>
      </c>
      <c r="AJ4" s="5">
        <f t="shared" si="6"/>
        <v>1822.9969151937551</v>
      </c>
      <c r="AK4" s="5">
        <f t="shared" si="6"/>
        <v>1731.8470694340672</v>
      </c>
      <c r="AL4" s="5"/>
      <c r="AM4" s="5"/>
      <c r="AN4" s="5"/>
      <c r="AO4" s="5"/>
      <c r="AP4" s="5"/>
    </row>
    <row r="5" spans="1:65" s="2" customFormat="1" x14ac:dyDescent="0.2">
      <c r="B5" s="2" t="s">
        <v>42</v>
      </c>
      <c r="C5" s="5">
        <v>761.5</v>
      </c>
      <c r="D5" s="5">
        <v>773.8</v>
      </c>
      <c r="E5" s="5">
        <v>741.8</v>
      </c>
      <c r="F5" s="5">
        <v>736</v>
      </c>
      <c r="G5" s="5"/>
      <c r="H5" s="5">
        <v>615.20000000000005</v>
      </c>
      <c r="I5" s="5">
        <v>685.1</v>
      </c>
      <c r="J5" s="5">
        <v>637.20000000000005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>
        <f t="shared" si="4"/>
        <v>1937.5000000000002</v>
      </c>
      <c r="AB5" s="5">
        <f t="shared" si="5"/>
        <v>0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65" s="2" customFormat="1" x14ac:dyDescent="0.2">
      <c r="B6" s="2" t="s">
        <v>43</v>
      </c>
      <c r="C6" s="5">
        <v>0</v>
      </c>
      <c r="D6" s="5">
        <v>0</v>
      </c>
      <c r="E6" s="5">
        <v>3.4</v>
      </c>
      <c r="F6" s="5">
        <v>41.1</v>
      </c>
      <c r="G6" s="5"/>
      <c r="H6" s="5">
        <v>74.5</v>
      </c>
      <c r="I6" s="5">
        <v>99.7</v>
      </c>
      <c r="J6" s="5">
        <v>102.5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>
        <f t="shared" si="4"/>
        <v>276.7</v>
      </c>
      <c r="AB6" s="5">
        <f t="shared" si="5"/>
        <v>0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65" s="2" customFormat="1" x14ac:dyDescent="0.2">
      <c r="B7" s="2" t="s">
        <v>33</v>
      </c>
      <c r="C7" s="5">
        <v>441</v>
      </c>
      <c r="D7" s="5">
        <v>533.4</v>
      </c>
      <c r="E7" s="5">
        <v>501.2</v>
      </c>
      <c r="F7" s="5">
        <v>483.9</v>
      </c>
      <c r="G7" s="5">
        <v>462.6</v>
      </c>
      <c r="H7" s="5">
        <v>463.1</v>
      </c>
      <c r="I7" s="5">
        <v>479.7</v>
      </c>
      <c r="J7" s="5">
        <v>480.7</v>
      </c>
      <c r="K7" s="5">
        <v>477</v>
      </c>
      <c r="L7" s="5">
        <v>497.4</v>
      </c>
      <c r="M7" s="5">
        <f t="shared" ref="M7:N7" si="7">+I7*1.01</f>
        <v>484.49700000000001</v>
      </c>
      <c r="N7" s="5">
        <f t="shared" si="7"/>
        <v>485.50700000000001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>
        <f t="shared" si="4"/>
        <v>1886.1000000000001</v>
      </c>
      <c r="AB7" s="5">
        <f t="shared" si="5"/>
        <v>1944.404</v>
      </c>
      <c r="AC7" s="5">
        <f>+AB7*1.01</f>
        <v>1963.8480400000001</v>
      </c>
      <c r="AD7" s="5">
        <f t="shared" ref="AD7:AK7" si="8">+AC7*1.01</f>
        <v>1983.4865204</v>
      </c>
      <c r="AE7" s="5">
        <f t="shared" si="8"/>
        <v>2003.3213856039999</v>
      </c>
      <c r="AF7" s="5">
        <f t="shared" si="8"/>
        <v>2023.3545994600399</v>
      </c>
      <c r="AG7" s="5">
        <f t="shared" si="8"/>
        <v>2043.5881454546404</v>
      </c>
      <c r="AH7" s="5">
        <f t="shared" si="8"/>
        <v>2064.0240269091869</v>
      </c>
      <c r="AI7" s="5">
        <f t="shared" si="8"/>
        <v>2084.6642671782788</v>
      </c>
      <c r="AJ7" s="5">
        <f t="shared" si="8"/>
        <v>2105.5109098500616</v>
      </c>
      <c r="AK7" s="5">
        <f t="shared" si="8"/>
        <v>2126.566018948562</v>
      </c>
      <c r="AL7" s="5"/>
      <c r="AM7" s="5"/>
      <c r="AN7" s="5"/>
      <c r="AO7" s="5"/>
      <c r="AP7" s="5"/>
    </row>
    <row r="8" spans="1:65" s="2" customFormat="1" x14ac:dyDescent="0.2">
      <c r="B8" s="2" t="s">
        <v>34</v>
      </c>
      <c r="C8" s="5">
        <v>19</v>
      </c>
      <c r="D8" s="5">
        <v>22.3</v>
      </c>
      <c r="E8" s="5">
        <v>20.399999999999999</v>
      </c>
      <c r="F8" s="5">
        <v>18.5</v>
      </c>
      <c r="G8" s="5">
        <v>20</v>
      </c>
      <c r="H8" s="5">
        <v>21.1</v>
      </c>
      <c r="I8" s="5">
        <v>21</v>
      </c>
      <c r="J8" s="5">
        <v>27.6</v>
      </c>
      <c r="K8" s="5">
        <v>20.2</v>
      </c>
      <c r="L8" s="5">
        <v>21.6</v>
      </c>
      <c r="M8" s="5">
        <f t="shared" ref="M8:N8" si="9">+L8</f>
        <v>21.6</v>
      </c>
      <c r="N8" s="5">
        <f t="shared" si="9"/>
        <v>21.6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>
        <f t="shared" si="4"/>
        <v>89.7</v>
      </c>
      <c r="AB8" s="5">
        <f t="shared" si="5"/>
        <v>85</v>
      </c>
      <c r="AC8" s="5">
        <f>+AB8*0.9</f>
        <v>76.5</v>
      </c>
      <c r="AD8" s="5">
        <f t="shared" ref="AD8:AK8" si="10">+AC8*0.9</f>
        <v>68.850000000000009</v>
      </c>
      <c r="AE8" s="5">
        <f t="shared" si="10"/>
        <v>61.965000000000011</v>
      </c>
      <c r="AF8" s="5">
        <f t="shared" si="10"/>
        <v>55.76850000000001</v>
      </c>
      <c r="AG8" s="5">
        <f t="shared" si="10"/>
        <v>50.19165000000001</v>
      </c>
      <c r="AH8" s="5">
        <f t="shared" si="10"/>
        <v>45.172485000000009</v>
      </c>
      <c r="AI8" s="5">
        <f t="shared" si="10"/>
        <v>40.655236500000008</v>
      </c>
      <c r="AJ8" s="5">
        <f t="shared" si="10"/>
        <v>36.589712850000005</v>
      </c>
      <c r="AK8" s="5">
        <f t="shared" si="10"/>
        <v>32.930741565000005</v>
      </c>
      <c r="AL8" s="5"/>
      <c r="AM8" s="5"/>
      <c r="AN8" s="5"/>
      <c r="AO8" s="5"/>
      <c r="AP8" s="5"/>
    </row>
    <row r="9" spans="1:65" s="2" customFormat="1" x14ac:dyDescent="0.2">
      <c r="B9" s="2" t="s">
        <v>35</v>
      </c>
      <c r="C9" s="5">
        <v>0</v>
      </c>
      <c r="D9" s="5">
        <v>0</v>
      </c>
      <c r="E9" s="5">
        <v>21.6</v>
      </c>
      <c r="F9" s="5">
        <v>36.799999999999997</v>
      </c>
      <c r="G9" s="5">
        <v>53.6</v>
      </c>
      <c r="H9" s="5">
        <v>74.3</v>
      </c>
      <c r="I9" s="5">
        <v>90.6</v>
      </c>
      <c r="J9" s="5">
        <v>101.2</v>
      </c>
      <c r="K9" s="5">
        <v>107.7</v>
      </c>
      <c r="L9" s="5">
        <v>124.7</v>
      </c>
      <c r="M9" s="5">
        <f t="shared" ref="M9:N9" si="11">+L9+5</f>
        <v>129.69999999999999</v>
      </c>
      <c r="N9" s="5">
        <f t="shared" si="11"/>
        <v>134.69999999999999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>
        <f t="shared" si="4"/>
        <v>319.7</v>
      </c>
      <c r="AB9" s="5">
        <f t="shared" si="5"/>
        <v>496.8</v>
      </c>
      <c r="AC9" s="5">
        <f>+AB9*1.02</f>
        <v>506.73600000000005</v>
      </c>
      <c r="AD9" s="5">
        <f t="shared" ref="AD9:AK9" si="12">+AC9*1.02</f>
        <v>516.87072000000001</v>
      </c>
      <c r="AE9" s="5">
        <f t="shared" si="12"/>
        <v>527.20813440000006</v>
      </c>
      <c r="AF9" s="5">
        <f t="shared" si="12"/>
        <v>537.75229708800009</v>
      </c>
      <c r="AG9" s="5">
        <f t="shared" si="12"/>
        <v>548.50734302976014</v>
      </c>
      <c r="AH9" s="5">
        <f t="shared" si="12"/>
        <v>559.4774898903554</v>
      </c>
      <c r="AI9" s="5">
        <f t="shared" si="12"/>
        <v>570.6670396881625</v>
      </c>
      <c r="AJ9" s="5">
        <f t="shared" si="12"/>
        <v>582.08038048192577</v>
      </c>
      <c r="AK9" s="5">
        <f t="shared" si="12"/>
        <v>593.7219880915643</v>
      </c>
      <c r="AL9" s="5"/>
      <c r="AM9" s="5"/>
      <c r="AN9" s="5"/>
      <c r="AO9" s="5"/>
      <c r="AP9" s="5"/>
    </row>
    <row r="10" spans="1:65" s="2" customFormat="1" x14ac:dyDescent="0.2">
      <c r="B10" s="2" t="s">
        <v>36</v>
      </c>
      <c r="C10" s="5">
        <v>0</v>
      </c>
      <c r="D10" s="5">
        <v>10.4</v>
      </c>
      <c r="E10" s="5">
        <v>25.3</v>
      </c>
      <c r="F10" s="5">
        <v>40.299999999999997</v>
      </c>
      <c r="G10" s="5">
        <v>43.1</v>
      </c>
      <c r="H10" s="5">
        <v>54.4</v>
      </c>
      <c r="I10" s="5">
        <v>65.7</v>
      </c>
      <c r="J10" s="5">
        <v>71.3</v>
      </c>
      <c r="K10" s="5">
        <v>75</v>
      </c>
      <c r="L10" s="5">
        <v>80.3</v>
      </c>
      <c r="M10" s="5">
        <f t="shared" ref="M10:N10" si="13">+L10+2</f>
        <v>82.3</v>
      </c>
      <c r="N10" s="5">
        <f t="shared" si="13"/>
        <v>84.3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>
        <f t="shared" si="4"/>
        <v>234.5</v>
      </c>
      <c r="AB10" s="5">
        <f t="shared" si="5"/>
        <v>321.90000000000003</v>
      </c>
      <c r="AC10" s="5">
        <f t="shared" ref="AC10:AK10" si="14">+AB10*1.02</f>
        <v>328.33800000000002</v>
      </c>
      <c r="AD10" s="5">
        <f t="shared" si="14"/>
        <v>334.90476000000001</v>
      </c>
      <c r="AE10" s="5">
        <f t="shared" si="14"/>
        <v>341.60285520000002</v>
      </c>
      <c r="AF10" s="5">
        <f t="shared" si="14"/>
        <v>348.43491230400002</v>
      </c>
      <c r="AG10" s="5">
        <f t="shared" si="14"/>
        <v>355.40361055008003</v>
      </c>
      <c r="AH10" s="5">
        <f t="shared" si="14"/>
        <v>362.51168276108166</v>
      </c>
      <c r="AI10" s="5">
        <f t="shared" si="14"/>
        <v>369.76191641630328</v>
      </c>
      <c r="AJ10" s="5">
        <f t="shared" si="14"/>
        <v>377.15715474462934</v>
      </c>
      <c r="AK10" s="5">
        <f t="shared" si="14"/>
        <v>384.70029783952191</v>
      </c>
      <c r="AL10" s="5"/>
      <c r="AM10" s="5"/>
      <c r="AN10" s="5"/>
      <c r="AO10" s="5"/>
      <c r="AP10" s="5"/>
    </row>
    <row r="11" spans="1:65" s="2" customFormat="1" x14ac:dyDescent="0.2">
      <c r="B11" s="2" t="s">
        <v>37</v>
      </c>
      <c r="C11" s="5">
        <v>15.6</v>
      </c>
      <c r="D11" s="5">
        <v>16</v>
      </c>
      <c r="E11" s="5">
        <v>16.5</v>
      </c>
      <c r="F11" s="5">
        <v>14.4</v>
      </c>
      <c r="G11" s="5">
        <v>13.6</v>
      </c>
      <c r="H11" s="5">
        <v>12.7</v>
      </c>
      <c r="I11" s="5">
        <v>12.5</v>
      </c>
      <c r="J11" s="5">
        <v>12.6</v>
      </c>
      <c r="K11" s="5">
        <v>11.4</v>
      </c>
      <c r="L11" s="5">
        <v>11.8</v>
      </c>
      <c r="M11" s="5">
        <f t="shared" ref="M11:N11" si="15">+L11</f>
        <v>11.8</v>
      </c>
      <c r="N11" s="5">
        <f t="shared" si="15"/>
        <v>11.8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>
        <f t="shared" si="4"/>
        <v>51.4</v>
      </c>
      <c r="AB11" s="5">
        <f t="shared" si="5"/>
        <v>46.8</v>
      </c>
      <c r="AC11" s="5">
        <f>+AB11*0.9</f>
        <v>42.12</v>
      </c>
      <c r="AD11" s="5">
        <f t="shared" ref="AD11:AK14" si="16">+AC11*0.9</f>
        <v>37.908000000000001</v>
      </c>
      <c r="AE11" s="5">
        <f t="shared" si="16"/>
        <v>34.117200000000004</v>
      </c>
      <c r="AF11" s="5">
        <f t="shared" si="16"/>
        <v>30.705480000000005</v>
      </c>
      <c r="AG11" s="5">
        <f t="shared" si="16"/>
        <v>27.634932000000006</v>
      </c>
      <c r="AH11" s="5">
        <f t="shared" si="16"/>
        <v>24.871438800000007</v>
      </c>
      <c r="AI11" s="5">
        <f t="shared" si="16"/>
        <v>22.384294920000006</v>
      </c>
      <c r="AJ11" s="5">
        <f t="shared" si="16"/>
        <v>20.145865428000004</v>
      </c>
      <c r="AK11" s="5">
        <f t="shared" si="16"/>
        <v>18.131278885200004</v>
      </c>
      <c r="AL11" s="5"/>
      <c r="AM11" s="5"/>
      <c r="AN11" s="5"/>
      <c r="AO11" s="5"/>
      <c r="AP11" s="5"/>
    </row>
    <row r="12" spans="1:65" s="2" customFormat="1" x14ac:dyDescent="0.2">
      <c r="B12" s="2" t="s">
        <v>38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1.8</v>
      </c>
      <c r="L12" s="5">
        <v>15.4</v>
      </c>
      <c r="M12" s="5">
        <f t="shared" ref="M12:N12" si="17">+L12+2</f>
        <v>17.399999999999999</v>
      </c>
      <c r="N12" s="5">
        <f t="shared" si="17"/>
        <v>19.399999999999999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>
        <f t="shared" si="4"/>
        <v>0</v>
      </c>
      <c r="AB12" s="5">
        <f t="shared" si="5"/>
        <v>53.999999999999993</v>
      </c>
      <c r="AC12" s="5">
        <f>+AB12*0.9</f>
        <v>48.599999999999994</v>
      </c>
      <c r="AD12" s="5">
        <f t="shared" si="16"/>
        <v>43.739999999999995</v>
      </c>
      <c r="AE12" s="5">
        <f t="shared" si="16"/>
        <v>39.366</v>
      </c>
      <c r="AF12" s="5">
        <f t="shared" si="16"/>
        <v>35.429400000000001</v>
      </c>
      <c r="AG12" s="5">
        <f t="shared" si="16"/>
        <v>31.886460000000003</v>
      </c>
      <c r="AH12" s="5">
        <f t="shared" si="16"/>
        <v>28.697814000000005</v>
      </c>
      <c r="AI12" s="5">
        <f t="shared" si="16"/>
        <v>25.828032600000004</v>
      </c>
      <c r="AJ12" s="5">
        <f t="shared" si="16"/>
        <v>23.245229340000005</v>
      </c>
      <c r="AK12" s="5">
        <f t="shared" si="16"/>
        <v>20.920706406000004</v>
      </c>
      <c r="AL12" s="5"/>
      <c r="AM12" s="5"/>
      <c r="AN12" s="5"/>
      <c r="AO12" s="5"/>
      <c r="AP12" s="5"/>
    </row>
    <row r="13" spans="1:65" s="2" customFormat="1" x14ac:dyDescent="0.2">
      <c r="B13" s="2" t="s">
        <v>39</v>
      </c>
      <c r="C13" s="5">
        <v>296.88499999999999</v>
      </c>
      <c r="D13" s="5">
        <v>303.29599999999999</v>
      </c>
      <c r="E13" s="5">
        <v>290.678</v>
      </c>
      <c r="F13" s="5">
        <v>304.5</v>
      </c>
      <c r="G13" s="5">
        <v>330.6</v>
      </c>
      <c r="H13" s="5">
        <v>337.51</v>
      </c>
      <c r="I13" s="5">
        <v>337.18099999999998</v>
      </c>
      <c r="J13" s="5">
        <v>333.9</v>
      </c>
      <c r="K13" s="5">
        <v>329.5</v>
      </c>
      <c r="L13" s="5">
        <v>349.2</v>
      </c>
      <c r="M13" s="5">
        <f t="shared" ref="M13:M14" si="18">+I13</f>
        <v>337.18099999999998</v>
      </c>
      <c r="N13" s="5">
        <f t="shared" ref="N13:N14" si="19">+J13</f>
        <v>333.9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>
        <f t="shared" si="4"/>
        <v>1339.1909999999998</v>
      </c>
      <c r="AB13" s="5">
        <f t="shared" si="5"/>
        <v>1349.7809999999999</v>
      </c>
      <c r="AC13" s="5">
        <f>+AB13*0.9</f>
        <v>1214.8028999999999</v>
      </c>
      <c r="AD13" s="5">
        <f t="shared" si="16"/>
        <v>1093.3226099999999</v>
      </c>
      <c r="AE13" s="5">
        <f t="shared" si="16"/>
        <v>983.99034899999992</v>
      </c>
      <c r="AF13" s="5">
        <f t="shared" si="16"/>
        <v>885.59131409999998</v>
      </c>
      <c r="AG13" s="5">
        <f t="shared" si="16"/>
        <v>797.03218269000001</v>
      </c>
      <c r="AH13" s="5">
        <f t="shared" si="16"/>
        <v>717.32896442100002</v>
      </c>
      <c r="AI13" s="5">
        <f t="shared" si="16"/>
        <v>645.59606797890001</v>
      </c>
      <c r="AJ13" s="5">
        <f t="shared" si="16"/>
        <v>581.03646118101005</v>
      </c>
      <c r="AK13" s="5">
        <f t="shared" si="16"/>
        <v>522.93281506290907</v>
      </c>
      <c r="AL13" s="5"/>
      <c r="AM13" s="5"/>
      <c r="AN13" s="5"/>
      <c r="AO13" s="5"/>
      <c r="AP13" s="5"/>
    </row>
    <row r="14" spans="1:65" s="2" customFormat="1" x14ac:dyDescent="0.2">
      <c r="B14" s="2" t="s">
        <v>40</v>
      </c>
      <c r="C14" s="5">
        <f>52.245+37.856</f>
        <v>90.100999999999999</v>
      </c>
      <c r="D14" s="5">
        <f>40.344+21.52</f>
        <v>61.864000000000004</v>
      </c>
      <c r="E14" s="5">
        <f>67.148+36.254</f>
        <v>103.40199999999999</v>
      </c>
      <c r="F14" s="5">
        <f>31.4+17.8</f>
        <v>49.2</v>
      </c>
      <c r="G14" s="5">
        <v>52</v>
      </c>
      <c r="H14" s="5">
        <f>8.583+46.983</f>
        <v>55.565999999999995</v>
      </c>
      <c r="I14" s="5">
        <f>39.972+8.989</f>
        <v>48.960999999999999</v>
      </c>
      <c r="J14" s="5">
        <f>10.1+69.4</f>
        <v>79.5</v>
      </c>
      <c r="K14" s="5">
        <v>87.9</v>
      </c>
      <c r="L14" s="5">
        <v>79</v>
      </c>
      <c r="M14" s="5">
        <f t="shared" si="18"/>
        <v>48.960999999999999</v>
      </c>
      <c r="N14" s="5">
        <f t="shared" si="19"/>
        <v>79.5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>
        <f t="shared" si="4"/>
        <v>236.02699999999999</v>
      </c>
      <c r="AB14" s="5">
        <f t="shared" si="5"/>
        <v>295.36099999999999</v>
      </c>
      <c r="AC14" s="5">
        <f>+AB14*0.9</f>
        <v>265.82490000000001</v>
      </c>
      <c r="AD14" s="5">
        <f t="shared" si="16"/>
        <v>239.24241000000001</v>
      </c>
      <c r="AE14" s="5">
        <f t="shared" si="16"/>
        <v>215.31816900000001</v>
      </c>
      <c r="AF14" s="5">
        <f t="shared" si="16"/>
        <v>193.78635210000002</v>
      </c>
      <c r="AG14" s="5">
        <f t="shared" si="16"/>
        <v>174.40771689000002</v>
      </c>
      <c r="AH14" s="5">
        <f t="shared" si="16"/>
        <v>156.96694520100002</v>
      </c>
      <c r="AI14" s="5">
        <f t="shared" si="16"/>
        <v>141.27025068090001</v>
      </c>
      <c r="AJ14" s="5">
        <f t="shared" si="16"/>
        <v>127.14322561281001</v>
      </c>
      <c r="AK14" s="5">
        <f t="shared" si="16"/>
        <v>114.42890305152902</v>
      </c>
      <c r="AL14" s="5"/>
      <c r="AM14" s="5"/>
      <c r="AN14" s="5"/>
      <c r="AO14" s="5"/>
      <c r="AP14" s="5"/>
    </row>
    <row r="15" spans="1:65" s="6" customFormat="1" x14ac:dyDescent="0.2">
      <c r="B15" s="6" t="s">
        <v>31</v>
      </c>
      <c r="C15" s="7">
        <f t="shared" ref="C15:K15" si="20">SUM(C3:C14)</f>
        <v>2129.7860000000001</v>
      </c>
      <c r="D15" s="7">
        <f t="shared" si="20"/>
        <v>2421.46</v>
      </c>
      <c r="E15" s="7">
        <f t="shared" si="20"/>
        <v>2511.38</v>
      </c>
      <c r="F15" s="7">
        <f t="shared" si="20"/>
        <v>2640.7000000000003</v>
      </c>
      <c r="G15" s="7">
        <f t="shared" si="20"/>
        <v>2554.8999999999996</v>
      </c>
      <c r="H15" s="7">
        <f t="shared" si="20"/>
        <v>2591.6759999999995</v>
      </c>
      <c r="I15" s="7">
        <f t="shared" si="20"/>
        <v>2777.8419999999996</v>
      </c>
      <c r="J15" s="7">
        <f t="shared" si="20"/>
        <v>2839.2999999999997</v>
      </c>
      <c r="K15" s="7">
        <f t="shared" si="20"/>
        <v>2726.8</v>
      </c>
      <c r="L15" s="7">
        <f t="shared" ref="L15:N15" si="21">SUM(L3:L14)</f>
        <v>2894.2</v>
      </c>
      <c r="M15" s="7">
        <f t="shared" si="21"/>
        <v>2772.098</v>
      </c>
      <c r="N15" s="7">
        <f t="shared" si="21"/>
        <v>2830.7257500000001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>
        <f t="shared" ref="AA15" si="22">SUM(AA3:AA14)</f>
        <v>10763.717999999999</v>
      </c>
      <c r="AB15" s="7">
        <f t="shared" ref="AB15" si="23">SUM(AB3:AB14)</f>
        <v>11223.82375</v>
      </c>
      <c r="AC15" s="7">
        <f t="shared" ref="AC15" si="24">SUM(AC3:AC14)</f>
        <v>10977.972822500002</v>
      </c>
      <c r="AD15" s="7">
        <f t="shared" ref="AD15" si="25">SUM(AD3:AD14)</f>
        <v>10758.211114975</v>
      </c>
      <c r="AE15" s="7">
        <f t="shared" ref="AE15" si="26">SUM(AE3:AE14)</f>
        <v>10562.376576862251</v>
      </c>
      <c r="AF15" s="7">
        <f t="shared" ref="AF15" si="27">SUM(AF3:AF14)</f>
        <v>10388.507615277496</v>
      </c>
      <c r="AG15" s="7">
        <f t="shared" ref="AG15" si="28">SUM(AG3:AG14)</f>
        <v>10234.823930086286</v>
      </c>
      <c r="AH15" s="7">
        <f t="shared" ref="AH15" si="29">SUM(AH3:AH14)</f>
        <v>10099.709222911037</v>
      </c>
      <c r="AI15" s="7">
        <f t="shared" ref="AI15" si="30">SUM(AI3:AI14)</f>
        <v>9981.6955948340365</v>
      </c>
      <c r="AJ15" s="7">
        <f t="shared" ref="AJ15" si="31">SUM(AJ3:AJ14)</f>
        <v>9879.4494659732482</v>
      </c>
      <c r="AK15" s="7">
        <f t="shared" ref="AK15" si="32">SUM(AK3:AK14)</f>
        <v>5966.5341804134605</v>
      </c>
      <c r="AL15" s="7"/>
      <c r="AM15" s="7"/>
      <c r="AN15" s="7"/>
      <c r="AO15" s="7"/>
      <c r="AP15" s="7"/>
    </row>
    <row r="16" spans="1:65" s="2" customFormat="1" x14ac:dyDescent="0.2">
      <c r="B16" s="2" t="s">
        <v>30</v>
      </c>
      <c r="C16" s="5">
        <v>279.245</v>
      </c>
      <c r="D16" s="5">
        <v>291.887</v>
      </c>
      <c r="E16" s="5">
        <v>302.63900000000001</v>
      </c>
      <c r="F16" s="5">
        <v>297.3</v>
      </c>
      <c r="G16" s="5">
        <v>312.39999999999998</v>
      </c>
      <c r="H16" s="5">
        <v>286.12</v>
      </c>
      <c r="I16" s="5">
        <v>310.02800000000002</v>
      </c>
      <c r="J16" s="5">
        <v>331.8</v>
      </c>
      <c r="K16" s="5">
        <v>313</v>
      </c>
      <c r="L16" s="5">
        <v>370.3</v>
      </c>
      <c r="M16" s="5">
        <f t="shared" ref="M16:N16" si="33">+M15-M17</f>
        <v>304.93078000000014</v>
      </c>
      <c r="N16" s="5">
        <f t="shared" si="33"/>
        <v>311.37983249999979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>
        <f t="shared" ref="AA16" si="34">SUM(G16:J16)</f>
        <v>1240.348</v>
      </c>
      <c r="AB16" s="5">
        <f t="shared" ref="AB16" si="35">SUM(K16:N16)</f>
        <v>1299.6106124999999</v>
      </c>
      <c r="AC16" s="5">
        <f>+AC15-AC17</f>
        <v>1207.5770104750009</v>
      </c>
      <c r="AD16" s="5">
        <f t="shared" ref="AD16:AK16" si="36">+AD15-AD17</f>
        <v>1183.40322264725</v>
      </c>
      <c r="AE16" s="5">
        <f t="shared" si="36"/>
        <v>1161.8614234548477</v>
      </c>
      <c r="AF16" s="5">
        <f t="shared" si="36"/>
        <v>1142.7358376805241</v>
      </c>
      <c r="AG16" s="5">
        <f t="shared" si="36"/>
        <v>1125.8306323094912</v>
      </c>
      <c r="AH16" s="5">
        <f t="shared" si="36"/>
        <v>1110.9680145202146</v>
      </c>
      <c r="AI16" s="5">
        <f t="shared" si="36"/>
        <v>1097.9865154317431</v>
      </c>
      <c r="AJ16" s="5">
        <f t="shared" si="36"/>
        <v>1086.7394412570575</v>
      </c>
      <c r="AK16" s="5">
        <f t="shared" si="36"/>
        <v>656.3187598454806</v>
      </c>
      <c r="AL16" s="5"/>
      <c r="AM16" s="5"/>
      <c r="AN16" s="5"/>
      <c r="AO16" s="5"/>
      <c r="AP16" s="5"/>
    </row>
    <row r="17" spans="2:42" s="2" customFormat="1" x14ac:dyDescent="0.2">
      <c r="B17" s="2" t="s">
        <v>29</v>
      </c>
      <c r="C17" s="5">
        <f t="shared" ref="C17:K17" si="37">+C15-C16</f>
        <v>1850.5410000000002</v>
      </c>
      <c r="D17" s="5">
        <f t="shared" si="37"/>
        <v>2129.5729999999999</v>
      </c>
      <c r="E17" s="5">
        <f t="shared" si="37"/>
        <v>2208.741</v>
      </c>
      <c r="F17" s="5">
        <f t="shared" si="37"/>
        <v>2343.4</v>
      </c>
      <c r="G17" s="5">
        <f t="shared" si="37"/>
        <v>2242.4999999999995</v>
      </c>
      <c r="H17" s="5">
        <f t="shared" si="37"/>
        <v>2305.5559999999996</v>
      </c>
      <c r="I17" s="5">
        <f t="shared" si="37"/>
        <v>2467.8139999999994</v>
      </c>
      <c r="J17" s="5">
        <f t="shared" si="37"/>
        <v>2507.4999999999995</v>
      </c>
      <c r="K17" s="5">
        <f t="shared" si="37"/>
        <v>2413.8000000000002</v>
      </c>
      <c r="L17" s="5">
        <f>+L15-L16</f>
        <v>2523.8999999999996</v>
      </c>
      <c r="M17" s="5">
        <f t="shared" ref="M17:N17" si="38">+M15*0.89</f>
        <v>2467.1672199999998</v>
      </c>
      <c r="N17" s="5">
        <f t="shared" si="38"/>
        <v>2519.3459175000003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>
        <f>AA15-AA16</f>
        <v>9523.369999999999</v>
      </c>
      <c r="AB17" s="5">
        <f>AB15-AB16</f>
        <v>9924.213137499999</v>
      </c>
      <c r="AC17" s="5">
        <f>+AC15*0.89</f>
        <v>9770.3958120250009</v>
      </c>
      <c r="AD17" s="5">
        <f t="shared" ref="AD17:AK17" si="39">+AD15*0.89</f>
        <v>9574.8078923277499</v>
      </c>
      <c r="AE17" s="5">
        <f t="shared" si="39"/>
        <v>9400.515153407403</v>
      </c>
      <c r="AF17" s="5">
        <f t="shared" si="39"/>
        <v>9245.7717775969722</v>
      </c>
      <c r="AG17" s="5">
        <f t="shared" si="39"/>
        <v>9108.9932977767949</v>
      </c>
      <c r="AH17" s="5">
        <f t="shared" si="39"/>
        <v>8988.7412083908221</v>
      </c>
      <c r="AI17" s="5">
        <f t="shared" si="39"/>
        <v>8883.7090794022934</v>
      </c>
      <c r="AJ17" s="5">
        <f t="shared" si="39"/>
        <v>8792.7100247161907</v>
      </c>
      <c r="AK17" s="5">
        <f t="shared" si="39"/>
        <v>5310.2154205679799</v>
      </c>
      <c r="AL17" s="5"/>
      <c r="AM17" s="5"/>
      <c r="AN17" s="5"/>
      <c r="AO17" s="5"/>
      <c r="AP17" s="5"/>
    </row>
    <row r="18" spans="2:42" s="2" customFormat="1" x14ac:dyDescent="0.2">
      <c r="B18" s="2" t="s">
        <v>28</v>
      </c>
      <c r="C18" s="5">
        <v>528.88400000000001</v>
      </c>
      <c r="D18" s="5">
        <v>447.27300000000002</v>
      </c>
      <c r="E18" s="5">
        <v>417.17399999999998</v>
      </c>
      <c r="F18" s="5">
        <v>500.1</v>
      </c>
      <c r="G18" s="5">
        <v>460.5</v>
      </c>
      <c r="H18" s="5">
        <v>490.72800000000001</v>
      </c>
      <c r="I18" s="5">
        <v>519.86300000000006</v>
      </c>
      <c r="J18" s="5">
        <v>541.70000000000005</v>
      </c>
      <c r="K18" s="5">
        <v>437.3</v>
      </c>
      <c r="L18" s="5">
        <v>473.1</v>
      </c>
      <c r="M18" s="5">
        <f t="shared" ref="M18:M19" si="40">+I18</f>
        <v>519.86300000000006</v>
      </c>
      <c r="N18" s="5">
        <f t="shared" ref="N18:N19" si="41">+J18</f>
        <v>541.70000000000005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>
        <f>SUM(G18:J18)</f>
        <v>2012.7910000000002</v>
      </c>
      <c r="AB18" s="5">
        <f t="shared" ref="AB18:AB19" si="42">SUM(K18:N18)</f>
        <v>1971.9630000000002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2:42" s="2" customFormat="1" x14ac:dyDescent="0.2">
      <c r="B19" s="2" t="s">
        <v>27</v>
      </c>
      <c r="C19" s="5">
        <v>511.67399999999998</v>
      </c>
      <c r="D19" s="5">
        <v>576.62199999999996</v>
      </c>
      <c r="E19" s="5">
        <v>570.43600000000004</v>
      </c>
      <c r="F19" s="5">
        <v>573.6</v>
      </c>
      <c r="G19" s="5">
        <v>560.4</v>
      </c>
      <c r="H19" s="5">
        <v>491.89499999999998</v>
      </c>
      <c r="I19" s="5">
        <v>477.827</v>
      </c>
      <c r="J19" s="5">
        <v>583</v>
      </c>
      <c r="K19" s="5">
        <v>497.3</v>
      </c>
      <c r="L19" s="5">
        <v>492.4</v>
      </c>
      <c r="M19" s="5">
        <f t="shared" si="40"/>
        <v>477.827</v>
      </c>
      <c r="N19" s="5">
        <f t="shared" si="41"/>
        <v>583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>
        <f t="shared" ref="AA19" si="43">SUM(G19:J19)</f>
        <v>2113.1220000000003</v>
      </c>
      <c r="AB19" s="5">
        <f t="shared" si="42"/>
        <v>2050.527</v>
      </c>
      <c r="AC19" s="5">
        <f>+AC15*0.2</f>
        <v>2195.5945645000006</v>
      </c>
      <c r="AD19" s="5">
        <f t="shared" ref="AD19:AK19" si="44">+AD15*0.2</f>
        <v>2151.6422229949999</v>
      </c>
      <c r="AE19" s="5">
        <f t="shared" si="44"/>
        <v>2112.47531537245</v>
      </c>
      <c r="AF19" s="5">
        <f t="shared" si="44"/>
        <v>2077.7015230554994</v>
      </c>
      <c r="AG19" s="5">
        <f t="shared" si="44"/>
        <v>2046.9647860172572</v>
      </c>
      <c r="AH19" s="5">
        <f t="shared" si="44"/>
        <v>2019.9418445822075</v>
      </c>
      <c r="AI19" s="5">
        <f t="shared" si="44"/>
        <v>1996.3391189668073</v>
      </c>
      <c r="AJ19" s="5">
        <f t="shared" si="44"/>
        <v>1975.8898931946496</v>
      </c>
      <c r="AK19" s="5">
        <f t="shared" si="44"/>
        <v>1193.3068360826921</v>
      </c>
      <c r="AL19" s="5"/>
      <c r="AM19" s="5"/>
      <c r="AN19" s="5"/>
      <c r="AO19" s="5"/>
      <c r="AP19" s="5"/>
    </row>
    <row r="20" spans="2:42" s="2" customFormat="1" x14ac:dyDescent="0.2">
      <c r="B20" s="2" t="s">
        <v>26</v>
      </c>
      <c r="C20" s="5">
        <f t="shared" ref="C20:K20" si="45">+C19+C18</f>
        <v>1040.558</v>
      </c>
      <c r="D20" s="5">
        <f t="shared" si="45"/>
        <v>1023.895</v>
      </c>
      <c r="E20" s="5">
        <f t="shared" si="45"/>
        <v>987.61</v>
      </c>
      <c r="F20" s="5">
        <f t="shared" si="45"/>
        <v>1073.7</v>
      </c>
      <c r="G20" s="5">
        <f t="shared" si="45"/>
        <v>1020.9</v>
      </c>
      <c r="H20" s="5">
        <f t="shared" si="45"/>
        <v>982.62300000000005</v>
      </c>
      <c r="I20" s="5">
        <f t="shared" si="45"/>
        <v>997.69</v>
      </c>
      <c r="J20" s="5">
        <f t="shared" si="45"/>
        <v>1124.7</v>
      </c>
      <c r="K20" s="5">
        <f t="shared" si="45"/>
        <v>934.6</v>
      </c>
      <c r="L20" s="5">
        <f t="shared" ref="L20:N20" si="46">+L19+L18</f>
        <v>965.5</v>
      </c>
      <c r="M20" s="5">
        <f t="shared" si="46"/>
        <v>997.69</v>
      </c>
      <c r="N20" s="5">
        <f t="shared" si="46"/>
        <v>1124.7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>
        <f t="shared" ref="AA20:AB20" si="47">+AA19+AA18</f>
        <v>4125.9130000000005</v>
      </c>
      <c r="AB20" s="5">
        <f t="shared" si="47"/>
        <v>4022.4900000000002</v>
      </c>
      <c r="AC20" s="5">
        <f t="shared" ref="AC20" si="48">+AC19+AC18</f>
        <v>2195.5945645000006</v>
      </c>
      <c r="AD20" s="5">
        <f t="shared" ref="AD20" si="49">+AD19+AD18</f>
        <v>2151.6422229949999</v>
      </c>
      <c r="AE20" s="5">
        <f t="shared" ref="AE20" si="50">+AE19+AE18</f>
        <v>2112.47531537245</v>
      </c>
      <c r="AF20" s="5">
        <f t="shared" ref="AF20" si="51">+AF19+AF18</f>
        <v>2077.7015230554994</v>
      </c>
      <c r="AG20" s="5">
        <f t="shared" ref="AG20" si="52">+AG19+AG18</f>
        <v>2046.9647860172572</v>
      </c>
      <c r="AH20" s="5">
        <f t="shared" ref="AH20" si="53">+AH19+AH18</f>
        <v>2019.9418445822075</v>
      </c>
      <c r="AI20" s="5">
        <f t="shared" ref="AI20" si="54">+AI19+AI18</f>
        <v>1996.3391189668073</v>
      </c>
      <c r="AJ20" s="5">
        <f t="shared" ref="AJ20" si="55">+AJ19+AJ18</f>
        <v>1975.8898931946496</v>
      </c>
      <c r="AK20" s="5">
        <f t="shared" ref="AK20" si="56">+AK19+AK18</f>
        <v>1193.3068360826921</v>
      </c>
      <c r="AL20" s="5"/>
      <c r="AM20" s="5"/>
      <c r="AN20" s="5"/>
      <c r="AO20" s="5"/>
      <c r="AP20" s="5"/>
    </row>
    <row r="21" spans="2:42" s="2" customFormat="1" x14ac:dyDescent="0.2">
      <c r="B21" s="2" t="s">
        <v>25</v>
      </c>
      <c r="C21" s="5">
        <f t="shared" ref="C21:K21" si="57">+C17-C20</f>
        <v>809.98300000000017</v>
      </c>
      <c r="D21" s="5">
        <f t="shared" si="57"/>
        <v>1105.6779999999999</v>
      </c>
      <c r="E21" s="5">
        <f t="shared" si="57"/>
        <v>1221.1309999999999</v>
      </c>
      <c r="F21" s="5">
        <f t="shared" si="57"/>
        <v>1269.7</v>
      </c>
      <c r="G21" s="5">
        <f t="shared" si="57"/>
        <v>1221.5999999999995</v>
      </c>
      <c r="H21" s="5">
        <f t="shared" si="57"/>
        <v>1322.9329999999995</v>
      </c>
      <c r="I21" s="5">
        <f t="shared" si="57"/>
        <v>1470.1239999999993</v>
      </c>
      <c r="J21" s="5">
        <f t="shared" si="57"/>
        <v>1382.7999999999995</v>
      </c>
      <c r="K21" s="5">
        <f t="shared" si="57"/>
        <v>1479.2000000000003</v>
      </c>
      <c r="L21" s="5">
        <f t="shared" ref="L21:N21" si="58">+L17-L20</f>
        <v>1558.3999999999996</v>
      </c>
      <c r="M21" s="5">
        <f t="shared" si="58"/>
        <v>1469.4772199999998</v>
      </c>
      <c r="N21" s="5">
        <f t="shared" si="58"/>
        <v>1394.6459175000002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>
        <f t="shared" ref="AA21:AB21" si="59">+AA17-AA20</f>
        <v>5397.4569999999985</v>
      </c>
      <c r="AB21" s="5">
        <f t="shared" si="59"/>
        <v>5901.7231374999992</v>
      </c>
      <c r="AC21" s="5">
        <f t="shared" ref="AC21" si="60">+AC17-AC20</f>
        <v>7574.8012475249998</v>
      </c>
      <c r="AD21" s="5">
        <f t="shared" ref="AD21" si="61">+AD17-AD20</f>
        <v>7423.1656693327495</v>
      </c>
      <c r="AE21" s="5">
        <f t="shared" ref="AE21" si="62">+AE17-AE20</f>
        <v>7288.0398380349525</v>
      </c>
      <c r="AF21" s="5">
        <f t="shared" ref="AF21" si="63">+AF17-AF20</f>
        <v>7168.0702545414733</v>
      </c>
      <c r="AG21" s="5">
        <f t="shared" ref="AG21" si="64">+AG17-AG20</f>
        <v>7062.0285117595377</v>
      </c>
      <c r="AH21" s="5">
        <f t="shared" ref="AH21" si="65">+AH17-AH20</f>
        <v>6968.7993638086145</v>
      </c>
      <c r="AI21" s="5">
        <f t="shared" ref="AI21" si="66">+AI17-AI20</f>
        <v>6887.3699604354861</v>
      </c>
      <c r="AJ21" s="5">
        <f t="shared" ref="AJ21" si="67">+AJ17-AJ20</f>
        <v>6816.820131521541</v>
      </c>
      <c r="AK21" s="5">
        <f t="shared" ref="AK21" si="68">+AK17-AK20</f>
        <v>4116.908584485288</v>
      </c>
      <c r="AL21" s="5"/>
      <c r="AM21" s="5"/>
      <c r="AN21" s="5"/>
      <c r="AO21" s="5"/>
      <c r="AP21" s="5"/>
    </row>
    <row r="22" spans="2:42" s="2" customFormat="1" x14ac:dyDescent="0.2">
      <c r="B22" s="2" t="s">
        <v>24</v>
      </c>
      <c r="C22" s="5">
        <v>-5.601</v>
      </c>
      <c r="D22" s="5">
        <v>4.8609999999999998</v>
      </c>
      <c r="E22" s="5">
        <v>-16.29</v>
      </c>
      <c r="F22" s="5">
        <v>-8.8000000000000007</v>
      </c>
      <c r="G22" s="5">
        <v>-15</v>
      </c>
      <c r="H22" s="5">
        <v>-10.888999999999999</v>
      </c>
      <c r="I22" s="5">
        <v>-15.413</v>
      </c>
      <c r="J22" s="5">
        <v>-82.4</v>
      </c>
      <c r="K22" s="5">
        <v>-52.8</v>
      </c>
      <c r="L22" s="5">
        <f>-5.6-58.5</f>
        <v>-64.099999999999994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>
        <f>SUM(G22:J22)</f>
        <v>-123.702</v>
      </c>
      <c r="AB22" s="5">
        <f t="shared" ref="AB22" si="69">SUM(K22:N22)</f>
        <v>-116.89999999999999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2:42" s="2" customFormat="1" x14ac:dyDescent="0.2">
      <c r="B23" s="2" t="s">
        <v>23</v>
      </c>
      <c r="C23" s="5">
        <f t="shared" ref="C23:K23" si="70">+C22+C21</f>
        <v>804.38200000000018</v>
      </c>
      <c r="D23" s="5">
        <f t="shared" si="70"/>
        <v>1110.539</v>
      </c>
      <c r="E23" s="5">
        <f t="shared" si="70"/>
        <v>1204.8409999999999</v>
      </c>
      <c r="F23" s="5">
        <f t="shared" si="70"/>
        <v>1260.9000000000001</v>
      </c>
      <c r="G23" s="5">
        <f t="shared" si="70"/>
        <v>1206.5999999999995</v>
      </c>
      <c r="H23" s="5">
        <f t="shared" si="70"/>
        <v>1312.0439999999996</v>
      </c>
      <c r="I23" s="5">
        <f t="shared" si="70"/>
        <v>1454.7109999999993</v>
      </c>
      <c r="J23" s="5">
        <f t="shared" si="70"/>
        <v>1300.3999999999994</v>
      </c>
      <c r="K23" s="5">
        <f t="shared" si="70"/>
        <v>1426.4000000000003</v>
      </c>
      <c r="L23" s="5">
        <f t="shared" ref="L23:N23" si="71">+L22+L21</f>
        <v>1494.2999999999997</v>
      </c>
      <c r="M23" s="5">
        <f t="shared" si="71"/>
        <v>1469.4772199999998</v>
      </c>
      <c r="N23" s="5">
        <f t="shared" si="71"/>
        <v>1394.6459175000002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>
        <f t="shared" ref="AA23" si="72">+AA22+AA21</f>
        <v>5273.7549999999983</v>
      </c>
      <c r="AB23" s="5">
        <f t="shared" ref="AB23" si="73">+AB22+AB21</f>
        <v>5784.8231374999996</v>
      </c>
      <c r="AC23" s="5">
        <f t="shared" ref="AC23" si="74">+AC22+AC21</f>
        <v>7574.8012475249998</v>
      </c>
      <c r="AD23" s="5">
        <f t="shared" ref="AD23" si="75">+AD22+AD21</f>
        <v>7423.1656693327495</v>
      </c>
      <c r="AE23" s="5">
        <f t="shared" ref="AE23" si="76">+AE22+AE21</f>
        <v>7288.0398380349525</v>
      </c>
      <c r="AF23" s="5">
        <f t="shared" ref="AF23" si="77">+AF22+AF21</f>
        <v>7168.0702545414733</v>
      </c>
      <c r="AG23" s="5">
        <f t="shared" ref="AG23" si="78">+AG22+AG21</f>
        <v>7062.0285117595377</v>
      </c>
      <c r="AH23" s="5">
        <f t="shared" ref="AH23" si="79">+AH22+AH21</f>
        <v>6968.7993638086145</v>
      </c>
      <c r="AI23" s="5">
        <f t="shared" ref="AI23" si="80">+AI22+AI21</f>
        <v>6887.3699604354861</v>
      </c>
      <c r="AJ23" s="5">
        <f t="shared" ref="AJ23" si="81">+AJ22+AJ21</f>
        <v>6816.820131521541</v>
      </c>
      <c r="AK23" s="5">
        <f t="shared" ref="AK23" si="82">+AK22+AK21</f>
        <v>4116.908584485288</v>
      </c>
      <c r="AL23" s="5"/>
      <c r="AM23" s="5"/>
      <c r="AN23" s="5"/>
      <c r="AO23" s="5"/>
      <c r="AP23" s="5"/>
    </row>
    <row r="24" spans="2:42" s="2" customFormat="1" x14ac:dyDescent="0.2">
      <c r="B24" s="2" t="s">
        <v>22</v>
      </c>
      <c r="C24" s="5">
        <v>178.41399999999999</v>
      </c>
      <c r="D24" s="5">
        <v>268.52100000000002</v>
      </c>
      <c r="E24" s="5">
        <v>274.774</v>
      </c>
      <c r="F24" s="5">
        <v>268.2</v>
      </c>
      <c r="G24" s="5">
        <v>281.89999999999998</v>
      </c>
      <c r="H24" s="5">
        <v>292.50099999999998</v>
      </c>
      <c r="I24" s="5">
        <v>330.09300000000002</v>
      </c>
      <c r="J24" s="5">
        <v>257.10000000000002</v>
      </c>
      <c r="K24" s="5">
        <v>356.4</v>
      </c>
      <c r="L24" s="5">
        <v>353.6</v>
      </c>
      <c r="M24" s="5">
        <f t="shared" ref="M24:N24" si="83">+M23*0.25</f>
        <v>367.36930499999994</v>
      </c>
      <c r="N24" s="5">
        <f t="shared" si="83"/>
        <v>348.66147937500006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>
        <f>SUM(G24:J24)</f>
        <v>1161.5940000000001</v>
      </c>
      <c r="AB24" s="5">
        <f t="shared" ref="AB24" si="84">SUM(K24:N24)</f>
        <v>1426.0307843749999</v>
      </c>
      <c r="AC24" s="5">
        <f>+AC23*0.25</f>
        <v>1893.7003118812499</v>
      </c>
      <c r="AD24" s="5">
        <f t="shared" ref="AD24:AK24" si="85">+AD23*0.25</f>
        <v>1855.7914173331874</v>
      </c>
      <c r="AE24" s="5">
        <f t="shared" si="85"/>
        <v>1822.0099595087381</v>
      </c>
      <c r="AF24" s="5">
        <f t="shared" si="85"/>
        <v>1792.0175636353683</v>
      </c>
      <c r="AG24" s="5">
        <f t="shared" si="85"/>
        <v>1765.5071279398844</v>
      </c>
      <c r="AH24" s="5">
        <f t="shared" si="85"/>
        <v>1742.1998409521536</v>
      </c>
      <c r="AI24" s="5">
        <f t="shared" si="85"/>
        <v>1721.8424901088715</v>
      </c>
      <c r="AJ24" s="5">
        <f t="shared" si="85"/>
        <v>1704.2050328803853</v>
      </c>
      <c r="AK24" s="5">
        <f t="shared" si="85"/>
        <v>1029.227146121322</v>
      </c>
      <c r="AL24" s="5"/>
      <c r="AM24" s="5"/>
      <c r="AN24" s="5"/>
      <c r="AO24" s="5"/>
      <c r="AP24" s="5"/>
    </row>
    <row r="25" spans="2:42" s="2" customFormat="1" x14ac:dyDescent="0.2">
      <c r="B25" s="2" t="s">
        <v>21</v>
      </c>
      <c r="C25" s="5">
        <f t="shared" ref="C25:K25" si="86">+C23-C24</f>
        <v>625.96800000000019</v>
      </c>
      <c r="D25" s="5">
        <f t="shared" si="86"/>
        <v>842.01800000000003</v>
      </c>
      <c r="E25" s="5">
        <f t="shared" si="86"/>
        <v>930.06699999999989</v>
      </c>
      <c r="F25" s="5">
        <f t="shared" si="86"/>
        <v>992.7</v>
      </c>
      <c r="G25" s="5">
        <f t="shared" si="86"/>
        <v>924.69999999999948</v>
      </c>
      <c r="H25" s="5">
        <f t="shared" si="86"/>
        <v>1019.5429999999997</v>
      </c>
      <c r="I25" s="5">
        <f t="shared" si="86"/>
        <v>1124.6179999999993</v>
      </c>
      <c r="J25" s="5">
        <f t="shared" si="86"/>
        <v>1043.2999999999993</v>
      </c>
      <c r="K25" s="5">
        <f t="shared" si="86"/>
        <v>1070.0000000000005</v>
      </c>
      <c r="L25" s="5">
        <f t="shared" ref="L25" si="87">+L23-L24</f>
        <v>1140.6999999999998</v>
      </c>
      <c r="M25" s="5">
        <f t="shared" ref="M25" si="88">+M23-M24</f>
        <v>1102.1079149999998</v>
      </c>
      <c r="N25" s="5">
        <f t="shared" ref="N25" si="89">+N23-N24</f>
        <v>1045.9844381250002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>
        <f>AA23-AA24</f>
        <v>4112.1609999999982</v>
      </c>
      <c r="AB25" s="5">
        <f t="shared" ref="AB25" si="90">AB23-AB24</f>
        <v>4358.7923531249999</v>
      </c>
      <c r="AC25" s="5">
        <f t="shared" ref="AC25" si="91">AC23-AC24</f>
        <v>5681.1009356437498</v>
      </c>
      <c r="AD25" s="5">
        <f t="shared" ref="AD25" si="92">AD23-AD24</f>
        <v>5567.3742519995621</v>
      </c>
      <c r="AE25" s="5">
        <f t="shared" ref="AE25" si="93">AE23-AE24</f>
        <v>5466.0298785262148</v>
      </c>
      <c r="AF25" s="5">
        <f t="shared" ref="AF25" si="94">AF23-AF24</f>
        <v>5376.0526909061045</v>
      </c>
      <c r="AG25" s="5">
        <f t="shared" ref="AG25" si="95">AG23-AG24</f>
        <v>5296.5213838196532</v>
      </c>
      <c r="AH25" s="5">
        <f t="shared" ref="AH25" si="96">AH23-AH24</f>
        <v>5226.5995228564607</v>
      </c>
      <c r="AI25" s="5">
        <f t="shared" ref="AI25" si="97">AI23-AI24</f>
        <v>5165.527470326615</v>
      </c>
      <c r="AJ25" s="5">
        <f t="shared" ref="AJ25" si="98">AJ23-AJ24</f>
        <v>5112.6150986411558</v>
      </c>
      <c r="AK25" s="5">
        <f t="shared" ref="AK25" si="99">AK23-AK24</f>
        <v>3087.6814383639658</v>
      </c>
      <c r="AL25" s="5"/>
      <c r="AM25" s="5"/>
      <c r="AN25" s="5"/>
      <c r="AO25" s="5"/>
      <c r="AP25" s="5"/>
    </row>
    <row r="26" spans="2:42" x14ac:dyDescent="0.2">
      <c r="B26" t="s">
        <v>20</v>
      </c>
      <c r="C26" s="4">
        <f t="shared" ref="C26:K26" si="100">C25/C27</f>
        <v>2.6317873945234171</v>
      </c>
      <c r="D26" s="4">
        <f t="shared" si="100"/>
        <v>3.5468174102046746</v>
      </c>
      <c r="E26" s="4">
        <f t="shared" si="100"/>
        <v>3.9247970224330295</v>
      </c>
      <c r="F26" s="4">
        <f t="shared" si="100"/>
        <v>4.2010156580617855</v>
      </c>
      <c r="G26" s="4">
        <f t="shared" si="100"/>
        <v>3.9248726655348025</v>
      </c>
      <c r="H26" s="4">
        <f t="shared" si="100"/>
        <v>4.3252657836906803</v>
      </c>
      <c r="I26" s="4">
        <f t="shared" si="100"/>
        <v>4.8347376747545239</v>
      </c>
      <c r="J26" s="4">
        <f t="shared" si="100"/>
        <v>4.725090579710141</v>
      </c>
      <c r="K26" s="4">
        <f t="shared" si="100"/>
        <v>4.8791609667122682</v>
      </c>
      <c r="L26" s="4">
        <f t="shared" ref="L26" si="101">L25/L27</f>
        <v>5.1991795806745662</v>
      </c>
      <c r="M26" s="4">
        <f t="shared" ref="M26" si="102">M25/M27</f>
        <v>5.0232812898814938</v>
      </c>
      <c r="N26" s="4">
        <f t="shared" ref="N26" si="103">N25/N27</f>
        <v>4.7674769285551513</v>
      </c>
      <c r="AA26" s="4">
        <f>AA25/AA27</f>
        <v>17.787509867745172</v>
      </c>
      <c r="AB26" s="4">
        <f>AB25/AB27</f>
        <v>19.86913893162393</v>
      </c>
      <c r="AC26" s="4">
        <f>AC25/AC27</f>
        <v>25.896756401794871</v>
      </c>
      <c r="AD26" s="4">
        <f t="shared" ref="AD26:AK26" si="104">AD25/AD27</f>
        <v>25.378344168658973</v>
      </c>
      <c r="AE26" s="4">
        <f t="shared" si="104"/>
        <v>24.916375514649413</v>
      </c>
      <c r="AF26" s="4">
        <f t="shared" si="104"/>
        <v>24.506223092449478</v>
      </c>
      <c r="AG26" s="4">
        <f t="shared" si="104"/>
        <v>24.143687219690726</v>
      </c>
      <c r="AH26" s="4">
        <f t="shared" si="104"/>
        <v>23.82495508994398</v>
      </c>
      <c r="AI26" s="4">
        <f t="shared" si="104"/>
        <v>23.546563967300809</v>
      </c>
      <c r="AJ26" s="4">
        <f t="shared" si="104"/>
        <v>23.305367971013816</v>
      </c>
      <c r="AK26" s="4">
        <f t="shared" si="104"/>
        <v>14.074901143539446</v>
      </c>
    </row>
    <row r="27" spans="2:42" s="2" customFormat="1" x14ac:dyDescent="0.2">
      <c r="B27" s="2" t="s">
        <v>1</v>
      </c>
      <c r="C27" s="5">
        <v>237.84899999999999</v>
      </c>
      <c r="D27" s="5">
        <v>237.40100000000001</v>
      </c>
      <c r="E27" s="5">
        <v>236.97200000000001</v>
      </c>
      <c r="F27" s="5">
        <v>236.3</v>
      </c>
      <c r="G27" s="5">
        <v>235.6</v>
      </c>
      <c r="H27" s="5">
        <v>235.71799999999999</v>
      </c>
      <c r="I27" s="5">
        <v>232.61199999999999</v>
      </c>
      <c r="J27" s="5">
        <v>220.8</v>
      </c>
      <c r="K27" s="5">
        <v>219.3</v>
      </c>
      <c r="L27" s="5">
        <v>219.4</v>
      </c>
      <c r="M27" s="5">
        <f t="shared" ref="M27:N27" si="105">+L27</f>
        <v>219.4</v>
      </c>
      <c r="N27" s="5">
        <f t="shared" si="105"/>
        <v>219.4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f>AVERAGE(G27:J27)</f>
        <v>231.1825</v>
      </c>
      <c r="AB27" s="5">
        <f>AVERAGE(K27:N27)</f>
        <v>219.375</v>
      </c>
      <c r="AC27" s="5">
        <f>+AB27</f>
        <v>219.375</v>
      </c>
      <c r="AD27" s="5">
        <f t="shared" ref="AD27:AK27" si="106">+AC27</f>
        <v>219.375</v>
      </c>
      <c r="AE27" s="5">
        <f t="shared" si="106"/>
        <v>219.375</v>
      </c>
      <c r="AF27" s="5">
        <f t="shared" si="106"/>
        <v>219.375</v>
      </c>
      <c r="AG27" s="5">
        <f t="shared" si="106"/>
        <v>219.375</v>
      </c>
      <c r="AH27" s="5">
        <f t="shared" si="106"/>
        <v>219.375</v>
      </c>
      <c r="AI27" s="5">
        <f t="shared" si="106"/>
        <v>219.375</v>
      </c>
      <c r="AJ27" s="5">
        <f t="shared" si="106"/>
        <v>219.375</v>
      </c>
      <c r="AK27" s="5">
        <f t="shared" si="106"/>
        <v>219.375</v>
      </c>
      <c r="AL27" s="5"/>
      <c r="AM27" s="5"/>
      <c r="AN27" s="5"/>
      <c r="AO27" s="5"/>
      <c r="AP27" s="5"/>
    </row>
    <row r="29" spans="2:42" s="14" customFormat="1" x14ac:dyDescent="0.2">
      <c r="B29" s="6" t="s">
        <v>31</v>
      </c>
      <c r="C29" s="12"/>
      <c r="D29" s="12"/>
      <c r="E29" s="12"/>
      <c r="F29" s="12"/>
      <c r="G29" s="13">
        <f t="shared" ref="G29" si="107">G15/C15-1</f>
        <v>0.19960409167869431</v>
      </c>
      <c r="H29" s="13">
        <f>H15/D15-1</f>
        <v>7.0294780834702753E-2</v>
      </c>
      <c r="I29" s="13">
        <f t="shared" ref="I29:J29" si="108">I15/E15-1</f>
        <v>0.10610182449489902</v>
      </c>
      <c r="J29" s="13">
        <f t="shared" si="108"/>
        <v>7.5207331389404164E-2</v>
      </c>
      <c r="K29" s="13">
        <f>K15/G15-1</f>
        <v>6.7282476809268799E-2</v>
      </c>
      <c r="L29" s="13">
        <f>L15/H15-1</f>
        <v>0.11672909731000347</v>
      </c>
      <c r="M29" s="13">
        <f t="shared" ref="L29:N29" si="109">M15/I15-1</f>
        <v>-2.0677921926444132E-3</v>
      </c>
      <c r="N29" s="13">
        <f t="shared" si="109"/>
        <v>-3.0198464410240433E-3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3">
        <f>AB15/AA15-1</f>
        <v>4.2745987027902554E-2</v>
      </c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2:42" x14ac:dyDescent="0.2">
      <c r="B30" t="s">
        <v>19</v>
      </c>
      <c r="G30" s="11">
        <f t="shared" ref="G30" si="110">G3/C3-1</f>
        <v>0.63120427130709911</v>
      </c>
      <c r="H30" s="11">
        <f>H3/D3-1</f>
        <v>0.26113649343232437</v>
      </c>
      <c r="I30" s="11">
        <f t="shared" ref="I30:K30" si="111">I3/E3-1</f>
        <v>0.19095413543387108</v>
      </c>
      <c r="J30" s="11">
        <f t="shared" si="111"/>
        <v>8.3842794759825257E-2</v>
      </c>
      <c r="K30" s="11">
        <f t="shared" si="111"/>
        <v>0.14668444659958779</v>
      </c>
      <c r="L30" s="11">
        <f>L3/H3-1</f>
        <v>0.11683459753198244</v>
      </c>
      <c r="M30" s="11">
        <f t="shared" ref="M30" si="112">M3/I3-1</f>
        <v>1.0000000000000009E-2</v>
      </c>
      <c r="N30" s="11">
        <f t="shared" ref="N30" si="113">N3/J3-1</f>
        <v>1.0000000000000009E-2</v>
      </c>
      <c r="AB30" s="11">
        <f>AB3/AA3-1</f>
        <v>6.6925571679859353E-2</v>
      </c>
    </row>
    <row r="32" spans="2:42" x14ac:dyDescent="0.2">
      <c r="B32" t="s">
        <v>45</v>
      </c>
      <c r="C32" s="11">
        <f>C17/C15</f>
        <v>0.8688858880657494</v>
      </c>
      <c r="D32" s="11">
        <f>D17/D15</f>
        <v>0.87945826071873989</v>
      </c>
      <c r="E32" s="11">
        <f t="shared" ref="E32:K32" si="114">E17/E15</f>
        <v>0.87949294810024758</v>
      </c>
      <c r="F32" s="11">
        <f t="shared" si="114"/>
        <v>0.88741621539743243</v>
      </c>
      <c r="G32" s="11">
        <f t="shared" si="114"/>
        <v>0.87772515558338871</v>
      </c>
      <c r="H32" s="11">
        <f t="shared" si="114"/>
        <v>0.88960039758056175</v>
      </c>
      <c r="I32" s="11">
        <f t="shared" si="114"/>
        <v>0.88839250036539141</v>
      </c>
      <c r="J32" s="11">
        <f t="shared" si="114"/>
        <v>0.88314021061529246</v>
      </c>
      <c r="K32" s="11">
        <f t="shared" si="114"/>
        <v>0.88521343699574595</v>
      </c>
      <c r="L32" s="11">
        <f t="shared" ref="L32:N32" si="115">L17/L15</f>
        <v>0.8720544537350563</v>
      </c>
      <c r="M32" s="11">
        <f t="shared" si="115"/>
        <v>0.8899999999999999</v>
      </c>
      <c r="N32" s="11">
        <f t="shared" si="115"/>
        <v>0.89000000000000012</v>
      </c>
      <c r="AA32" s="11">
        <f t="shared" ref="AA32:AB32" si="116">AA17/AA15</f>
        <v>0.88476584020502946</v>
      </c>
      <c r="AB32" s="11">
        <f t="shared" si="116"/>
        <v>0.88420963822601006</v>
      </c>
    </row>
    <row r="33" spans="2:28" x14ac:dyDescent="0.2">
      <c r="B33" t="s">
        <v>46</v>
      </c>
      <c r="C33" s="11">
        <f t="shared" ref="C33" si="117">+C24/C23</f>
        <v>0.22180257638783557</v>
      </c>
      <c r="D33" s="11">
        <f t="shared" ref="D33:J33" si="118">+D24/D23</f>
        <v>0.24179339942136208</v>
      </c>
      <c r="E33" s="11">
        <f t="shared" si="118"/>
        <v>0.22805830810870481</v>
      </c>
      <c r="F33" s="11">
        <f t="shared" si="118"/>
        <v>0.21270521056388292</v>
      </c>
      <c r="G33" s="11">
        <f t="shared" si="118"/>
        <v>0.23363169235869394</v>
      </c>
      <c r="H33" s="11">
        <f t="shared" si="118"/>
        <v>0.22293535887515972</v>
      </c>
      <c r="I33" s="11">
        <f t="shared" si="118"/>
        <v>0.22691311195144614</v>
      </c>
      <c r="J33" s="11">
        <f t="shared" si="118"/>
        <v>0.19770839741617974</v>
      </c>
      <c r="K33" s="11">
        <f>+K24/K23</f>
        <v>0.24985978687605154</v>
      </c>
      <c r="L33" s="11">
        <f t="shared" ref="L33:N33" si="119">+L24/L23</f>
        <v>0.23663253697383396</v>
      </c>
      <c r="M33" s="11">
        <f t="shared" si="119"/>
        <v>0.25</v>
      </c>
      <c r="N33" s="11">
        <f t="shared" si="119"/>
        <v>0.25</v>
      </c>
      <c r="AA33" s="11">
        <f t="shared" ref="AA33:AB33" si="120">+AA24/AA23</f>
        <v>0.22025937875384816</v>
      </c>
      <c r="AB33" s="11">
        <f t="shared" si="120"/>
        <v>0.24651242578719201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2016-05-13T07:44:13Z</dcterms:created>
  <dcterms:modified xsi:type="dcterms:W3CDTF">2016-10-14T00:20:38Z</dcterms:modified>
</cp:coreProperties>
</file>