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tin\Desktop\Investing Class\"/>
    </mc:Choice>
  </mc:AlternateContent>
  <bookViews>
    <workbookView xWindow="0" yWindow="0" windowWidth="21600" windowHeight="12225" activeTab="2"/>
  </bookViews>
  <sheets>
    <sheet name="Main" sheetId="1" r:id="rId1"/>
    <sheet name="Model" sheetId="2" r:id="rId2"/>
    <sheet name="Opdivo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32" i="2" l="1"/>
  <c r="V32" i="2"/>
  <c r="X28" i="2"/>
  <c r="W28" i="2"/>
  <c r="V28" i="2"/>
  <c r="U28" i="2"/>
  <c r="Y28" i="2" s="1"/>
  <c r="X27" i="2"/>
  <c r="X30" i="2" s="1"/>
  <c r="W27" i="2"/>
  <c r="V27" i="2"/>
  <c r="U27" i="2"/>
  <c r="Y27" i="2" s="1"/>
  <c r="AL3" i="2"/>
  <c r="AI36" i="2"/>
  <c r="AI37" i="2"/>
  <c r="AJ37" i="2"/>
  <c r="AI35" i="2"/>
  <c r="AK34" i="2"/>
  <c r="AJ34" i="2"/>
  <c r="AI34" i="2"/>
  <c r="AI33" i="2"/>
  <c r="AL32" i="2"/>
  <c r="AK32" i="2"/>
  <c r="AJ32" i="2"/>
  <c r="AI32" i="2"/>
  <c r="AI31" i="2"/>
  <c r="AK30" i="2"/>
  <c r="AJ30" i="2"/>
  <c r="AI30" i="2"/>
  <c r="AL29" i="2"/>
  <c r="AK29" i="2"/>
  <c r="AJ29" i="2"/>
  <c r="AI29" i="2"/>
  <c r="AK28" i="2"/>
  <c r="AJ28" i="2"/>
  <c r="AI28" i="2"/>
  <c r="AL27" i="2"/>
  <c r="AK27" i="2"/>
  <c r="AJ27" i="2"/>
  <c r="AI27" i="2"/>
  <c r="AL25" i="2"/>
  <c r="AJ26" i="2"/>
  <c r="AJ31" i="2" s="1"/>
  <c r="AJ33" i="2" s="1"/>
  <c r="AJ35" i="2" s="1"/>
  <c r="AJ36" i="2" s="1"/>
  <c r="AI26" i="2"/>
  <c r="AJ25" i="2"/>
  <c r="AI25" i="2"/>
  <c r="AJ24" i="2"/>
  <c r="AI24" i="2"/>
  <c r="AK24" i="2"/>
  <c r="AK26" i="2" s="1"/>
  <c r="AK31" i="2" s="1"/>
  <c r="AK33" i="2" s="1"/>
  <c r="AK35" i="2" s="1"/>
  <c r="AL23" i="2"/>
  <c r="AK23" i="2"/>
  <c r="AJ23" i="2"/>
  <c r="AI23" i="2"/>
  <c r="AJ22" i="2"/>
  <c r="AI22" i="2"/>
  <c r="AI21" i="2"/>
  <c r="AI20" i="2"/>
  <c r="AI19" i="2"/>
  <c r="AI18" i="2"/>
  <c r="AI17" i="2"/>
  <c r="AI16" i="2"/>
  <c r="AI15" i="2"/>
  <c r="AL14" i="2"/>
  <c r="AK14" i="2"/>
  <c r="AJ14" i="2"/>
  <c r="AI14" i="2"/>
  <c r="AL13" i="2"/>
  <c r="AK13" i="2"/>
  <c r="AJ13" i="2"/>
  <c r="AI13" i="2"/>
  <c r="AL12" i="2"/>
  <c r="AK12" i="2"/>
  <c r="AJ12" i="2"/>
  <c r="AI12" i="2"/>
  <c r="AL11" i="2"/>
  <c r="AK11" i="2"/>
  <c r="AJ11" i="2"/>
  <c r="AI11" i="2"/>
  <c r="AL10" i="2"/>
  <c r="AK10" i="2"/>
  <c r="AJ10" i="2"/>
  <c r="AI10" i="2"/>
  <c r="AL9" i="2"/>
  <c r="AK9" i="2"/>
  <c r="AJ9" i="2"/>
  <c r="AI9" i="2"/>
  <c r="AL8" i="2"/>
  <c r="AK8" i="2"/>
  <c r="AJ8" i="2"/>
  <c r="AI8" i="2"/>
  <c r="AK7" i="2"/>
  <c r="AJ7" i="2"/>
  <c r="AI7" i="2"/>
  <c r="AL6" i="2"/>
  <c r="AK6" i="2"/>
  <c r="AJ6" i="2"/>
  <c r="AI6" i="2"/>
  <c r="AL5" i="2"/>
  <c r="AK5" i="2"/>
  <c r="AJ5" i="2"/>
  <c r="AI5" i="2"/>
  <c r="AL4" i="2"/>
  <c r="AK4" i="2"/>
  <c r="AJ4" i="2"/>
  <c r="AI4" i="2"/>
  <c r="AJ3" i="2"/>
  <c r="AI3" i="2"/>
  <c r="K42" i="2"/>
  <c r="J42" i="2"/>
  <c r="I42" i="2"/>
  <c r="H42" i="2"/>
  <c r="G42" i="2"/>
  <c r="K41" i="2"/>
  <c r="J41" i="2"/>
  <c r="I41" i="2"/>
  <c r="H41" i="2"/>
  <c r="G41" i="2"/>
  <c r="G39" i="2"/>
  <c r="H39" i="2"/>
  <c r="I39" i="2"/>
  <c r="J39" i="2"/>
  <c r="K39" i="2"/>
  <c r="C44" i="2"/>
  <c r="C43" i="2"/>
  <c r="C34" i="2"/>
  <c r="C30" i="2"/>
  <c r="C26" i="2"/>
  <c r="G35" i="2"/>
  <c r="G36" i="2" s="1"/>
  <c r="G33" i="2"/>
  <c r="G26" i="2"/>
  <c r="C24" i="2"/>
  <c r="D44" i="2"/>
  <c r="D43" i="2"/>
  <c r="D30" i="2"/>
  <c r="D31" i="2" s="1"/>
  <c r="D33" i="2" s="1"/>
  <c r="D35" i="2" s="1"/>
  <c r="D36" i="2" s="1"/>
  <c r="D26" i="2"/>
  <c r="Q42" i="2"/>
  <c r="P42" i="2"/>
  <c r="O42" i="2"/>
  <c r="N42" i="2"/>
  <c r="M42" i="2"/>
  <c r="L42" i="2"/>
  <c r="Q41" i="2"/>
  <c r="P41" i="2"/>
  <c r="O41" i="2"/>
  <c r="N41" i="2"/>
  <c r="M41" i="2"/>
  <c r="L41" i="2"/>
  <c r="Q40" i="2"/>
  <c r="P40" i="2"/>
  <c r="L39" i="2"/>
  <c r="H33" i="2"/>
  <c r="H35" i="2" s="1"/>
  <c r="H36" i="2" s="1"/>
  <c r="H26" i="2"/>
  <c r="D24" i="2"/>
  <c r="H44" i="2"/>
  <c r="G44" i="2"/>
  <c r="F44" i="2"/>
  <c r="E44" i="2"/>
  <c r="F43" i="2"/>
  <c r="E43" i="2"/>
  <c r="E36" i="2"/>
  <c r="E35" i="2"/>
  <c r="E34" i="2"/>
  <c r="E33" i="2"/>
  <c r="H30" i="2"/>
  <c r="G30" i="2"/>
  <c r="F30" i="2"/>
  <c r="F31" i="2" s="1"/>
  <c r="E30" i="2"/>
  <c r="E31" i="2" s="1"/>
  <c r="E26" i="2"/>
  <c r="M39" i="2"/>
  <c r="I43" i="2"/>
  <c r="I34" i="2"/>
  <c r="I33" i="2"/>
  <c r="I35" i="2" s="1"/>
  <c r="I36" i="2" s="1"/>
  <c r="I30" i="2"/>
  <c r="I31" i="2" s="1"/>
  <c r="I26" i="2"/>
  <c r="E24" i="2"/>
  <c r="N39" i="2"/>
  <c r="J44" i="2"/>
  <c r="J43" i="2"/>
  <c r="J34" i="2"/>
  <c r="J31" i="2"/>
  <c r="J30" i="2"/>
  <c r="J26" i="2"/>
  <c r="J24" i="2"/>
  <c r="I24" i="2"/>
  <c r="H24" i="2"/>
  <c r="G24" i="2"/>
  <c r="F24" i="2"/>
  <c r="S97" i="2"/>
  <c r="S96" i="2"/>
  <c r="S95" i="2"/>
  <c r="S94" i="2"/>
  <c r="S93" i="2"/>
  <c r="S92" i="2"/>
  <c r="S91" i="2"/>
  <c r="S90" i="2"/>
  <c r="S88" i="2"/>
  <c r="S87" i="2"/>
  <c r="S86" i="2"/>
  <c r="S85" i="2"/>
  <c r="S84" i="2"/>
  <c r="S82" i="2"/>
  <c r="S79" i="2"/>
  <c r="S80" i="2"/>
  <c r="S81" i="2"/>
  <c r="S78" i="2"/>
  <c r="S77" i="2"/>
  <c r="S76" i="2"/>
  <c r="S75" i="2"/>
  <c r="S74" i="2"/>
  <c r="S73" i="2"/>
  <c r="S72" i="2"/>
  <c r="S71" i="2"/>
  <c r="S70" i="2"/>
  <c r="S69" i="2"/>
  <c r="S68" i="2"/>
  <c r="S67" i="2"/>
  <c r="S66" i="2"/>
  <c r="R84" i="2"/>
  <c r="R95" i="2"/>
  <c r="R88" i="2"/>
  <c r="R82" i="2"/>
  <c r="S28" i="2"/>
  <c r="S25" i="2"/>
  <c r="W30" i="2"/>
  <c r="V30" i="2"/>
  <c r="S61" i="2"/>
  <c r="S60" i="2"/>
  <c r="S57" i="2"/>
  <c r="S64" i="2" s="1"/>
  <c r="S47" i="2"/>
  <c r="S55" i="2" s="1"/>
  <c r="S52" i="2"/>
  <c r="S34" i="2"/>
  <c r="W10" i="2"/>
  <c r="V10" i="2"/>
  <c r="W9" i="2"/>
  <c r="V9" i="2"/>
  <c r="U9" i="2"/>
  <c r="Y9" i="2" s="1"/>
  <c r="T9" i="2"/>
  <c r="X9" i="2" s="1"/>
  <c r="W4" i="2"/>
  <c r="V4" i="2"/>
  <c r="V41" i="2" s="1"/>
  <c r="W41" i="2"/>
  <c r="S41" i="2"/>
  <c r="R41" i="2"/>
  <c r="W8" i="2"/>
  <c r="V8" i="2"/>
  <c r="S42" i="2"/>
  <c r="R42" i="2"/>
  <c r="W5" i="2"/>
  <c r="W42" i="2" s="1"/>
  <c r="V5" i="2"/>
  <c r="V42" i="2" s="1"/>
  <c r="S40" i="2"/>
  <c r="R40" i="2"/>
  <c r="M6" i="1"/>
  <c r="M5" i="1"/>
  <c r="Y32" i="2" l="1"/>
  <c r="X32" i="2"/>
  <c r="Y30" i="2"/>
  <c r="AL28" i="2"/>
  <c r="AL30" i="2" s="1"/>
  <c r="C31" i="2"/>
  <c r="C33" i="2" s="1"/>
  <c r="C35" i="2" s="1"/>
  <c r="C36" i="2" s="1"/>
  <c r="G31" i="2"/>
  <c r="G43" i="2"/>
  <c r="H31" i="2"/>
  <c r="H43" i="2"/>
  <c r="I44" i="2"/>
  <c r="J33" i="2"/>
  <c r="J35" i="2" s="1"/>
  <c r="J36" i="2" s="1"/>
  <c r="S46" i="2"/>
  <c r="R97" i="2"/>
  <c r="R60" i="2"/>
  <c r="R61" i="2"/>
  <c r="R57" i="2"/>
  <c r="R47" i="2"/>
  <c r="R46" i="2" s="1"/>
  <c r="R52" i="2"/>
  <c r="AK37" i="2"/>
  <c r="T37" i="2"/>
  <c r="U37" i="2" s="1"/>
  <c r="V37" i="2" s="1"/>
  <c r="W37" i="2" s="1"/>
  <c r="X37" i="2" s="1"/>
  <c r="Y37" i="2" s="1"/>
  <c r="K34" i="2"/>
  <c r="K28" i="2"/>
  <c r="O34" i="2"/>
  <c r="O32" i="2"/>
  <c r="O28" i="2"/>
  <c r="T6" i="2"/>
  <c r="U6" i="2" s="1"/>
  <c r="V6" i="2" s="1"/>
  <c r="W6" i="2" s="1"/>
  <c r="X6" i="2" s="1"/>
  <c r="Y6" i="2" s="1"/>
  <c r="T5" i="2"/>
  <c r="T42" i="2" s="1"/>
  <c r="U8" i="2"/>
  <c r="Y8" i="2" s="1"/>
  <c r="T8" i="2"/>
  <c r="X8" i="2" s="1"/>
  <c r="T4" i="2"/>
  <c r="T10" i="2"/>
  <c r="X10" i="2" s="1"/>
  <c r="T11" i="2"/>
  <c r="U11" i="2" s="1"/>
  <c r="V11" i="2" s="1"/>
  <c r="W11" i="2" s="1"/>
  <c r="X11" i="2" s="1"/>
  <c r="Y11" i="2" s="1"/>
  <c r="T12" i="2"/>
  <c r="T14" i="2"/>
  <c r="U14" i="2" s="1"/>
  <c r="V14" i="2" s="1"/>
  <c r="W14" i="2" s="1"/>
  <c r="X14" i="2" s="1"/>
  <c r="Y14" i="2" s="1"/>
  <c r="T23" i="2"/>
  <c r="U23" i="2" s="1"/>
  <c r="V23" i="2" s="1"/>
  <c r="W23" i="2" s="1"/>
  <c r="X23" i="2" s="1"/>
  <c r="Y23" i="2" s="1"/>
  <c r="K27" i="2"/>
  <c r="O27" i="2"/>
  <c r="AK3" i="2"/>
  <c r="T3" i="2"/>
  <c r="L27" i="2"/>
  <c r="L28" i="2"/>
  <c r="L32" i="2"/>
  <c r="P32" i="2"/>
  <c r="P28" i="2"/>
  <c r="P27" i="2"/>
  <c r="T27" i="2" s="1"/>
  <c r="P25" i="2"/>
  <c r="L34" i="2"/>
  <c r="P34" i="2"/>
  <c r="K24" i="2"/>
  <c r="K26" i="2" s="1"/>
  <c r="K43" i="2" s="1"/>
  <c r="L24" i="2"/>
  <c r="L26" i="2" s="1"/>
  <c r="L43" i="2" s="1"/>
  <c r="N34" i="2"/>
  <c r="N32" i="2"/>
  <c r="N25" i="2"/>
  <c r="N27" i="2"/>
  <c r="N28" i="2"/>
  <c r="R34" i="2"/>
  <c r="R32" i="2"/>
  <c r="R28" i="2"/>
  <c r="R25" i="2"/>
  <c r="M34" i="2"/>
  <c r="M32" i="2"/>
  <c r="M28" i="2"/>
  <c r="M27" i="2"/>
  <c r="M25" i="2"/>
  <c r="Q34" i="2"/>
  <c r="Q28" i="2"/>
  <c r="Q32" i="2"/>
  <c r="Q27" i="2"/>
  <c r="Q25" i="2"/>
  <c r="M24" i="2"/>
  <c r="U4" i="2" l="1"/>
  <c r="T41" i="2"/>
  <c r="X4" i="2"/>
  <c r="X41" i="2" s="1"/>
  <c r="R64" i="2"/>
  <c r="N30" i="2"/>
  <c r="L30" i="2"/>
  <c r="AK25" i="2"/>
  <c r="O30" i="2"/>
  <c r="U5" i="2"/>
  <c r="AM5" i="2" s="1"/>
  <c r="AN5" i="2" s="1"/>
  <c r="AO5" i="2" s="1"/>
  <c r="X5" i="2"/>
  <c r="X42" i="2" s="1"/>
  <c r="M30" i="2"/>
  <c r="P30" i="2"/>
  <c r="U3" i="2"/>
  <c r="AM3" i="2" s="1"/>
  <c r="AN3" i="2" s="1"/>
  <c r="AO3" i="2" s="1"/>
  <c r="AP3" i="2" s="1"/>
  <c r="AQ3" i="2" s="1"/>
  <c r="AR3" i="2" s="1"/>
  <c r="AS3" i="2" s="1"/>
  <c r="AT3" i="2" s="1"/>
  <c r="AU3" i="2" s="1"/>
  <c r="AV3" i="2" s="1"/>
  <c r="T40" i="2"/>
  <c r="T32" i="2"/>
  <c r="U32" i="2" s="1"/>
  <c r="AM32" i="2" s="1"/>
  <c r="AM27" i="2"/>
  <c r="AM30" i="2" s="1"/>
  <c r="T28" i="2"/>
  <c r="AL37" i="2"/>
  <c r="AM37" i="2" s="1"/>
  <c r="AN37" i="2" s="1"/>
  <c r="AO37" i="2" s="1"/>
  <c r="AP37" i="2" s="1"/>
  <c r="AQ37" i="2" s="1"/>
  <c r="AR37" i="2" s="1"/>
  <c r="AS37" i="2" s="1"/>
  <c r="AT37" i="2" s="1"/>
  <c r="AU37" i="2" s="1"/>
  <c r="AV37" i="2" s="1"/>
  <c r="AW37" i="2" s="1"/>
  <c r="AX37" i="2" s="1"/>
  <c r="AY37" i="2" s="1"/>
  <c r="AZ37" i="2" s="1"/>
  <c r="T13" i="2"/>
  <c r="U13" i="2" s="1"/>
  <c r="V13" i="2" s="1"/>
  <c r="W13" i="2" s="1"/>
  <c r="X13" i="2" s="1"/>
  <c r="Y13" i="2" s="1"/>
  <c r="Q30" i="2"/>
  <c r="K30" i="2"/>
  <c r="K31" i="2" s="1"/>
  <c r="K33" i="2" s="1"/>
  <c r="R55" i="2"/>
  <c r="AM8" i="2"/>
  <c r="AN8" i="2" s="1"/>
  <c r="AO8" i="2" s="1"/>
  <c r="AP8" i="2" s="1"/>
  <c r="AQ8" i="2" s="1"/>
  <c r="AR8" i="2" s="1"/>
  <c r="AS8" i="2" s="1"/>
  <c r="AT8" i="2" s="1"/>
  <c r="AU8" i="2" s="1"/>
  <c r="AV8" i="2" s="1"/>
  <c r="AW8" i="2" s="1"/>
  <c r="AX8" i="2" s="1"/>
  <c r="AY8" i="2" s="1"/>
  <c r="AZ8" i="2" s="1"/>
  <c r="BA8" i="2" s="1"/>
  <c r="BB8" i="2" s="1"/>
  <c r="BC8" i="2" s="1"/>
  <c r="BD8" i="2" s="1"/>
  <c r="BE8" i="2" s="1"/>
  <c r="U30" i="2"/>
  <c r="AM9" i="2"/>
  <c r="AN9" i="2" s="1"/>
  <c r="AO9" i="2" s="1"/>
  <c r="AP9" i="2" s="1"/>
  <c r="AQ9" i="2" s="1"/>
  <c r="AR9" i="2" s="1"/>
  <c r="AS9" i="2" s="1"/>
  <c r="AT9" i="2" s="1"/>
  <c r="AU9" i="2" s="1"/>
  <c r="AV9" i="2" s="1"/>
  <c r="AW9" i="2" s="1"/>
  <c r="AX9" i="2" s="1"/>
  <c r="AY9" i="2" s="1"/>
  <c r="AZ9" i="2" s="1"/>
  <c r="BA9" i="2" s="1"/>
  <c r="BB9" i="2" s="1"/>
  <c r="BC9" i="2" s="1"/>
  <c r="BD9" i="2" s="1"/>
  <c r="BE9" i="2" s="1"/>
  <c r="M26" i="2"/>
  <c r="M43" i="2" s="1"/>
  <c r="AM14" i="2"/>
  <c r="AN14" i="2" s="1"/>
  <c r="AO14" i="2" s="1"/>
  <c r="AP14" i="2" s="1"/>
  <c r="AQ14" i="2" s="1"/>
  <c r="AR14" i="2" s="1"/>
  <c r="AS14" i="2" s="1"/>
  <c r="AT14" i="2" s="1"/>
  <c r="AU14" i="2" s="1"/>
  <c r="AV14" i="2" s="1"/>
  <c r="AW14" i="2" s="1"/>
  <c r="AX14" i="2" s="1"/>
  <c r="AM11" i="2"/>
  <c r="AN11" i="2" s="1"/>
  <c r="AO11" i="2" s="1"/>
  <c r="AP11" i="2" s="1"/>
  <c r="AQ11" i="2" s="1"/>
  <c r="AR11" i="2" s="1"/>
  <c r="AS11" i="2" s="1"/>
  <c r="AT11" i="2" s="1"/>
  <c r="AU11" i="2" s="1"/>
  <c r="AV11" i="2" s="1"/>
  <c r="AW11" i="2" s="1"/>
  <c r="AX11" i="2" s="1"/>
  <c r="AY11" i="2" s="1"/>
  <c r="AZ11" i="2" s="1"/>
  <c r="U10" i="2"/>
  <c r="AM23" i="2"/>
  <c r="AN23" i="2" s="1"/>
  <c r="AO23" i="2" s="1"/>
  <c r="AP23" i="2" s="1"/>
  <c r="AQ23" i="2" s="1"/>
  <c r="AR23" i="2" s="1"/>
  <c r="AS23" i="2" s="1"/>
  <c r="AT23" i="2" s="1"/>
  <c r="AU23" i="2" s="1"/>
  <c r="AV23" i="2" s="1"/>
  <c r="AW23" i="2" s="1"/>
  <c r="AX23" i="2" s="1"/>
  <c r="AY23" i="2" s="1"/>
  <c r="AZ23" i="2" s="1"/>
  <c r="AM4" i="2"/>
  <c r="AN4" i="2" s="1"/>
  <c r="AO4" i="2" s="1"/>
  <c r="AP4" i="2" s="1"/>
  <c r="AQ4" i="2" s="1"/>
  <c r="AR4" i="2" s="1"/>
  <c r="AS4" i="2" s="1"/>
  <c r="AT4" i="2" s="1"/>
  <c r="AU4" i="2" s="1"/>
  <c r="AV4" i="2" s="1"/>
  <c r="AW4" i="2" s="1"/>
  <c r="AX4" i="2" s="1"/>
  <c r="AY4" i="2" s="1"/>
  <c r="U12" i="2"/>
  <c r="S24" i="2"/>
  <c r="S26" i="2" s="1"/>
  <c r="L31" i="2"/>
  <c r="L33" i="2" s="1"/>
  <c r="AM12" i="2" l="1"/>
  <c r="AN12" i="2" s="1"/>
  <c r="AO12" i="2" s="1"/>
  <c r="AP12" i="2" s="1"/>
  <c r="AQ12" i="2" s="1"/>
  <c r="AR12" i="2" s="1"/>
  <c r="AS12" i="2" s="1"/>
  <c r="AT12" i="2" s="1"/>
  <c r="AU12" i="2" s="1"/>
  <c r="AV12" i="2" s="1"/>
  <c r="AW12" i="2" s="1"/>
  <c r="AX12" i="2" s="1"/>
  <c r="V12" i="2"/>
  <c r="W12" i="2" s="1"/>
  <c r="X12" i="2" s="1"/>
  <c r="Y12" i="2" s="1"/>
  <c r="AM10" i="2"/>
  <c r="AN10" i="2" s="1"/>
  <c r="AO10" i="2" s="1"/>
  <c r="AP10" i="2" s="1"/>
  <c r="AQ10" i="2" s="1"/>
  <c r="AR10" i="2" s="1"/>
  <c r="AS10" i="2" s="1"/>
  <c r="Y10" i="2"/>
  <c r="U41" i="2"/>
  <c r="Y4" i="2"/>
  <c r="Y41" i="2" s="1"/>
  <c r="Y5" i="2"/>
  <c r="Y42" i="2" s="1"/>
  <c r="U42" i="2"/>
  <c r="AK36" i="2"/>
  <c r="V3" i="2"/>
  <c r="U40" i="2"/>
  <c r="S30" i="2"/>
  <c r="T30" i="2"/>
  <c r="T24" i="2"/>
  <c r="T26" i="2" s="1"/>
  <c r="AM13" i="2"/>
  <c r="AN13" i="2" s="1"/>
  <c r="AO13" i="2" s="1"/>
  <c r="AP13" i="2" s="1"/>
  <c r="AQ13" i="2" s="1"/>
  <c r="AR13" i="2" s="1"/>
  <c r="AS13" i="2" s="1"/>
  <c r="AT13" i="2" s="1"/>
  <c r="AU13" i="2" s="1"/>
  <c r="AV13" i="2" s="1"/>
  <c r="AW13" i="2" s="1"/>
  <c r="AX13" i="2" s="1"/>
  <c r="M31" i="2"/>
  <c r="M33" i="2" s="1"/>
  <c r="U24" i="2"/>
  <c r="U26" i="2" s="1"/>
  <c r="AW3" i="2"/>
  <c r="AX3" i="2" s="1"/>
  <c r="AY3" i="2" s="1"/>
  <c r="AZ3" i="2" s="1"/>
  <c r="BA3" i="2" s="1"/>
  <c r="BB3" i="2" s="1"/>
  <c r="BC3" i="2" s="1"/>
  <c r="BD3" i="2" s="1"/>
  <c r="BE3" i="2" s="1"/>
  <c r="M35" i="2"/>
  <c r="M36" i="2" s="1"/>
  <c r="M44" i="2"/>
  <c r="K35" i="2"/>
  <c r="K36" i="2" s="1"/>
  <c r="K44" i="2"/>
  <c r="L35" i="2"/>
  <c r="L36" i="2" s="1"/>
  <c r="L44" i="2"/>
  <c r="AP5" i="2"/>
  <c r="AM6" i="2"/>
  <c r="AN6" i="2" s="1"/>
  <c r="AO6" i="2" s="1"/>
  <c r="AP6" i="2" s="1"/>
  <c r="AQ6" i="2" s="1"/>
  <c r="AR6" i="2" s="1"/>
  <c r="V40" i="2" l="1"/>
  <c r="W3" i="2"/>
  <c r="V24" i="2"/>
  <c r="AN24" i="2"/>
  <c r="AN27" i="2" s="1"/>
  <c r="AN30" i="2" s="1"/>
  <c r="T43" i="2"/>
  <c r="T31" i="2"/>
  <c r="T33" i="2" s="1"/>
  <c r="T25" i="2"/>
  <c r="S43" i="2"/>
  <c r="S31" i="2"/>
  <c r="S33" i="2" s="1"/>
  <c r="AO24" i="2"/>
  <c r="AO26" i="2" s="1"/>
  <c r="U31" i="2"/>
  <c r="U33" i="2" s="1"/>
  <c r="U43" i="2"/>
  <c r="U25" i="2"/>
  <c r="AQ5" i="2"/>
  <c r="AP24" i="2"/>
  <c r="AS6" i="2"/>
  <c r="AM24" i="2"/>
  <c r="AL24" i="2"/>
  <c r="AL26" i="2" l="1"/>
  <c r="AL31" i="2" s="1"/>
  <c r="AL33" i="2" s="1"/>
  <c r="AN26" i="2"/>
  <c r="AN31" i="2" s="1"/>
  <c r="AN33" i="2" s="1"/>
  <c r="AN34" i="2" s="1"/>
  <c r="AN35" i="2" s="1"/>
  <c r="AN36" i="2" s="1"/>
  <c r="V26" i="2"/>
  <c r="V31" i="2" s="1"/>
  <c r="V33" i="2" s="1"/>
  <c r="AO27" i="2"/>
  <c r="AO30" i="2" s="1"/>
  <c r="W40" i="2"/>
  <c r="X3" i="2"/>
  <c r="W24" i="2"/>
  <c r="AN25" i="2"/>
  <c r="U34" i="2"/>
  <c r="U44" i="2" s="1"/>
  <c r="AM26" i="2"/>
  <c r="AM31" i="2" s="1"/>
  <c r="AM33" i="2" s="1"/>
  <c r="AM34" i="2" s="1"/>
  <c r="AM35" i="2" s="1"/>
  <c r="T34" i="2"/>
  <c r="AP27" i="2"/>
  <c r="AP30" i="2" s="1"/>
  <c r="AP26" i="2"/>
  <c r="AO25" i="2"/>
  <c r="AO31" i="2"/>
  <c r="AO33" i="2" s="1"/>
  <c r="AR5" i="2"/>
  <c r="AQ24" i="2"/>
  <c r="AT6" i="2"/>
  <c r="R30" i="2"/>
  <c r="R24" i="2"/>
  <c r="R26" i="2" s="1"/>
  <c r="Q24" i="2"/>
  <c r="P24" i="2"/>
  <c r="O24" i="2"/>
  <c r="N24" i="2"/>
  <c r="N26" i="2" s="1"/>
  <c r="AB2" i="2"/>
  <c r="AC2" i="2" s="1"/>
  <c r="AD2" i="2" s="1"/>
  <c r="AE2" i="2" s="1"/>
  <c r="AF2" i="2" s="1"/>
  <c r="AG2" i="2" s="1"/>
  <c r="AH2" i="2" s="1"/>
  <c r="AI2" i="2" s="1"/>
  <c r="AJ2" i="2" s="1"/>
  <c r="AK2" i="2" s="1"/>
  <c r="AL2" i="2" s="1"/>
  <c r="AM2" i="2" s="1"/>
  <c r="AN2" i="2" s="1"/>
  <c r="AO2" i="2" s="1"/>
  <c r="AP2" i="2" s="1"/>
  <c r="AQ2" i="2" s="1"/>
  <c r="AR2" i="2" s="1"/>
  <c r="AS2" i="2" s="1"/>
  <c r="AT2" i="2" s="1"/>
  <c r="AU2" i="2" s="1"/>
  <c r="AV2" i="2" s="1"/>
  <c r="AW2" i="2" s="1"/>
  <c r="AX2" i="2" s="1"/>
  <c r="AY2" i="2" s="1"/>
  <c r="AZ2" i="2" s="1"/>
  <c r="BA2" i="2" s="1"/>
  <c r="BB2" i="2" s="1"/>
  <c r="BC2" i="2" s="1"/>
  <c r="BD2" i="2" s="1"/>
  <c r="BE2" i="2" s="1"/>
  <c r="BF2" i="2" s="1"/>
  <c r="BG2" i="2" s="1"/>
  <c r="BH2" i="2" s="1"/>
  <c r="BI2" i="2" s="1"/>
  <c r="BJ2" i="2" s="1"/>
  <c r="BK2" i="2" s="1"/>
  <c r="BL2" i="2" s="1"/>
  <c r="BM2" i="2" s="1"/>
  <c r="BN2" i="2" s="1"/>
  <c r="BO2" i="2" s="1"/>
  <c r="BP2" i="2" s="1"/>
  <c r="M4" i="1"/>
  <c r="M7" i="1" s="1"/>
  <c r="T44" i="2" l="1"/>
  <c r="AL34" i="2"/>
  <c r="V25" i="2"/>
  <c r="AM36" i="2"/>
  <c r="W39" i="2"/>
  <c r="W26" i="2"/>
  <c r="W31" i="2" s="1"/>
  <c r="W33" i="2" s="1"/>
  <c r="W34" i="2" s="1"/>
  <c r="W35" i="2" s="1"/>
  <c r="W36" i="2" s="1"/>
  <c r="W25" i="2"/>
  <c r="V34" i="2"/>
  <c r="V35" i="2" s="1"/>
  <c r="V36" i="2" s="1"/>
  <c r="V39" i="2"/>
  <c r="X40" i="2"/>
  <c r="X24" i="2"/>
  <c r="Y3" i="2"/>
  <c r="R31" i="2"/>
  <c r="R33" i="2" s="1"/>
  <c r="R43" i="2"/>
  <c r="N31" i="2"/>
  <c r="N33" i="2" s="1"/>
  <c r="N43" i="2"/>
  <c r="AP31" i="2"/>
  <c r="AP33" i="2" s="1"/>
  <c r="AP34" i="2" s="1"/>
  <c r="AP35" i="2" s="1"/>
  <c r="AP36" i="2" s="1"/>
  <c r="O26" i="2"/>
  <c r="O39" i="2"/>
  <c r="S39" i="2"/>
  <c r="Q26" i="2"/>
  <c r="Q39" i="2"/>
  <c r="U39" i="2"/>
  <c r="AL35" i="2"/>
  <c r="AL36" i="2" s="1"/>
  <c r="S44" i="2"/>
  <c r="AM25" i="2"/>
  <c r="T35" i="2"/>
  <c r="T36" i="2" s="1"/>
  <c r="P26" i="2"/>
  <c r="P39" i="2"/>
  <c r="T39" i="2"/>
  <c r="R39" i="2"/>
  <c r="U35" i="2"/>
  <c r="U36" i="2" s="1"/>
  <c r="S35" i="2"/>
  <c r="AQ27" i="2"/>
  <c r="AQ30" i="2" s="1"/>
  <c r="AQ26" i="2"/>
  <c r="AQ25" i="2" s="1"/>
  <c r="AO34" i="2"/>
  <c r="AO35" i="2" s="1"/>
  <c r="AO36" i="2" s="1"/>
  <c r="AP25" i="2"/>
  <c r="AS5" i="2"/>
  <c r="AT5" i="2" s="1"/>
  <c r="AU5" i="2" s="1"/>
  <c r="AV5" i="2" s="1"/>
  <c r="AR24" i="2"/>
  <c r="AU6" i="2"/>
  <c r="X39" i="2" l="1"/>
  <c r="X26" i="2"/>
  <c r="X31" i="2" s="1"/>
  <c r="X33" i="2" s="1"/>
  <c r="X34" i="2" s="1"/>
  <c r="X35" i="2" s="1"/>
  <c r="X36" i="2" s="1"/>
  <c r="Y24" i="2"/>
  <c r="Y40" i="2"/>
  <c r="S36" i="2"/>
  <c r="T46" i="2"/>
  <c r="U46" i="2" s="1"/>
  <c r="N35" i="2"/>
  <c r="N36" i="2" s="1"/>
  <c r="N44" i="2"/>
  <c r="P31" i="2"/>
  <c r="P33" i="2" s="1"/>
  <c r="P43" i="2"/>
  <c r="O31" i="2"/>
  <c r="O33" i="2" s="1"/>
  <c r="O43" i="2"/>
  <c r="Q43" i="2"/>
  <c r="Q31" i="2"/>
  <c r="Q33" i="2" s="1"/>
  <c r="AU24" i="2"/>
  <c r="AU26" i="2" s="1"/>
  <c r="AU25" i="2" s="1"/>
  <c r="AV6" i="2"/>
  <c r="AW6" i="2" s="1"/>
  <c r="AX6" i="2" s="1"/>
  <c r="AY6" i="2" s="1"/>
  <c r="AZ6" i="2" s="1"/>
  <c r="R35" i="2"/>
  <c r="R44" i="2"/>
  <c r="AW5" i="2"/>
  <c r="AR27" i="2"/>
  <c r="AR30" i="2" s="1"/>
  <c r="AR26" i="2"/>
  <c r="AR25" i="2" s="1"/>
  <c r="AQ31" i="2"/>
  <c r="AQ33" i="2" s="1"/>
  <c r="AT24" i="2"/>
  <c r="AS24" i="2"/>
  <c r="Y39" i="2" l="1"/>
  <c r="Y26" i="2"/>
  <c r="Y31" i="2" s="1"/>
  <c r="Y33" i="2" s="1"/>
  <c r="Y34" i="2" s="1"/>
  <c r="Y35" i="2" s="1"/>
  <c r="Y36" i="2" s="1"/>
  <c r="R36" i="2"/>
  <c r="R66" i="2"/>
  <c r="X25" i="2"/>
  <c r="AL46" i="2"/>
  <c r="AM46" i="2" s="1"/>
  <c r="AN46" i="2" s="1"/>
  <c r="AO46" i="2" s="1"/>
  <c r="AP46" i="2" s="1"/>
  <c r="V46" i="2"/>
  <c r="W46" i="2" s="1"/>
  <c r="X46" i="2" s="1"/>
  <c r="Y46" i="2" s="1"/>
  <c r="AR31" i="2"/>
  <c r="AR33" i="2" s="1"/>
  <c r="AR34" i="2" s="1"/>
  <c r="AR35" i="2" s="1"/>
  <c r="AR36" i="2" s="1"/>
  <c r="AV24" i="2"/>
  <c r="AV26" i="2" s="1"/>
  <c r="AV25" i="2" s="1"/>
  <c r="Q35" i="2"/>
  <c r="Q36" i="2" s="1"/>
  <c r="Q44" i="2"/>
  <c r="AZ24" i="2"/>
  <c r="BA6" i="2"/>
  <c r="BB6" i="2" s="1"/>
  <c r="BC6" i="2" s="1"/>
  <c r="BD6" i="2" s="1"/>
  <c r="BE6" i="2" s="1"/>
  <c r="O35" i="2"/>
  <c r="O36" i="2" s="1"/>
  <c r="O44" i="2"/>
  <c r="P35" i="2"/>
  <c r="P36" i="2" s="1"/>
  <c r="P44" i="2"/>
  <c r="AU27" i="2"/>
  <c r="AU30" i="2" s="1"/>
  <c r="AU31" i="2" s="1"/>
  <c r="AU33" i="2" s="1"/>
  <c r="AU34" i="2" s="1"/>
  <c r="AU35" i="2" s="1"/>
  <c r="AU36" i="2" s="1"/>
  <c r="AQ34" i="2"/>
  <c r="AQ35" i="2" s="1"/>
  <c r="AT26" i="2"/>
  <c r="AT27" i="2"/>
  <c r="AT30" i="2" s="1"/>
  <c r="AX5" i="2"/>
  <c r="AW24" i="2"/>
  <c r="AS26" i="2"/>
  <c r="AS25" i="2" s="1"/>
  <c r="AS27" i="2"/>
  <c r="AS30" i="2" s="1"/>
  <c r="Y25" i="2" l="1"/>
  <c r="AQ36" i="2"/>
  <c r="AV27" i="2"/>
  <c r="AV30" i="2" s="1"/>
  <c r="AV31" i="2" s="1"/>
  <c r="AV33" i="2" s="1"/>
  <c r="AV34" i="2" s="1"/>
  <c r="AV35" i="2" s="1"/>
  <c r="AV36" i="2" s="1"/>
  <c r="AQ46" i="2"/>
  <c r="AR46" i="2" s="1"/>
  <c r="AZ27" i="2"/>
  <c r="AZ30" i="2" s="1"/>
  <c r="AZ26" i="2"/>
  <c r="AS31" i="2"/>
  <c r="AS33" i="2" s="1"/>
  <c r="AS34" i="2" s="1"/>
  <c r="AS35" i="2" s="1"/>
  <c r="AS36" i="2" s="1"/>
  <c r="AW26" i="2"/>
  <c r="AW25" i="2" s="1"/>
  <c r="AW27" i="2"/>
  <c r="AW30" i="2" s="1"/>
  <c r="AY5" i="2"/>
  <c r="AY24" i="2" s="1"/>
  <c r="AX24" i="2"/>
  <c r="AT25" i="2"/>
  <c r="AT31" i="2"/>
  <c r="AT33" i="2" s="1"/>
  <c r="AS46" i="2" l="1"/>
  <c r="AZ25" i="2"/>
  <c r="AZ31" i="2"/>
  <c r="AZ33" i="2" s="1"/>
  <c r="AZ34" i="2" s="1"/>
  <c r="AZ35" i="2" s="1"/>
  <c r="AT34" i="2"/>
  <c r="AT35" i="2" s="1"/>
  <c r="AT36" i="2" s="1"/>
  <c r="AX27" i="2"/>
  <c r="AX30" i="2" s="1"/>
  <c r="AX26" i="2"/>
  <c r="AX25" i="2" s="1"/>
  <c r="AY27" i="2"/>
  <c r="AY30" i="2" s="1"/>
  <c r="AY26" i="2"/>
  <c r="AY25" i="2" s="1"/>
  <c r="AW31" i="2"/>
  <c r="AW33" i="2" s="1"/>
  <c r="AT46" i="2" l="1"/>
  <c r="AU46" i="2" s="1"/>
  <c r="AV46" i="2" s="1"/>
  <c r="AZ36" i="2"/>
  <c r="BA35" i="2"/>
  <c r="BB35" i="2" s="1"/>
  <c r="BC35" i="2" s="1"/>
  <c r="BD35" i="2" s="1"/>
  <c r="BE35" i="2" s="1"/>
  <c r="BF35" i="2" s="1"/>
  <c r="BG35" i="2" s="1"/>
  <c r="BH35" i="2" s="1"/>
  <c r="BI35" i="2" s="1"/>
  <c r="BJ35" i="2" s="1"/>
  <c r="BK35" i="2" s="1"/>
  <c r="BL35" i="2" s="1"/>
  <c r="BM35" i="2" s="1"/>
  <c r="BN35" i="2" s="1"/>
  <c r="BO35" i="2" s="1"/>
  <c r="BP35" i="2" s="1"/>
  <c r="BQ35" i="2" s="1"/>
  <c r="BR35" i="2" s="1"/>
  <c r="BS35" i="2" s="1"/>
  <c r="BT35" i="2" s="1"/>
  <c r="BU35" i="2" s="1"/>
  <c r="BV35" i="2" s="1"/>
  <c r="BW35" i="2" s="1"/>
  <c r="BX35" i="2" s="1"/>
  <c r="BY35" i="2" s="1"/>
  <c r="BZ35" i="2" s="1"/>
  <c r="CA35" i="2" s="1"/>
  <c r="CB35" i="2" s="1"/>
  <c r="CC35" i="2" s="1"/>
  <c r="CD35" i="2" s="1"/>
  <c r="CE35" i="2" s="1"/>
  <c r="CF35" i="2" s="1"/>
  <c r="CG35" i="2" s="1"/>
  <c r="CH35" i="2" s="1"/>
  <c r="CI35" i="2" s="1"/>
  <c r="CJ35" i="2" s="1"/>
  <c r="CK35" i="2" s="1"/>
  <c r="CL35" i="2" s="1"/>
  <c r="CM35" i="2" s="1"/>
  <c r="CN35" i="2" s="1"/>
  <c r="CO35" i="2" s="1"/>
  <c r="CP35" i="2" s="1"/>
  <c r="CQ35" i="2" s="1"/>
  <c r="CR35" i="2" s="1"/>
  <c r="CS35" i="2" s="1"/>
  <c r="CT35" i="2" s="1"/>
  <c r="CU35" i="2" s="1"/>
  <c r="CV35" i="2" s="1"/>
  <c r="CW35" i="2" s="1"/>
  <c r="AY31" i="2"/>
  <c r="AY33" i="2" s="1"/>
  <c r="AY34" i="2" s="1"/>
  <c r="AY35" i="2" s="1"/>
  <c r="AY36" i="2" s="1"/>
  <c r="AW34" i="2"/>
  <c r="AW35" i="2" s="1"/>
  <c r="AX31" i="2"/>
  <c r="AX33" i="2" s="1"/>
  <c r="AX34" i="2" s="1"/>
  <c r="AX35" i="2" s="1"/>
  <c r="AX36" i="2" s="1"/>
  <c r="BD46" i="2" l="1"/>
  <c r="BD47" i="2" s="1"/>
  <c r="AW36" i="2"/>
  <c r="AW46" i="2"/>
  <c r="AX46" i="2" s="1"/>
  <c r="AY46" i="2" s="1"/>
  <c r="AZ46" i="2" s="1"/>
</calcChain>
</file>

<file path=xl/comments1.xml><?xml version="1.0" encoding="utf-8"?>
<comments xmlns="http://schemas.openxmlformats.org/spreadsheetml/2006/main">
  <authors>
    <author>Martin Shkreli</author>
  </authors>
  <commentList>
    <comment ref="AS4" authorId="0" shapeId="0">
      <text>
        <r>
          <rPr>
            <b/>
            <sz val="9"/>
            <color indexed="81"/>
            <rFont val="Tahoma"/>
            <family val="2"/>
          </rPr>
          <t>Martin Shkreli:</t>
        </r>
        <r>
          <rPr>
            <sz val="9"/>
            <color indexed="81"/>
            <rFont val="Tahoma"/>
            <family val="2"/>
          </rPr>
          <t xml:space="preserve">
2/23/2023 COM expires?</t>
        </r>
      </text>
    </comment>
    <comment ref="AP5" authorId="0" shapeId="0">
      <text>
        <r>
          <rPr>
            <b/>
            <sz val="9"/>
            <color indexed="81"/>
            <rFont val="Tahoma"/>
            <family val="2"/>
          </rPr>
          <t>Martin Shkreli:</t>
        </r>
        <r>
          <rPr>
            <sz val="9"/>
            <color indexed="81"/>
            <rFont val="Tahoma"/>
            <family val="2"/>
          </rPr>
          <t xml:space="preserve">
COM expires?</t>
        </r>
      </text>
    </comment>
    <comment ref="AV5" authorId="0" shapeId="0">
      <text>
        <r>
          <rPr>
            <b/>
            <sz val="9"/>
            <color indexed="81"/>
            <rFont val="Tahoma"/>
            <family val="2"/>
          </rPr>
          <t>Martin Shkreli:</t>
        </r>
        <r>
          <rPr>
            <sz val="9"/>
            <color indexed="81"/>
            <rFont val="Tahoma"/>
            <family val="2"/>
          </rPr>
          <t xml:space="preserve">
longest dated OB patent</t>
        </r>
      </text>
    </comment>
  </commentList>
</comments>
</file>

<file path=xl/sharedStrings.xml><?xml version="1.0" encoding="utf-8"?>
<sst xmlns="http://schemas.openxmlformats.org/spreadsheetml/2006/main" count="217" uniqueCount="178">
  <si>
    <t>Price</t>
  </si>
  <si>
    <t>Shares</t>
  </si>
  <si>
    <t>MC</t>
  </si>
  <si>
    <t>Cash</t>
  </si>
  <si>
    <t>Debt</t>
  </si>
  <si>
    <t>EV</t>
  </si>
  <si>
    <t>Q116</t>
  </si>
  <si>
    <t>Main</t>
  </si>
  <si>
    <t>Opdivo</t>
  </si>
  <si>
    <t>Q114</t>
  </si>
  <si>
    <t>Q214</t>
  </si>
  <si>
    <t>Q314</t>
  </si>
  <si>
    <t>Q414</t>
  </si>
  <si>
    <t>Q115</t>
  </si>
  <si>
    <t>Q215</t>
  </si>
  <si>
    <t>Q315</t>
  </si>
  <si>
    <t>Q415</t>
  </si>
  <si>
    <t>Q216</t>
  </si>
  <si>
    <t>Q316</t>
  </si>
  <si>
    <t>Q416</t>
  </si>
  <si>
    <t>Empliciti</t>
  </si>
  <si>
    <t>Erbitux</t>
  </si>
  <si>
    <t>Sprycel</t>
  </si>
  <si>
    <t>Yervoy</t>
  </si>
  <si>
    <t>Eliquis</t>
  </si>
  <si>
    <t>Orencia</t>
  </si>
  <si>
    <t>Baraclude</t>
  </si>
  <si>
    <t>Reyataz</t>
  </si>
  <si>
    <t>Sustiva</t>
  </si>
  <si>
    <t>Abilify</t>
  </si>
  <si>
    <t>Revenue</t>
  </si>
  <si>
    <t>Other</t>
  </si>
  <si>
    <t>Gross Margin</t>
  </si>
  <si>
    <t>Gross Profit</t>
  </si>
  <si>
    <t>COGS</t>
  </si>
  <si>
    <t>R&amp;D</t>
  </si>
  <si>
    <t>Operating Expenses</t>
  </si>
  <si>
    <t>Operating Income</t>
  </si>
  <si>
    <t>Interest Income</t>
  </si>
  <si>
    <t>Pretax Income</t>
  </si>
  <si>
    <t>Taxes</t>
  </si>
  <si>
    <t>Net Income</t>
  </si>
  <si>
    <t>EPS</t>
  </si>
  <si>
    <t>Brand</t>
  </si>
  <si>
    <t>Generic</t>
  </si>
  <si>
    <t>nivolumab</t>
  </si>
  <si>
    <t>Indication</t>
  </si>
  <si>
    <t>Melanoma</t>
  </si>
  <si>
    <t>Approval</t>
  </si>
  <si>
    <t>Mechanism</t>
  </si>
  <si>
    <t>Revenue Growth</t>
  </si>
  <si>
    <t>Tax Rate</t>
  </si>
  <si>
    <t>A/R</t>
  </si>
  <si>
    <t>Net Cash</t>
  </si>
  <si>
    <t>LAG3</t>
  </si>
  <si>
    <t>Phase</t>
  </si>
  <si>
    <t>I</t>
  </si>
  <si>
    <t>lirilumab</t>
  </si>
  <si>
    <t>KIR</t>
  </si>
  <si>
    <t>urelumab</t>
  </si>
  <si>
    <t>CD137</t>
  </si>
  <si>
    <t>CSF1R</t>
  </si>
  <si>
    <t>BTK</t>
  </si>
  <si>
    <t>PDL1</t>
  </si>
  <si>
    <t>BET</t>
  </si>
  <si>
    <t>PROSTVAC</t>
  </si>
  <si>
    <t>BAVA</t>
  </si>
  <si>
    <t>Economics</t>
  </si>
  <si>
    <t>III</t>
  </si>
  <si>
    <t>lulizumab</t>
  </si>
  <si>
    <t>II</t>
  </si>
  <si>
    <t>CD28</t>
  </si>
  <si>
    <t>SLE</t>
  </si>
  <si>
    <t>BMS-931699</t>
  </si>
  <si>
    <t>OA</t>
  </si>
  <si>
    <t>Assets</t>
  </si>
  <si>
    <t>DT</t>
  </si>
  <si>
    <t>Goodwill</t>
  </si>
  <si>
    <t>PP&amp;E</t>
  </si>
  <si>
    <t>Prepaids</t>
  </si>
  <si>
    <t>Inventories</t>
  </si>
  <si>
    <t>AP</t>
  </si>
  <si>
    <t>AL</t>
  </si>
  <si>
    <t>DR</t>
  </si>
  <si>
    <t>Pension</t>
  </si>
  <si>
    <t>L+SE</t>
  </si>
  <si>
    <t>ROIC</t>
  </si>
  <si>
    <t>Discount</t>
  </si>
  <si>
    <t>Maturity</t>
  </si>
  <si>
    <t>NPV</t>
  </si>
  <si>
    <t>Share</t>
  </si>
  <si>
    <t>Q213</t>
  </si>
  <si>
    <t>Q117</t>
  </si>
  <si>
    <t>Q217</t>
  </si>
  <si>
    <t>Q317</t>
  </si>
  <si>
    <t>Q417</t>
  </si>
  <si>
    <t>Opdivo Growth</t>
  </si>
  <si>
    <t>Sprycel Growth</t>
  </si>
  <si>
    <t>Eliquis Growth</t>
  </si>
  <si>
    <t>HCV</t>
  </si>
  <si>
    <t>SE</t>
  </si>
  <si>
    <t>Model NI</t>
  </si>
  <si>
    <t>Reported NI</t>
  </si>
  <si>
    <t>FX</t>
  </si>
  <si>
    <t>CIC</t>
  </si>
  <si>
    <t>CFFF</t>
  </si>
  <si>
    <t>CFFI</t>
  </si>
  <si>
    <t>CFFO</t>
  </si>
  <si>
    <t>D&amp;A</t>
  </si>
  <si>
    <t>SBC</t>
  </si>
  <si>
    <t>Impairment</t>
  </si>
  <si>
    <t>Pension Settlements</t>
  </si>
  <si>
    <t>Divestiture</t>
  </si>
  <si>
    <t>Asset Acquisitions</t>
  </si>
  <si>
    <t>Other Adjustments</t>
  </si>
  <si>
    <t>AR</t>
  </si>
  <si>
    <t>Marketable</t>
  </si>
  <si>
    <t>CapEx</t>
  </si>
  <si>
    <t>Divestitures</t>
  </si>
  <si>
    <t>Acquisitions</t>
  </si>
  <si>
    <t>Borrowings</t>
  </si>
  <si>
    <t>Swaps</t>
  </si>
  <si>
    <t>Issuance of stock</t>
  </si>
  <si>
    <t>Buybacks</t>
  </si>
  <si>
    <t>Dividends</t>
  </si>
  <si>
    <t>Q113</t>
  </si>
  <si>
    <t>Q313</t>
  </si>
  <si>
    <t>Q413</t>
  </si>
  <si>
    <t>Diabetes</t>
  </si>
  <si>
    <t>MS&amp;A</t>
  </si>
  <si>
    <t>A&amp;P</t>
  </si>
  <si>
    <t>Q412</t>
  </si>
  <si>
    <t>Bydureon</t>
  </si>
  <si>
    <t>Byetta</t>
  </si>
  <si>
    <t>Forxiga</t>
  </si>
  <si>
    <t>Onglyza/Kombiglyze</t>
  </si>
  <si>
    <t>Plavix</t>
  </si>
  <si>
    <t>Avapro</t>
  </si>
  <si>
    <t>Nulojix</t>
  </si>
  <si>
    <t>Q312</t>
  </si>
  <si>
    <t>Q212</t>
  </si>
  <si>
    <t>Brand Name</t>
  </si>
  <si>
    <t>Generic Name</t>
  </si>
  <si>
    <t>PD1</t>
  </si>
  <si>
    <t>Clinical Trials</t>
  </si>
  <si>
    <t>CA184-029</t>
  </si>
  <si>
    <t>CA184-169</t>
  </si>
  <si>
    <t>BRAF V600 wild-type unresectable/metastatic Melanoma - monotherapy</t>
  </si>
  <si>
    <t>BRAF V600 mutation-positive unresectable/metastatic Melanoma - monotherapy ACCELERATED APPROVAL</t>
  </si>
  <si>
    <t>Unresectable/metastatic melanoma - combination with Yervoy - ACCELERATED APPROVAL</t>
  </si>
  <si>
    <t>Metastatic post-platinum NSCLC</t>
  </si>
  <si>
    <t>Post-angiogenic RCC</t>
  </si>
  <si>
    <t>Classic Hodgkin's Lymphoma - ACCELERATED APPROVAL</t>
  </si>
  <si>
    <t>PD-1 antibody</t>
  </si>
  <si>
    <t>Ono in Japan?</t>
  </si>
  <si>
    <t>CheckMate Trial</t>
  </si>
  <si>
    <t>016</t>
  </si>
  <si>
    <t>017</t>
  </si>
  <si>
    <t>026</t>
  </si>
  <si>
    <t>032</t>
  </si>
  <si>
    <t>040</t>
  </si>
  <si>
    <t>057</t>
  </si>
  <si>
    <t>064</t>
  </si>
  <si>
    <t>275</t>
  </si>
  <si>
    <t>Metastatic Urothelial</t>
  </si>
  <si>
    <t>HCC</t>
  </si>
  <si>
    <t>141</t>
  </si>
  <si>
    <t>SCCHN</t>
  </si>
  <si>
    <t>NSCLC</t>
  </si>
  <si>
    <t>1L PDL1+ NSCLC</t>
  </si>
  <si>
    <t>142</t>
  </si>
  <si>
    <t>Metastatic Colorectal</t>
  </si>
  <si>
    <t>Glioblastoma</t>
  </si>
  <si>
    <t>548</t>
  </si>
  <si>
    <t>Oncology</t>
  </si>
  <si>
    <t>651</t>
  </si>
  <si>
    <t>714</t>
  </si>
  <si>
    <t>RCC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</si>
</sst>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horizontal="right"/>
    </xf>
    <xf numFmtId="3" fontId="0" fillId="0" borderId="0" xfId="0" applyNumberFormat="1"/>
    <xf numFmtId="0" fontId="2" fillId="0" borderId="0" xfId="1"/>
    <xf numFmtId="3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4" fontId="0" fillId="0" borderId="0" xfId="0" applyNumberFormat="1" applyAlignment="1">
      <alignment horizontal="right"/>
    </xf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9" fontId="0" fillId="0" borderId="0" xfId="0" applyNumberFormat="1" applyAlignment="1">
      <alignment horizontal="right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right"/>
    </xf>
    <xf numFmtId="9" fontId="1" fillId="0" borderId="0" xfId="0" applyNumberFormat="1" applyFont="1" applyAlignment="1">
      <alignment horizontal="right"/>
    </xf>
    <xf numFmtId="0" fontId="2" fillId="0" borderId="4" xfId="1" applyBorder="1"/>
    <xf numFmtId="0" fontId="0" fillId="0" borderId="0" xfId="0" applyFont="1"/>
    <xf numFmtId="0" fontId="0" fillId="0" borderId="0" xfId="0" quotePrefix="1"/>
    <xf numFmtId="0" fontId="0" fillId="0" borderId="0" xfId="0" quotePrefix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19050</xdr:colOff>
      <xdr:row>0</xdr:row>
      <xdr:rowOff>0</xdr:rowOff>
    </xdr:from>
    <xdr:to>
      <xdr:col>19</xdr:col>
      <xdr:colOff>19050</xdr:colOff>
      <xdr:row>103</xdr:row>
      <xdr:rowOff>104775</xdr:rowOff>
    </xdr:to>
    <xdr:cxnSp macro="">
      <xdr:nvCxnSpPr>
        <xdr:cNvPr id="3" name="Straight Connector 2"/>
        <xdr:cNvCxnSpPr/>
      </xdr:nvCxnSpPr>
      <xdr:spPr>
        <a:xfrm>
          <a:off x="7810500" y="0"/>
          <a:ext cx="0" cy="153257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9525</xdr:colOff>
      <xdr:row>0</xdr:row>
      <xdr:rowOff>0</xdr:rowOff>
    </xdr:from>
    <xdr:to>
      <xdr:col>38</xdr:col>
      <xdr:colOff>9525</xdr:colOff>
      <xdr:row>63</xdr:row>
      <xdr:rowOff>47625</xdr:rowOff>
    </xdr:to>
    <xdr:cxnSp macro="">
      <xdr:nvCxnSpPr>
        <xdr:cNvPr id="4" name="Straight Connector 3"/>
        <xdr:cNvCxnSpPr/>
      </xdr:nvCxnSpPr>
      <xdr:spPr>
        <a:xfrm>
          <a:off x="16944975" y="0"/>
          <a:ext cx="0" cy="83058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30"/>
  <sheetViews>
    <sheetView workbookViewId="0">
      <selection activeCell="B3" sqref="B3"/>
    </sheetView>
  </sheetViews>
  <sheetFormatPr defaultRowHeight="12.75" x14ac:dyDescent="0.2"/>
  <cols>
    <col min="1" max="1" width="3.5703125" customWidth="1"/>
    <col min="2" max="2" width="14.140625" customWidth="1"/>
    <col min="3" max="3" width="12.28515625" customWidth="1"/>
    <col min="4" max="4" width="11.7109375" customWidth="1"/>
    <col min="6" max="6" width="13.85546875" customWidth="1"/>
    <col min="7" max="7" width="11.85546875" customWidth="1"/>
  </cols>
  <sheetData>
    <row r="2" spans="2:14" x14ac:dyDescent="0.2">
      <c r="B2" s="8" t="s">
        <v>43</v>
      </c>
      <c r="C2" s="9" t="s">
        <v>44</v>
      </c>
      <c r="D2" s="15" t="s">
        <v>46</v>
      </c>
      <c r="E2" s="15" t="s">
        <v>48</v>
      </c>
      <c r="F2" s="15" t="s">
        <v>49</v>
      </c>
      <c r="G2" s="15" t="s">
        <v>67</v>
      </c>
      <c r="H2" s="15"/>
      <c r="I2" s="16"/>
      <c r="L2" t="s">
        <v>0</v>
      </c>
      <c r="M2">
        <v>55.43</v>
      </c>
    </row>
    <row r="3" spans="2:14" x14ac:dyDescent="0.2">
      <c r="B3" s="25" t="s">
        <v>8</v>
      </c>
      <c r="C3" s="11" t="s">
        <v>45</v>
      </c>
      <c r="D3" s="17" t="s">
        <v>47</v>
      </c>
      <c r="E3" s="17"/>
      <c r="F3" s="17" t="s">
        <v>143</v>
      </c>
      <c r="G3" s="17"/>
      <c r="H3" s="17"/>
      <c r="I3" s="18"/>
      <c r="L3" t="s">
        <v>1</v>
      </c>
      <c r="M3" s="2">
        <v>1670.8585350000001</v>
      </c>
      <c r="N3" s="1" t="s">
        <v>17</v>
      </c>
    </row>
    <row r="4" spans="2:14" x14ac:dyDescent="0.2">
      <c r="B4" s="10" t="s">
        <v>22</v>
      </c>
      <c r="C4" s="11"/>
      <c r="D4" s="17"/>
      <c r="E4" s="17"/>
      <c r="F4" s="17"/>
      <c r="G4" s="17"/>
      <c r="H4" s="17"/>
      <c r="I4" s="18"/>
      <c r="L4" t="s">
        <v>2</v>
      </c>
      <c r="M4" s="2">
        <f>+M3*M2</f>
        <v>92615.68859505</v>
      </c>
      <c r="N4" s="1"/>
    </row>
    <row r="5" spans="2:14" x14ac:dyDescent="0.2">
      <c r="B5" s="10" t="s">
        <v>24</v>
      </c>
      <c r="C5" s="11"/>
      <c r="D5" s="17"/>
      <c r="E5" s="17"/>
      <c r="F5" s="17"/>
      <c r="G5" s="17"/>
      <c r="H5" s="17"/>
      <c r="I5" s="18"/>
      <c r="L5" t="s">
        <v>3</v>
      </c>
      <c r="M5" s="2">
        <f>2934+1717+3281</f>
        <v>7932</v>
      </c>
      <c r="N5" s="1" t="s">
        <v>17</v>
      </c>
    </row>
    <row r="6" spans="2:14" x14ac:dyDescent="0.2">
      <c r="B6" s="10"/>
      <c r="C6" s="11"/>
      <c r="D6" s="17"/>
      <c r="E6" s="17"/>
      <c r="F6" s="17"/>
      <c r="G6" s="17"/>
      <c r="H6" s="17"/>
      <c r="I6" s="18"/>
      <c r="L6" t="s">
        <v>4</v>
      </c>
      <c r="M6" s="2">
        <f>6581+155</f>
        <v>6736</v>
      </c>
      <c r="N6" s="1" t="s">
        <v>17</v>
      </c>
    </row>
    <row r="7" spans="2:14" x14ac:dyDescent="0.2">
      <c r="B7" s="10"/>
      <c r="C7" s="11"/>
      <c r="D7" s="17"/>
      <c r="E7" s="17"/>
      <c r="F7" s="17"/>
      <c r="G7" s="17"/>
      <c r="H7" s="17"/>
      <c r="I7" s="18"/>
      <c r="L7" t="s">
        <v>5</v>
      </c>
      <c r="M7" s="2">
        <f>+M4-M5+M6</f>
        <v>91419.68859505</v>
      </c>
    </row>
    <row r="8" spans="2:14" x14ac:dyDescent="0.2">
      <c r="B8" s="10"/>
      <c r="C8" s="11"/>
      <c r="D8" s="17"/>
      <c r="E8" s="17"/>
      <c r="F8" s="17"/>
      <c r="G8" s="17"/>
      <c r="H8" s="17"/>
      <c r="I8" s="18"/>
    </row>
    <row r="9" spans="2:14" x14ac:dyDescent="0.2">
      <c r="B9" s="10"/>
      <c r="C9" s="11"/>
      <c r="D9" s="17"/>
      <c r="E9" s="17"/>
      <c r="F9" s="17"/>
      <c r="G9" s="17"/>
      <c r="H9" s="17"/>
      <c r="I9" s="18"/>
    </row>
    <row r="10" spans="2:14" x14ac:dyDescent="0.2">
      <c r="B10" s="10"/>
      <c r="C10" s="11"/>
      <c r="D10" s="17"/>
      <c r="E10" s="17"/>
      <c r="F10" s="17"/>
      <c r="G10" s="17"/>
      <c r="H10" s="17"/>
      <c r="I10" s="18"/>
    </row>
    <row r="11" spans="2:14" x14ac:dyDescent="0.2">
      <c r="B11" s="10"/>
      <c r="C11" s="11"/>
      <c r="D11" s="17"/>
      <c r="E11" s="17"/>
      <c r="F11" s="17"/>
      <c r="G11" s="17"/>
      <c r="H11" s="17"/>
      <c r="I11" s="18"/>
    </row>
    <row r="12" spans="2:14" x14ac:dyDescent="0.2">
      <c r="B12" s="10"/>
      <c r="C12" s="11"/>
      <c r="D12" s="17"/>
      <c r="E12" s="17"/>
      <c r="F12" s="17"/>
      <c r="G12" s="17"/>
      <c r="H12" s="17"/>
      <c r="I12" s="18"/>
    </row>
    <row r="13" spans="2:14" x14ac:dyDescent="0.2">
      <c r="B13" s="10"/>
      <c r="C13" s="11"/>
      <c r="D13" s="17"/>
      <c r="E13" s="17"/>
      <c r="F13" s="17"/>
      <c r="G13" s="17"/>
      <c r="H13" s="17"/>
      <c r="I13" s="18"/>
    </row>
    <row r="14" spans="2:14" x14ac:dyDescent="0.2">
      <c r="B14" s="8"/>
      <c r="C14" s="9"/>
      <c r="D14" s="15"/>
      <c r="E14" s="15" t="s">
        <v>55</v>
      </c>
      <c r="F14" s="15"/>
      <c r="G14" s="15"/>
      <c r="H14" s="15"/>
      <c r="I14" s="16"/>
    </row>
    <row r="15" spans="2:14" x14ac:dyDescent="0.2">
      <c r="B15" s="10" t="s">
        <v>65</v>
      </c>
      <c r="C15" s="11"/>
      <c r="D15" s="17"/>
      <c r="E15" s="17" t="s">
        <v>68</v>
      </c>
      <c r="F15" s="17"/>
      <c r="G15" s="17" t="s">
        <v>66</v>
      </c>
      <c r="H15" s="17"/>
      <c r="I15" s="18"/>
    </row>
    <row r="16" spans="2:14" x14ac:dyDescent="0.2">
      <c r="B16" s="10" t="s">
        <v>73</v>
      </c>
      <c r="C16" s="11" t="s">
        <v>69</v>
      </c>
      <c r="D16" s="17" t="s">
        <v>72</v>
      </c>
      <c r="E16" s="17" t="s">
        <v>70</v>
      </c>
      <c r="F16" s="17" t="s">
        <v>71</v>
      </c>
      <c r="G16" s="17"/>
      <c r="H16" s="17"/>
      <c r="I16" s="18"/>
    </row>
    <row r="17" spans="2:9" x14ac:dyDescent="0.2">
      <c r="B17" s="10" t="s">
        <v>61</v>
      </c>
      <c r="C17" s="11"/>
      <c r="D17" s="17"/>
      <c r="E17" s="17" t="s">
        <v>56</v>
      </c>
      <c r="F17" s="17" t="s">
        <v>61</v>
      </c>
      <c r="G17" s="17"/>
      <c r="H17" s="17"/>
      <c r="I17" s="18"/>
    </row>
    <row r="18" spans="2:9" x14ac:dyDescent="0.2">
      <c r="B18" s="10" t="s">
        <v>59</v>
      </c>
      <c r="C18" s="11"/>
      <c r="D18" s="17"/>
      <c r="E18" s="17" t="s">
        <v>56</v>
      </c>
      <c r="F18" s="17" t="s">
        <v>60</v>
      </c>
      <c r="G18" s="17"/>
      <c r="H18" s="17"/>
      <c r="I18" s="18"/>
    </row>
    <row r="19" spans="2:9" x14ac:dyDescent="0.2">
      <c r="B19" s="10"/>
      <c r="C19" s="11" t="s">
        <v>57</v>
      </c>
      <c r="D19" s="17" t="s">
        <v>174</v>
      </c>
      <c r="E19" s="17" t="s">
        <v>56</v>
      </c>
      <c r="F19" s="17" t="s">
        <v>58</v>
      </c>
      <c r="G19" s="17"/>
      <c r="H19" s="17"/>
      <c r="I19" s="18"/>
    </row>
    <row r="20" spans="2:9" x14ac:dyDescent="0.2">
      <c r="B20" s="10" t="s">
        <v>54</v>
      </c>
      <c r="C20" s="11"/>
      <c r="D20" s="17"/>
      <c r="E20" s="17" t="s">
        <v>56</v>
      </c>
      <c r="F20" s="17" t="s">
        <v>54</v>
      </c>
      <c r="G20" s="17"/>
      <c r="H20" s="17"/>
      <c r="I20" s="18"/>
    </row>
    <row r="21" spans="2:9" x14ac:dyDescent="0.2">
      <c r="B21" s="10" t="s">
        <v>62</v>
      </c>
      <c r="C21" s="11"/>
      <c r="D21" s="17"/>
      <c r="E21" s="19" t="s">
        <v>56</v>
      </c>
      <c r="F21" s="19" t="s">
        <v>62</v>
      </c>
      <c r="G21" s="17"/>
      <c r="H21" s="17"/>
      <c r="I21" s="18"/>
    </row>
    <row r="22" spans="2:9" x14ac:dyDescent="0.2">
      <c r="B22" s="10" t="s">
        <v>63</v>
      </c>
      <c r="C22" s="11"/>
      <c r="D22" s="17"/>
      <c r="E22" s="19" t="s">
        <v>56</v>
      </c>
      <c r="F22" s="19" t="s">
        <v>63</v>
      </c>
      <c r="G22" s="17"/>
      <c r="H22" s="17"/>
      <c r="I22" s="18"/>
    </row>
    <row r="23" spans="2:9" x14ac:dyDescent="0.2">
      <c r="B23" s="10" t="s">
        <v>64</v>
      </c>
      <c r="C23" s="11"/>
      <c r="D23" s="17"/>
      <c r="E23" s="19" t="s">
        <v>56</v>
      </c>
      <c r="F23" s="19" t="s">
        <v>64</v>
      </c>
      <c r="G23" s="17"/>
      <c r="H23" s="17"/>
      <c r="I23" s="18"/>
    </row>
    <row r="24" spans="2:9" x14ac:dyDescent="0.2">
      <c r="B24" s="10"/>
      <c r="C24" s="11"/>
      <c r="D24" s="17"/>
      <c r="E24" s="17"/>
      <c r="F24" s="17"/>
      <c r="G24" s="17"/>
      <c r="H24" s="17"/>
      <c r="I24" s="18"/>
    </row>
    <row r="25" spans="2:9" x14ac:dyDescent="0.2">
      <c r="B25" s="10"/>
      <c r="C25" s="11"/>
      <c r="D25" s="17"/>
      <c r="E25" s="17"/>
      <c r="F25" s="17"/>
      <c r="G25" s="17"/>
      <c r="H25" s="17"/>
      <c r="I25" s="18"/>
    </row>
    <row r="26" spans="2:9" x14ac:dyDescent="0.2">
      <c r="B26" s="10"/>
      <c r="C26" s="11"/>
      <c r="D26" s="17"/>
      <c r="E26" s="17"/>
      <c r="F26" s="17"/>
      <c r="G26" s="17"/>
      <c r="H26" s="17"/>
      <c r="I26" s="18"/>
    </row>
    <row r="27" spans="2:9" x14ac:dyDescent="0.2">
      <c r="B27" s="10"/>
      <c r="C27" s="11"/>
      <c r="D27" s="17"/>
      <c r="E27" s="17"/>
      <c r="F27" s="17"/>
      <c r="G27" s="17"/>
      <c r="H27" s="17"/>
      <c r="I27" s="18"/>
    </row>
    <row r="28" spans="2:9" x14ac:dyDescent="0.2">
      <c r="B28" s="10"/>
      <c r="C28" s="11"/>
      <c r="D28" s="17"/>
      <c r="E28" s="17"/>
      <c r="F28" s="17"/>
      <c r="G28" s="17"/>
      <c r="H28" s="17"/>
      <c r="I28" s="18"/>
    </row>
    <row r="29" spans="2:9" x14ac:dyDescent="0.2">
      <c r="B29" s="10"/>
      <c r="C29" s="11"/>
      <c r="D29" s="17"/>
      <c r="E29" s="17"/>
      <c r="F29" s="17"/>
      <c r="G29" s="17"/>
      <c r="H29" s="17"/>
      <c r="I29" s="18"/>
    </row>
    <row r="30" spans="2:9" x14ac:dyDescent="0.2">
      <c r="B30" s="12"/>
      <c r="C30" s="13"/>
      <c r="D30" s="20"/>
      <c r="E30" s="20"/>
      <c r="F30" s="20"/>
      <c r="G30" s="20"/>
      <c r="H30" s="20"/>
      <c r="I30" s="21"/>
    </row>
  </sheetData>
  <hyperlinks>
    <hyperlink ref="B3" location="Opdivo!A1" display="Opdivo"/>
  </hyperlink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W97"/>
  <sheetViews>
    <sheetView workbookViewId="0">
      <pane xSplit="2" ySplit="2" topLeftCell="P3" activePane="bottomRight" state="frozen"/>
      <selection pane="topRight" activeCell="C1" sqref="C1"/>
      <selection pane="bottomLeft" activeCell="A3" sqref="A3"/>
      <selection pane="bottomRight"/>
    </sheetView>
  </sheetViews>
  <sheetFormatPr defaultRowHeight="12.75" x14ac:dyDescent="0.2"/>
  <cols>
    <col min="1" max="1" width="5" bestFit="1" customWidth="1"/>
    <col min="2" max="2" width="20.42578125" bestFit="1" customWidth="1"/>
    <col min="3" max="5" width="9" customWidth="1"/>
    <col min="6" max="10" width="8.85546875" style="1" customWidth="1"/>
    <col min="11" max="55" width="9.140625" style="1"/>
    <col min="56" max="56" width="10.7109375" style="1" bestFit="1" customWidth="1"/>
    <col min="57" max="67" width="9.140625" style="1"/>
  </cols>
  <sheetData>
    <row r="1" spans="1:68" x14ac:dyDescent="0.2">
      <c r="A1" s="3" t="s">
        <v>7</v>
      </c>
    </row>
    <row r="2" spans="1:68" x14ac:dyDescent="0.2">
      <c r="C2" s="1" t="s">
        <v>140</v>
      </c>
      <c r="D2" s="1" t="s">
        <v>139</v>
      </c>
      <c r="E2" s="1" t="s">
        <v>131</v>
      </c>
      <c r="F2" s="1" t="s">
        <v>125</v>
      </c>
      <c r="G2" s="1" t="s">
        <v>91</v>
      </c>
      <c r="H2" s="1" t="s">
        <v>126</v>
      </c>
      <c r="I2" s="1" t="s">
        <v>127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6</v>
      </c>
      <c r="S2" s="1" t="s">
        <v>17</v>
      </c>
      <c r="T2" s="1" t="s">
        <v>18</v>
      </c>
      <c r="U2" s="1" t="s">
        <v>19</v>
      </c>
      <c r="V2" s="1" t="s">
        <v>92</v>
      </c>
      <c r="W2" s="1" t="s">
        <v>93</v>
      </c>
      <c r="X2" s="1" t="s">
        <v>94</v>
      </c>
      <c r="Y2" s="1" t="s">
        <v>95</v>
      </c>
      <c r="AA2" s="1">
        <v>2005</v>
      </c>
      <c r="AB2" s="1">
        <f>+AA2+1</f>
        <v>2006</v>
      </c>
      <c r="AC2" s="1">
        <f t="shared" ref="AC2:BP2" si="0">+AB2+1</f>
        <v>2007</v>
      </c>
      <c r="AD2" s="1">
        <f t="shared" si="0"/>
        <v>2008</v>
      </c>
      <c r="AE2" s="1">
        <f t="shared" si="0"/>
        <v>2009</v>
      </c>
      <c r="AF2" s="1">
        <f t="shared" si="0"/>
        <v>2010</v>
      </c>
      <c r="AG2" s="1">
        <f t="shared" si="0"/>
        <v>2011</v>
      </c>
      <c r="AH2" s="1">
        <f t="shared" si="0"/>
        <v>2012</v>
      </c>
      <c r="AI2" s="1">
        <f t="shared" si="0"/>
        <v>2013</v>
      </c>
      <c r="AJ2" s="1">
        <f t="shared" si="0"/>
        <v>2014</v>
      </c>
      <c r="AK2" s="1">
        <f t="shared" si="0"/>
        <v>2015</v>
      </c>
      <c r="AL2" s="1">
        <f t="shared" si="0"/>
        <v>2016</v>
      </c>
      <c r="AM2" s="1">
        <f t="shared" si="0"/>
        <v>2017</v>
      </c>
      <c r="AN2" s="1">
        <f t="shared" si="0"/>
        <v>2018</v>
      </c>
      <c r="AO2" s="1">
        <f t="shared" si="0"/>
        <v>2019</v>
      </c>
      <c r="AP2" s="1">
        <f t="shared" si="0"/>
        <v>2020</v>
      </c>
      <c r="AQ2" s="1">
        <f t="shared" si="0"/>
        <v>2021</v>
      </c>
      <c r="AR2" s="1">
        <f t="shared" si="0"/>
        <v>2022</v>
      </c>
      <c r="AS2" s="1">
        <f t="shared" si="0"/>
        <v>2023</v>
      </c>
      <c r="AT2" s="1">
        <f t="shared" si="0"/>
        <v>2024</v>
      </c>
      <c r="AU2" s="1">
        <f t="shared" si="0"/>
        <v>2025</v>
      </c>
      <c r="AV2" s="1">
        <f t="shared" si="0"/>
        <v>2026</v>
      </c>
      <c r="AW2" s="1">
        <f t="shared" si="0"/>
        <v>2027</v>
      </c>
      <c r="AX2" s="1">
        <f t="shared" si="0"/>
        <v>2028</v>
      </c>
      <c r="AY2" s="1">
        <f t="shared" si="0"/>
        <v>2029</v>
      </c>
      <c r="AZ2" s="1">
        <f t="shared" si="0"/>
        <v>2030</v>
      </c>
      <c r="BA2" s="1">
        <f t="shared" si="0"/>
        <v>2031</v>
      </c>
      <c r="BB2" s="1">
        <f t="shared" si="0"/>
        <v>2032</v>
      </c>
      <c r="BC2" s="1">
        <f t="shared" si="0"/>
        <v>2033</v>
      </c>
      <c r="BD2" s="1">
        <f t="shared" si="0"/>
        <v>2034</v>
      </c>
      <c r="BE2" s="1">
        <f t="shared" si="0"/>
        <v>2035</v>
      </c>
      <c r="BF2" s="1">
        <f t="shared" si="0"/>
        <v>2036</v>
      </c>
      <c r="BG2" s="1">
        <f t="shared" si="0"/>
        <v>2037</v>
      </c>
      <c r="BH2" s="1">
        <f t="shared" si="0"/>
        <v>2038</v>
      </c>
      <c r="BI2" s="1">
        <f t="shared" si="0"/>
        <v>2039</v>
      </c>
      <c r="BJ2" s="1">
        <f t="shared" si="0"/>
        <v>2040</v>
      </c>
      <c r="BK2" s="1">
        <f t="shared" si="0"/>
        <v>2041</v>
      </c>
      <c r="BL2" s="1">
        <f t="shared" si="0"/>
        <v>2042</v>
      </c>
      <c r="BM2" s="1">
        <f t="shared" si="0"/>
        <v>2043</v>
      </c>
      <c r="BN2" s="1">
        <f t="shared" si="0"/>
        <v>2044</v>
      </c>
      <c r="BO2" s="1">
        <f t="shared" si="0"/>
        <v>2045</v>
      </c>
      <c r="BP2">
        <f t="shared" si="0"/>
        <v>2046</v>
      </c>
    </row>
    <row r="3" spans="1:68" s="2" customFormat="1" x14ac:dyDescent="0.2">
      <c r="B3" s="2" t="s">
        <v>8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1</v>
      </c>
      <c r="M3" s="4">
        <v>5</v>
      </c>
      <c r="N3" s="4">
        <v>40</v>
      </c>
      <c r="O3" s="4">
        <v>122</v>
      </c>
      <c r="P3" s="4">
        <v>305</v>
      </c>
      <c r="Q3" s="4">
        <v>475</v>
      </c>
      <c r="R3" s="4">
        <v>704</v>
      </c>
      <c r="S3" s="4">
        <v>840</v>
      </c>
      <c r="T3" s="4">
        <f t="shared" ref="T3:U3" si="1">+S3+75</f>
        <v>915</v>
      </c>
      <c r="U3" s="4">
        <f t="shared" si="1"/>
        <v>990</v>
      </c>
      <c r="V3" s="4">
        <f>+U3+50</f>
        <v>1040</v>
      </c>
      <c r="W3" s="4">
        <f t="shared" ref="W3:Y3" si="2">+V3+50</f>
        <v>1090</v>
      </c>
      <c r="X3" s="4">
        <f t="shared" si="2"/>
        <v>1140</v>
      </c>
      <c r="Y3" s="4">
        <f t="shared" si="2"/>
        <v>1190</v>
      </c>
      <c r="Z3" s="4"/>
      <c r="AI3" s="2">
        <f>SUM(F3:I3)</f>
        <v>0</v>
      </c>
      <c r="AJ3" s="2">
        <f>SUM(J3:M3)</f>
        <v>6</v>
      </c>
      <c r="AK3" s="4">
        <f>SUM(N3:Q3)</f>
        <v>942</v>
      </c>
      <c r="AL3" s="4">
        <f>SUM(R3:U3)</f>
        <v>3449</v>
      </c>
      <c r="AM3" s="4">
        <f>+AL3*1.5</f>
        <v>5173.5</v>
      </c>
      <c r="AN3" s="4">
        <f>+AM3*1.3</f>
        <v>6725.55</v>
      </c>
      <c r="AO3" s="4">
        <f>+AN3*1.2</f>
        <v>8070.66</v>
      </c>
      <c r="AP3" s="4">
        <f>+AO3*1.05</f>
        <v>8474.1929999999993</v>
      </c>
      <c r="AQ3" s="4">
        <f>+AP3*1.05</f>
        <v>8897.90265</v>
      </c>
      <c r="AR3" s="4">
        <f>+AQ3*1.05</f>
        <v>9342.7977824999998</v>
      </c>
      <c r="AS3" s="4">
        <f>+AR3*1.01</f>
        <v>9436.225760325</v>
      </c>
      <c r="AT3" s="4">
        <f t="shared" ref="AT3:AZ3" si="3">+AS3*1.01</f>
        <v>9530.5880179282503</v>
      </c>
      <c r="AU3" s="4">
        <f t="shared" si="3"/>
        <v>9625.8938981075335</v>
      </c>
      <c r="AV3" s="4">
        <f t="shared" si="3"/>
        <v>9722.1528370886081</v>
      </c>
      <c r="AW3" s="4">
        <f t="shared" si="3"/>
        <v>9819.3743654594946</v>
      </c>
      <c r="AX3" s="4">
        <f t="shared" si="3"/>
        <v>9917.5681091140905</v>
      </c>
      <c r="AY3" s="4">
        <f t="shared" si="3"/>
        <v>10016.743790205232</v>
      </c>
      <c r="AZ3" s="4">
        <f t="shared" si="3"/>
        <v>10116.911228107285</v>
      </c>
      <c r="BA3" s="4">
        <f t="shared" ref="BA3:BE3" si="4">+AZ3*0.95</f>
        <v>9611.0656667019193</v>
      </c>
      <c r="BB3" s="4">
        <f t="shared" si="4"/>
        <v>9130.5123833668222</v>
      </c>
      <c r="BC3" s="4">
        <f t="shared" si="4"/>
        <v>8673.9867641984802</v>
      </c>
      <c r="BD3" s="4">
        <f t="shared" si="4"/>
        <v>8240.2874259885557</v>
      </c>
      <c r="BE3" s="4">
        <f t="shared" si="4"/>
        <v>7828.2730546891271</v>
      </c>
      <c r="BF3" s="4"/>
      <c r="BG3" s="4"/>
      <c r="BH3" s="4"/>
      <c r="BI3" s="4"/>
      <c r="BJ3" s="4"/>
      <c r="BK3" s="4"/>
      <c r="BL3" s="4"/>
      <c r="BM3" s="4"/>
      <c r="BN3" s="4"/>
      <c r="BO3" s="4"/>
    </row>
    <row r="4" spans="1:68" s="2" customFormat="1" x14ac:dyDescent="0.2">
      <c r="B4" s="2" t="s">
        <v>24</v>
      </c>
      <c r="C4" s="4">
        <v>1</v>
      </c>
      <c r="D4" s="4">
        <v>0</v>
      </c>
      <c r="E4" s="4">
        <v>1</v>
      </c>
      <c r="F4" s="4">
        <v>22</v>
      </c>
      <c r="G4" s="4">
        <v>12</v>
      </c>
      <c r="H4" s="4">
        <v>41</v>
      </c>
      <c r="I4" s="4">
        <v>71</v>
      </c>
      <c r="J4" s="4">
        <v>106</v>
      </c>
      <c r="K4" s="4">
        <v>171</v>
      </c>
      <c r="L4" s="4">
        <v>216</v>
      </c>
      <c r="M4" s="4">
        <v>281</v>
      </c>
      <c r="N4" s="4">
        <v>355</v>
      </c>
      <c r="O4" s="4">
        <v>437</v>
      </c>
      <c r="P4" s="4">
        <v>466</v>
      </c>
      <c r="Q4" s="4">
        <v>602</v>
      </c>
      <c r="R4" s="4">
        <v>734</v>
      </c>
      <c r="S4" s="4">
        <v>777</v>
      </c>
      <c r="T4" s="4">
        <f t="shared" ref="T4:U4" si="5">+S4+50</f>
        <v>827</v>
      </c>
      <c r="U4" s="4">
        <f t="shared" si="5"/>
        <v>877</v>
      </c>
      <c r="V4" s="4">
        <f>+R4*1.1</f>
        <v>807.40000000000009</v>
      </c>
      <c r="W4" s="4">
        <f t="shared" ref="W4:Y4" si="6">+S4*1.1</f>
        <v>854.7</v>
      </c>
      <c r="X4" s="4">
        <f t="shared" si="6"/>
        <v>909.7</v>
      </c>
      <c r="Y4" s="4">
        <f t="shared" si="6"/>
        <v>964.7</v>
      </c>
      <c r="Z4" s="4"/>
      <c r="AA4" s="4"/>
      <c r="AB4" s="4"/>
      <c r="AC4" s="4"/>
      <c r="AD4" s="4"/>
      <c r="AE4" s="4"/>
      <c r="AF4" s="4"/>
      <c r="AG4" s="4"/>
      <c r="AH4" s="4"/>
      <c r="AI4" s="2">
        <f t="shared" ref="AI4:AI23" si="7">SUM(F4:I4)</f>
        <v>146</v>
      </c>
      <c r="AJ4" s="2">
        <f t="shared" ref="AJ4:AJ23" si="8">SUM(J4:M4)</f>
        <v>774</v>
      </c>
      <c r="AK4" s="4">
        <f t="shared" ref="AK4:AK23" si="9">SUM(N4:Q4)</f>
        <v>1860</v>
      </c>
      <c r="AL4" s="4">
        <f t="shared" ref="AL4:AL23" si="10">SUM(R4:U4)</f>
        <v>3215</v>
      </c>
      <c r="AM4" s="4">
        <f>+AL4*1.05</f>
        <v>3375.75</v>
      </c>
      <c r="AN4" s="4">
        <f t="shared" ref="AN4:AR4" si="11">+AM4*1.05</f>
        <v>3544.5375000000004</v>
      </c>
      <c r="AO4" s="4">
        <f t="shared" si="11"/>
        <v>3721.7643750000007</v>
      </c>
      <c r="AP4" s="4">
        <f t="shared" si="11"/>
        <v>3907.8525937500008</v>
      </c>
      <c r="AQ4" s="4">
        <f t="shared" si="11"/>
        <v>4103.2452234375014</v>
      </c>
      <c r="AR4" s="4">
        <f t="shared" si="11"/>
        <v>4308.4074846093763</v>
      </c>
      <c r="AS4" s="4">
        <f>+AR4*0.5</f>
        <v>2154.2037423046881</v>
      </c>
      <c r="AT4" s="4">
        <f>+AS4*0.1</f>
        <v>215.42037423046884</v>
      </c>
      <c r="AU4" s="4">
        <f>+AT4*0.1</f>
        <v>21.542037423046885</v>
      </c>
      <c r="AV4" s="4">
        <f t="shared" ref="AV4:AY4" si="12">+AU4*0.1</f>
        <v>2.1542037423046887</v>
      </c>
      <c r="AW4" s="4">
        <f t="shared" si="12"/>
        <v>0.21542037423046889</v>
      </c>
      <c r="AX4" s="4">
        <f t="shared" si="12"/>
        <v>2.1542037423046889E-2</v>
      </c>
      <c r="AY4" s="4">
        <f t="shared" si="12"/>
        <v>2.154203742304689E-3</v>
      </c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</row>
    <row r="5" spans="1:68" s="2" customFormat="1" x14ac:dyDescent="0.2">
      <c r="B5" s="2" t="s">
        <v>22</v>
      </c>
      <c r="C5" s="4">
        <v>244</v>
      </c>
      <c r="D5" s="4">
        <v>263</v>
      </c>
      <c r="E5" s="4">
        <v>281</v>
      </c>
      <c r="F5" s="4">
        <v>287</v>
      </c>
      <c r="G5" s="4">
        <v>312</v>
      </c>
      <c r="H5" s="4">
        <v>316</v>
      </c>
      <c r="I5" s="4">
        <v>365</v>
      </c>
      <c r="J5" s="4">
        <v>342</v>
      </c>
      <c r="K5" s="4">
        <v>368</v>
      </c>
      <c r="L5" s="4">
        <v>385</v>
      </c>
      <c r="M5" s="4">
        <v>398</v>
      </c>
      <c r="N5" s="4">
        <v>375</v>
      </c>
      <c r="O5" s="4">
        <v>405</v>
      </c>
      <c r="P5" s="4">
        <v>411</v>
      </c>
      <c r="Q5" s="4">
        <v>429</v>
      </c>
      <c r="R5" s="4">
        <v>407</v>
      </c>
      <c r="S5" s="4">
        <v>451</v>
      </c>
      <c r="T5" s="4">
        <f t="shared" ref="T5:U5" si="13">+S5+5</f>
        <v>456</v>
      </c>
      <c r="U5" s="4">
        <f t="shared" si="13"/>
        <v>461</v>
      </c>
      <c r="V5" s="4">
        <f>+R5*1.05</f>
        <v>427.35</v>
      </c>
      <c r="W5" s="4">
        <f t="shared" ref="W5:Y5" si="14">+S5*1.05</f>
        <v>473.55</v>
      </c>
      <c r="X5" s="4">
        <f t="shared" si="14"/>
        <v>478.8</v>
      </c>
      <c r="Y5" s="4">
        <f t="shared" si="14"/>
        <v>484.05</v>
      </c>
      <c r="Z5" s="4"/>
      <c r="AA5" s="4"/>
      <c r="AB5" s="4"/>
      <c r="AC5" s="4"/>
      <c r="AD5" s="4"/>
      <c r="AE5" s="4"/>
      <c r="AF5" s="4"/>
      <c r="AG5" s="4"/>
      <c r="AH5" s="4"/>
      <c r="AI5" s="2">
        <f t="shared" si="7"/>
        <v>1280</v>
      </c>
      <c r="AJ5" s="2">
        <f t="shared" si="8"/>
        <v>1493</v>
      </c>
      <c r="AK5" s="4">
        <f t="shared" si="9"/>
        <v>1620</v>
      </c>
      <c r="AL5" s="4">
        <f t="shared" si="10"/>
        <v>1775</v>
      </c>
      <c r="AM5" s="4">
        <f>+AL5*1.05</f>
        <v>1863.75</v>
      </c>
      <c r="AN5" s="4">
        <f>+AM5*1.05</f>
        <v>1956.9375</v>
      </c>
      <c r="AO5" s="4">
        <f>+AN5*1.05</f>
        <v>2054.7843750000002</v>
      </c>
      <c r="AP5" s="4">
        <f>+AO5*1.05</f>
        <v>2157.5235937500001</v>
      </c>
      <c r="AQ5" s="4">
        <f>+AP5*1.05</f>
        <v>2265.3997734375002</v>
      </c>
      <c r="AR5" s="4">
        <f>+AQ5*1.05</f>
        <v>2378.6697621093754</v>
      </c>
      <c r="AS5" s="4">
        <f>+AR5*1.05</f>
        <v>2497.6032502148441</v>
      </c>
      <c r="AT5" s="4">
        <f>+AS5*0.1</f>
        <v>249.76032502148442</v>
      </c>
      <c r="AU5" s="4">
        <f>+AT5*0.1</f>
        <v>24.976032502148442</v>
      </c>
      <c r="AV5" s="4">
        <f>+AU5*0.1</f>
        <v>2.4976032502148442</v>
      </c>
      <c r="AW5" s="4">
        <f>+AV5*0.1</f>
        <v>0.24976032502148443</v>
      </c>
      <c r="AX5" s="4">
        <f>+AW5*0.1</f>
        <v>2.4976032502148443E-2</v>
      </c>
      <c r="AY5" s="4">
        <f>+AX5*0.1</f>
        <v>2.4976032502148447E-3</v>
      </c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</row>
    <row r="6" spans="1:68" s="2" customFormat="1" x14ac:dyDescent="0.2">
      <c r="B6" s="2" t="s">
        <v>20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3</v>
      </c>
      <c r="R6" s="4">
        <v>28</v>
      </c>
      <c r="S6" s="4">
        <v>34</v>
      </c>
      <c r="T6" s="4">
        <f t="shared" ref="T6:U6" si="15">+S6+20</f>
        <v>54</v>
      </c>
      <c r="U6" s="4">
        <f t="shared" si="15"/>
        <v>74</v>
      </c>
      <c r="V6" s="4">
        <f>+U6+5</f>
        <v>79</v>
      </c>
      <c r="W6" s="4">
        <f t="shared" ref="W6:Y6" si="16">+V6+5</f>
        <v>84</v>
      </c>
      <c r="X6" s="4">
        <f t="shared" si="16"/>
        <v>89</v>
      </c>
      <c r="Y6" s="4">
        <f t="shared" si="16"/>
        <v>94</v>
      </c>
      <c r="Z6" s="4"/>
      <c r="AA6" s="4"/>
      <c r="AB6" s="4"/>
      <c r="AC6" s="4"/>
      <c r="AD6" s="4"/>
      <c r="AE6" s="4"/>
      <c r="AF6" s="4"/>
      <c r="AG6" s="4"/>
      <c r="AH6" s="4"/>
      <c r="AI6" s="2">
        <f t="shared" si="7"/>
        <v>0</v>
      </c>
      <c r="AJ6" s="2">
        <f t="shared" si="8"/>
        <v>0</v>
      </c>
      <c r="AK6" s="4">
        <f t="shared" si="9"/>
        <v>3</v>
      </c>
      <c r="AL6" s="4">
        <f t="shared" si="10"/>
        <v>190</v>
      </c>
      <c r="AM6" s="4">
        <f>+AL6*1.78</f>
        <v>338.2</v>
      </c>
      <c r="AN6" s="4">
        <f>+AM6*1.3</f>
        <v>439.66</v>
      </c>
      <c r="AO6" s="4">
        <f>+AN6*1.1</f>
        <v>483.62600000000009</v>
      </c>
      <c r="AP6" s="4">
        <f t="shared" ref="AP6:AU6" si="17">+AO6*1.1</f>
        <v>531.98860000000013</v>
      </c>
      <c r="AQ6" s="4">
        <f t="shared" si="17"/>
        <v>585.18746000000021</v>
      </c>
      <c r="AR6" s="4">
        <f t="shared" si="17"/>
        <v>643.70620600000029</v>
      </c>
      <c r="AS6" s="4">
        <f t="shared" si="17"/>
        <v>708.07682660000035</v>
      </c>
      <c r="AT6" s="4">
        <f t="shared" si="17"/>
        <v>778.88450926000041</v>
      </c>
      <c r="AU6" s="4">
        <f t="shared" si="17"/>
        <v>856.77296018600055</v>
      </c>
      <c r="AV6" s="4">
        <f>+AU6*0.95</f>
        <v>813.93431217670047</v>
      </c>
      <c r="AW6" s="4">
        <f t="shared" ref="AW6:BE6" si="18">+AV6*0.95</f>
        <v>773.23759656786547</v>
      </c>
      <c r="AX6" s="4">
        <f t="shared" si="18"/>
        <v>734.57571673947211</v>
      </c>
      <c r="AY6" s="4">
        <f t="shared" si="18"/>
        <v>697.84693090249846</v>
      </c>
      <c r="AZ6" s="4">
        <f t="shared" si="18"/>
        <v>662.95458435737351</v>
      </c>
      <c r="BA6" s="4">
        <f t="shared" si="18"/>
        <v>629.80685513950482</v>
      </c>
      <c r="BB6" s="4">
        <f t="shared" si="18"/>
        <v>598.3165123825296</v>
      </c>
      <c r="BC6" s="4">
        <f t="shared" si="18"/>
        <v>568.40068676340309</v>
      </c>
      <c r="BD6" s="4">
        <f t="shared" si="18"/>
        <v>539.98065242523296</v>
      </c>
      <c r="BE6" s="4">
        <f t="shared" si="18"/>
        <v>512.98161980397128</v>
      </c>
      <c r="BF6" s="4"/>
      <c r="BG6" s="4"/>
      <c r="BH6" s="4"/>
      <c r="BI6" s="4"/>
      <c r="BJ6" s="4"/>
      <c r="BK6" s="4"/>
      <c r="BL6" s="4"/>
      <c r="BM6" s="4"/>
      <c r="BN6" s="4"/>
      <c r="BO6" s="4"/>
    </row>
    <row r="7" spans="1:68" s="2" customFormat="1" x14ac:dyDescent="0.2">
      <c r="B7" s="2" t="s">
        <v>21</v>
      </c>
      <c r="C7" s="4">
        <v>179</v>
      </c>
      <c r="D7" s="4">
        <v>173</v>
      </c>
      <c r="E7" s="4">
        <v>171</v>
      </c>
      <c r="F7" s="4">
        <v>162</v>
      </c>
      <c r="G7" s="4">
        <v>171</v>
      </c>
      <c r="H7" s="4">
        <v>183</v>
      </c>
      <c r="I7" s="4">
        <v>180</v>
      </c>
      <c r="J7" s="4">
        <v>169</v>
      </c>
      <c r="K7" s="4">
        <v>186</v>
      </c>
      <c r="L7" s="4">
        <v>187</v>
      </c>
      <c r="M7" s="4">
        <v>181</v>
      </c>
      <c r="N7" s="4">
        <v>165</v>
      </c>
      <c r="O7" s="4">
        <v>169</v>
      </c>
      <c r="P7" s="4">
        <v>167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  <c r="Z7" s="4"/>
      <c r="AA7" s="4"/>
      <c r="AB7" s="4"/>
      <c r="AC7" s="4"/>
      <c r="AD7" s="4"/>
      <c r="AE7" s="4"/>
      <c r="AF7" s="4"/>
      <c r="AG7" s="4"/>
      <c r="AH7" s="4"/>
      <c r="AI7" s="2">
        <f t="shared" si="7"/>
        <v>696</v>
      </c>
      <c r="AJ7" s="2">
        <f t="shared" si="8"/>
        <v>723</v>
      </c>
      <c r="AK7" s="4">
        <f t="shared" si="9"/>
        <v>501</v>
      </c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</row>
    <row r="8" spans="1:68" s="2" customFormat="1" x14ac:dyDescent="0.2">
      <c r="B8" s="2" t="s">
        <v>23</v>
      </c>
      <c r="C8" s="4">
        <v>162</v>
      </c>
      <c r="D8" s="4">
        <v>179</v>
      </c>
      <c r="E8" s="4">
        <v>211</v>
      </c>
      <c r="F8" s="4">
        <v>229</v>
      </c>
      <c r="G8" s="4">
        <v>233</v>
      </c>
      <c r="H8" s="4">
        <v>238</v>
      </c>
      <c r="I8" s="4">
        <v>260</v>
      </c>
      <c r="J8" s="4">
        <v>271</v>
      </c>
      <c r="K8" s="4">
        <v>321</v>
      </c>
      <c r="L8" s="4">
        <v>350</v>
      </c>
      <c r="M8" s="4">
        <v>366</v>
      </c>
      <c r="N8" s="4">
        <v>325</v>
      </c>
      <c r="O8" s="4">
        <v>296</v>
      </c>
      <c r="P8" s="4">
        <v>240</v>
      </c>
      <c r="Q8" s="4">
        <v>265</v>
      </c>
      <c r="R8" s="4">
        <v>263</v>
      </c>
      <c r="S8" s="4">
        <v>241</v>
      </c>
      <c r="T8" s="4">
        <f t="shared" ref="T8:U8" si="19">+P8*0.9</f>
        <v>216</v>
      </c>
      <c r="U8" s="4">
        <f t="shared" si="19"/>
        <v>238.5</v>
      </c>
      <c r="V8" s="4">
        <f t="shared" ref="V8" si="20">+R8*0.9</f>
        <v>236.70000000000002</v>
      </c>
      <c r="W8" s="4">
        <f t="shared" ref="W8" si="21">+S8*0.9</f>
        <v>216.9</v>
      </c>
      <c r="X8" s="4">
        <f t="shared" ref="X8" si="22">+T8*0.9</f>
        <v>194.4</v>
      </c>
      <c r="Y8" s="4">
        <f t="shared" ref="Y8" si="23">+U8*0.9</f>
        <v>214.65</v>
      </c>
      <c r="Z8" s="4"/>
      <c r="AA8" s="4"/>
      <c r="AB8" s="4"/>
      <c r="AC8" s="4"/>
      <c r="AD8" s="4"/>
      <c r="AE8" s="4"/>
      <c r="AF8" s="4"/>
      <c r="AG8" s="4"/>
      <c r="AH8" s="4"/>
      <c r="AI8" s="2">
        <f t="shared" si="7"/>
        <v>960</v>
      </c>
      <c r="AJ8" s="2">
        <f t="shared" si="8"/>
        <v>1308</v>
      </c>
      <c r="AK8" s="4">
        <f t="shared" si="9"/>
        <v>1126</v>
      </c>
      <c r="AL8" s="4">
        <f t="shared" si="10"/>
        <v>958.5</v>
      </c>
      <c r="AM8" s="4">
        <f>+AL8*0.95</f>
        <v>910.57499999999993</v>
      </c>
      <c r="AN8" s="4">
        <f t="shared" ref="AN8:BE8" si="24">+AM8*0.95</f>
        <v>865.04624999999987</v>
      </c>
      <c r="AO8" s="4">
        <f t="shared" si="24"/>
        <v>821.79393749999986</v>
      </c>
      <c r="AP8" s="4">
        <f t="shared" si="24"/>
        <v>780.70424062499978</v>
      </c>
      <c r="AQ8" s="4">
        <f t="shared" si="24"/>
        <v>741.66902859374977</v>
      </c>
      <c r="AR8" s="4">
        <f t="shared" si="24"/>
        <v>704.58557716406222</v>
      </c>
      <c r="AS8" s="4">
        <f t="shared" si="24"/>
        <v>669.35629830585913</v>
      </c>
      <c r="AT8" s="4">
        <f t="shared" si="24"/>
        <v>635.88848339056619</v>
      </c>
      <c r="AU8" s="4">
        <f t="shared" si="24"/>
        <v>604.09405922103781</v>
      </c>
      <c r="AV8" s="4">
        <f t="shared" si="24"/>
        <v>573.8893562599859</v>
      </c>
      <c r="AW8" s="4">
        <f t="shared" si="24"/>
        <v>545.19488844698662</v>
      </c>
      <c r="AX8" s="4">
        <f t="shared" si="24"/>
        <v>517.93514402463722</v>
      </c>
      <c r="AY8" s="4">
        <f t="shared" si="24"/>
        <v>492.03838682340535</v>
      </c>
      <c r="AZ8" s="4">
        <f t="shared" si="24"/>
        <v>467.43646748223506</v>
      </c>
      <c r="BA8" s="4">
        <f t="shared" si="24"/>
        <v>444.06464410812328</v>
      </c>
      <c r="BB8" s="4">
        <f t="shared" si="24"/>
        <v>421.86141190271707</v>
      </c>
      <c r="BC8" s="4">
        <f t="shared" si="24"/>
        <v>400.76834130758118</v>
      </c>
      <c r="BD8" s="4">
        <f t="shared" si="24"/>
        <v>380.72992424220212</v>
      </c>
      <c r="BE8" s="4">
        <f t="shared" si="24"/>
        <v>361.69342803009198</v>
      </c>
      <c r="BF8" s="4"/>
      <c r="BG8" s="4"/>
      <c r="BH8" s="4"/>
      <c r="BI8" s="4"/>
      <c r="BJ8" s="4"/>
      <c r="BK8" s="4"/>
      <c r="BL8" s="4"/>
      <c r="BM8" s="4"/>
      <c r="BN8" s="4"/>
      <c r="BO8" s="4"/>
    </row>
    <row r="9" spans="1:68" s="2" customFormat="1" x14ac:dyDescent="0.2">
      <c r="B9" s="2" t="s">
        <v>25</v>
      </c>
      <c r="C9" s="4">
        <v>290</v>
      </c>
      <c r="D9" s="4">
        <v>307</v>
      </c>
      <c r="E9" s="4">
        <v>325</v>
      </c>
      <c r="F9" s="4">
        <v>320</v>
      </c>
      <c r="G9" s="4">
        <v>352</v>
      </c>
      <c r="H9" s="4">
        <v>375</v>
      </c>
      <c r="I9" s="4">
        <v>397</v>
      </c>
      <c r="J9" s="4">
        <v>363</v>
      </c>
      <c r="K9" s="4">
        <v>402</v>
      </c>
      <c r="L9" s="4">
        <v>444</v>
      </c>
      <c r="M9" s="4">
        <v>443</v>
      </c>
      <c r="N9" s="4">
        <v>400</v>
      </c>
      <c r="O9" s="4">
        <v>461</v>
      </c>
      <c r="P9" s="4">
        <v>484</v>
      </c>
      <c r="Q9" s="4">
        <v>540</v>
      </c>
      <c r="R9" s="4">
        <v>475</v>
      </c>
      <c r="S9" s="4">
        <v>593</v>
      </c>
      <c r="T9" s="4">
        <f>+P9*1.1</f>
        <v>532.40000000000009</v>
      </c>
      <c r="U9" s="4">
        <f t="shared" ref="U9:Y9" si="25">+Q9*1.1</f>
        <v>594</v>
      </c>
      <c r="V9" s="4">
        <f t="shared" si="25"/>
        <v>522.5</v>
      </c>
      <c r="W9" s="4">
        <f t="shared" si="25"/>
        <v>652.30000000000007</v>
      </c>
      <c r="X9" s="4">
        <f t="shared" si="25"/>
        <v>585.6400000000001</v>
      </c>
      <c r="Y9" s="4">
        <f t="shared" si="25"/>
        <v>653.40000000000009</v>
      </c>
      <c r="Z9" s="4"/>
      <c r="AA9" s="4"/>
      <c r="AB9" s="4"/>
      <c r="AC9" s="4"/>
      <c r="AD9" s="4"/>
      <c r="AE9" s="4"/>
      <c r="AF9" s="4"/>
      <c r="AG9" s="4"/>
      <c r="AH9" s="4"/>
      <c r="AI9" s="2">
        <f t="shared" si="7"/>
        <v>1444</v>
      </c>
      <c r="AJ9" s="2">
        <f t="shared" si="8"/>
        <v>1652</v>
      </c>
      <c r="AK9" s="4">
        <f t="shared" si="9"/>
        <v>1885</v>
      </c>
      <c r="AL9" s="4">
        <f t="shared" si="10"/>
        <v>2194.4</v>
      </c>
      <c r="AM9" s="4">
        <f>+AL9*1.03</f>
        <v>2260.232</v>
      </c>
      <c r="AN9" s="4">
        <f t="shared" ref="AN9:AU9" si="26">+AM9*1.03</f>
        <v>2328.0389599999999</v>
      </c>
      <c r="AO9" s="4">
        <f t="shared" si="26"/>
        <v>2397.8801288</v>
      </c>
      <c r="AP9" s="4">
        <f t="shared" si="26"/>
        <v>2469.8165326640001</v>
      </c>
      <c r="AQ9" s="4">
        <f t="shared" si="26"/>
        <v>2543.91102864392</v>
      </c>
      <c r="AR9" s="4">
        <f t="shared" si="26"/>
        <v>2620.2283595032377</v>
      </c>
      <c r="AS9" s="4">
        <f t="shared" si="26"/>
        <v>2698.835210288335</v>
      </c>
      <c r="AT9" s="4">
        <f t="shared" si="26"/>
        <v>2779.8002665969852</v>
      </c>
      <c r="AU9" s="4">
        <f t="shared" si="26"/>
        <v>2863.194274594895</v>
      </c>
      <c r="AV9" s="4">
        <f>+AU9*0.95</f>
        <v>2720.0345608651501</v>
      </c>
      <c r="AW9" s="4">
        <f t="shared" ref="AW9:BE9" si="27">+AV9*0.95</f>
        <v>2584.0328328218925</v>
      </c>
      <c r="AX9" s="4">
        <f t="shared" si="27"/>
        <v>2454.8311911807978</v>
      </c>
      <c r="AY9" s="4">
        <f t="shared" si="27"/>
        <v>2332.0896316217577</v>
      </c>
      <c r="AZ9" s="4">
        <f t="shared" si="27"/>
        <v>2215.4851500406699</v>
      </c>
      <c r="BA9" s="4">
        <f t="shared" si="27"/>
        <v>2104.7108925386365</v>
      </c>
      <c r="BB9" s="4">
        <f t="shared" si="27"/>
        <v>1999.4753479117046</v>
      </c>
      <c r="BC9" s="4">
        <f t="shared" si="27"/>
        <v>1899.5015805161192</v>
      </c>
      <c r="BD9" s="4">
        <f t="shared" si="27"/>
        <v>1804.5265014903132</v>
      </c>
      <c r="BE9" s="4">
        <f t="shared" si="27"/>
        <v>1714.3001764157975</v>
      </c>
      <c r="BF9" s="4"/>
      <c r="BG9" s="4"/>
      <c r="BH9" s="4"/>
      <c r="BI9" s="4"/>
      <c r="BJ9" s="4"/>
      <c r="BK9" s="4"/>
      <c r="BL9" s="4"/>
      <c r="BM9" s="4"/>
      <c r="BN9" s="4"/>
      <c r="BO9" s="4"/>
    </row>
    <row r="10" spans="1:68" s="2" customFormat="1" x14ac:dyDescent="0.2">
      <c r="B10" s="2" t="s">
        <v>26</v>
      </c>
      <c r="C10" s="4">
        <v>357</v>
      </c>
      <c r="D10" s="4">
        <v>346</v>
      </c>
      <c r="E10" s="4">
        <v>360</v>
      </c>
      <c r="F10" s="4">
        <v>366</v>
      </c>
      <c r="G10" s="4">
        <v>371</v>
      </c>
      <c r="H10" s="4">
        <v>378</v>
      </c>
      <c r="I10" s="4">
        <v>412</v>
      </c>
      <c r="J10" s="4">
        <v>406</v>
      </c>
      <c r="K10" s="4">
        <v>369</v>
      </c>
      <c r="L10" s="4">
        <v>325</v>
      </c>
      <c r="M10" s="4">
        <v>341</v>
      </c>
      <c r="N10" s="4">
        <v>340</v>
      </c>
      <c r="O10" s="4">
        <v>343</v>
      </c>
      <c r="P10" s="4">
        <v>320</v>
      </c>
      <c r="Q10" s="4">
        <v>309</v>
      </c>
      <c r="R10" s="4">
        <v>291</v>
      </c>
      <c r="S10" s="4">
        <v>299</v>
      </c>
      <c r="T10" s="4">
        <f t="shared" ref="T10:U10" si="28">+S10-5</f>
        <v>294</v>
      </c>
      <c r="U10" s="4">
        <f t="shared" si="28"/>
        <v>289</v>
      </c>
      <c r="V10" s="4">
        <f>+R10*0.9</f>
        <v>261.90000000000003</v>
      </c>
      <c r="W10" s="4">
        <f t="shared" ref="W10:Y10" si="29">+S10*0.9</f>
        <v>269.10000000000002</v>
      </c>
      <c r="X10" s="4">
        <f t="shared" si="29"/>
        <v>264.60000000000002</v>
      </c>
      <c r="Y10" s="4">
        <f t="shared" si="29"/>
        <v>260.10000000000002</v>
      </c>
      <c r="Z10" s="4"/>
      <c r="AA10" s="4"/>
      <c r="AB10" s="4"/>
      <c r="AC10" s="4"/>
      <c r="AD10" s="4"/>
      <c r="AE10" s="4"/>
      <c r="AF10" s="4"/>
      <c r="AG10" s="4"/>
      <c r="AH10" s="4"/>
      <c r="AI10" s="2">
        <f t="shared" si="7"/>
        <v>1527</v>
      </c>
      <c r="AJ10" s="2">
        <f t="shared" si="8"/>
        <v>1441</v>
      </c>
      <c r="AK10" s="4">
        <f t="shared" si="9"/>
        <v>1312</v>
      </c>
      <c r="AL10" s="4">
        <f t="shared" si="10"/>
        <v>1173</v>
      </c>
      <c r="AM10" s="4">
        <f>+AL10*0.95</f>
        <v>1114.3499999999999</v>
      </c>
      <c r="AN10" s="4">
        <f t="shared" ref="AN10:AP10" si="30">+AM10*0.95</f>
        <v>1058.6324999999999</v>
      </c>
      <c r="AO10" s="4">
        <f t="shared" si="30"/>
        <v>1005.7008749999999</v>
      </c>
      <c r="AP10" s="4">
        <f t="shared" si="30"/>
        <v>955.41583124999988</v>
      </c>
      <c r="AQ10" s="4">
        <f>+AP10*0.1</f>
        <v>95.541583124999988</v>
      </c>
      <c r="AR10" s="4">
        <f t="shared" ref="AR10:AS10" si="31">+AQ10*0.1</f>
        <v>9.5541583124999985</v>
      </c>
      <c r="AS10" s="4">
        <f t="shared" si="31"/>
        <v>0.95541583124999985</v>
      </c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</row>
    <row r="11" spans="1:68" s="2" customFormat="1" x14ac:dyDescent="0.2">
      <c r="B11" s="2" t="s">
        <v>99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49</v>
      </c>
      <c r="M11" s="4">
        <v>207</v>
      </c>
      <c r="N11" s="4">
        <v>264</v>
      </c>
      <c r="O11" s="4">
        <v>479</v>
      </c>
      <c r="P11" s="4">
        <v>402</v>
      </c>
      <c r="Q11" s="4">
        <v>458</v>
      </c>
      <c r="R11" s="4">
        <v>427</v>
      </c>
      <c r="S11" s="4">
        <v>546</v>
      </c>
      <c r="T11" s="4">
        <f t="shared" ref="T11:U11" si="32">+S11-10</f>
        <v>536</v>
      </c>
      <c r="U11" s="4">
        <f t="shared" si="32"/>
        <v>526</v>
      </c>
      <c r="V11" s="4">
        <f t="shared" ref="V11" si="33">+U11-10</f>
        <v>516</v>
      </c>
      <c r="W11" s="4">
        <f t="shared" ref="W11" si="34">+V11-10</f>
        <v>506</v>
      </c>
      <c r="X11" s="4">
        <f t="shared" ref="X11" si="35">+W11-10</f>
        <v>496</v>
      </c>
      <c r="Y11" s="4">
        <f t="shared" ref="Y11" si="36">+X11-10</f>
        <v>486</v>
      </c>
      <c r="Z11" s="4"/>
      <c r="AA11" s="4"/>
      <c r="AB11" s="4"/>
      <c r="AC11" s="4"/>
      <c r="AD11" s="4"/>
      <c r="AE11" s="4"/>
      <c r="AF11" s="4"/>
      <c r="AG11" s="4"/>
      <c r="AH11" s="4"/>
      <c r="AI11" s="2">
        <f t="shared" si="7"/>
        <v>0</v>
      </c>
      <c r="AJ11" s="2">
        <f t="shared" si="8"/>
        <v>256</v>
      </c>
      <c r="AK11" s="4">
        <f t="shared" si="9"/>
        <v>1603</v>
      </c>
      <c r="AL11" s="4">
        <f t="shared" si="10"/>
        <v>2035</v>
      </c>
      <c r="AM11" s="4">
        <f>+AL11*0.8</f>
        <v>1628</v>
      </c>
      <c r="AN11" s="4">
        <f t="shared" ref="AN11:AZ11" si="37">+AM11*0.8</f>
        <v>1302.4000000000001</v>
      </c>
      <c r="AO11" s="4">
        <f t="shared" si="37"/>
        <v>1041.92</v>
      </c>
      <c r="AP11" s="4">
        <f t="shared" si="37"/>
        <v>833.53600000000006</v>
      </c>
      <c r="AQ11" s="4">
        <f t="shared" si="37"/>
        <v>666.82880000000011</v>
      </c>
      <c r="AR11" s="4">
        <f t="shared" si="37"/>
        <v>533.46304000000009</v>
      </c>
      <c r="AS11" s="4">
        <f t="shared" si="37"/>
        <v>426.77043200000008</v>
      </c>
      <c r="AT11" s="4">
        <f t="shared" si="37"/>
        <v>341.41634560000011</v>
      </c>
      <c r="AU11" s="4">
        <f t="shared" si="37"/>
        <v>273.13307648000011</v>
      </c>
      <c r="AV11" s="4">
        <f t="shared" si="37"/>
        <v>218.5064611840001</v>
      </c>
      <c r="AW11" s="4">
        <f t="shared" si="37"/>
        <v>174.80516894720009</v>
      </c>
      <c r="AX11" s="4">
        <f t="shared" si="37"/>
        <v>139.84413515776006</v>
      </c>
      <c r="AY11" s="4">
        <f t="shared" si="37"/>
        <v>111.87530812620805</v>
      </c>
      <c r="AZ11" s="4">
        <f t="shared" si="37"/>
        <v>89.500246500966455</v>
      </c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</row>
    <row r="12" spans="1:68" s="2" customFormat="1" x14ac:dyDescent="0.2">
      <c r="B12" s="2" t="s">
        <v>27</v>
      </c>
      <c r="C12" s="4">
        <v>406</v>
      </c>
      <c r="D12" s="4">
        <v>363</v>
      </c>
      <c r="E12" s="4">
        <v>394</v>
      </c>
      <c r="F12" s="4">
        <v>361</v>
      </c>
      <c r="G12" s="4">
        <v>431</v>
      </c>
      <c r="H12" s="4">
        <v>375</v>
      </c>
      <c r="I12" s="4">
        <v>384</v>
      </c>
      <c r="J12" s="4">
        <v>344</v>
      </c>
      <c r="K12" s="4">
        <v>362</v>
      </c>
      <c r="L12" s="4">
        <v>338</v>
      </c>
      <c r="M12" s="4">
        <v>318</v>
      </c>
      <c r="N12" s="4">
        <v>294</v>
      </c>
      <c r="O12" s="4">
        <v>303</v>
      </c>
      <c r="P12" s="4">
        <v>270</v>
      </c>
      <c r="Q12" s="4">
        <v>272</v>
      </c>
      <c r="R12" s="4">
        <v>221</v>
      </c>
      <c r="S12" s="4">
        <v>247</v>
      </c>
      <c r="T12" s="4">
        <f t="shared" ref="S12:U12" si="38">+S12-5</f>
        <v>242</v>
      </c>
      <c r="U12" s="4">
        <f t="shared" si="38"/>
        <v>237</v>
      </c>
      <c r="V12" s="4">
        <f t="shared" ref="V12:V13" si="39">+U12-5</f>
        <v>232</v>
      </c>
      <c r="W12" s="4">
        <f t="shared" ref="W12:W13" si="40">+V12-5</f>
        <v>227</v>
      </c>
      <c r="X12" s="4">
        <f t="shared" ref="X12:X13" si="41">+W12-5</f>
        <v>222</v>
      </c>
      <c r="Y12" s="4">
        <f t="shared" ref="Y12:Y13" si="42">+X12-5</f>
        <v>217</v>
      </c>
      <c r="Z12" s="4"/>
      <c r="AA12" s="4"/>
      <c r="AB12" s="4"/>
      <c r="AC12" s="4"/>
      <c r="AD12" s="4"/>
      <c r="AE12" s="4"/>
      <c r="AF12" s="4"/>
      <c r="AG12" s="4"/>
      <c r="AH12" s="4"/>
      <c r="AI12" s="2">
        <f t="shared" si="7"/>
        <v>1551</v>
      </c>
      <c r="AJ12" s="2">
        <f t="shared" si="8"/>
        <v>1362</v>
      </c>
      <c r="AK12" s="4">
        <f t="shared" si="9"/>
        <v>1139</v>
      </c>
      <c r="AL12" s="4">
        <f t="shared" si="10"/>
        <v>947</v>
      </c>
      <c r="AM12" s="4">
        <f>+AL12*0.8</f>
        <v>757.6</v>
      </c>
      <c r="AN12" s="4">
        <f t="shared" ref="AN12:AX12" si="43">+AM12*0.8</f>
        <v>606.08000000000004</v>
      </c>
      <c r="AO12" s="4">
        <f t="shared" si="43"/>
        <v>484.86400000000003</v>
      </c>
      <c r="AP12" s="4">
        <f t="shared" si="43"/>
        <v>387.89120000000003</v>
      </c>
      <c r="AQ12" s="4">
        <f t="shared" si="43"/>
        <v>310.31296000000003</v>
      </c>
      <c r="AR12" s="4">
        <f t="shared" si="43"/>
        <v>248.25036800000004</v>
      </c>
      <c r="AS12" s="4">
        <f t="shared" si="43"/>
        <v>198.60029440000005</v>
      </c>
      <c r="AT12" s="4">
        <f t="shared" si="43"/>
        <v>158.88023552000004</v>
      </c>
      <c r="AU12" s="4">
        <f t="shared" si="43"/>
        <v>127.10418841600004</v>
      </c>
      <c r="AV12" s="4">
        <f t="shared" si="43"/>
        <v>101.68335073280004</v>
      </c>
      <c r="AW12" s="4">
        <f t="shared" si="43"/>
        <v>81.346680586240041</v>
      </c>
      <c r="AX12" s="4">
        <f t="shared" si="43"/>
        <v>65.077344468992038</v>
      </c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</row>
    <row r="13" spans="1:68" s="2" customFormat="1" x14ac:dyDescent="0.2">
      <c r="B13" s="2" t="s">
        <v>28</v>
      </c>
      <c r="C13" s="4">
        <v>388</v>
      </c>
      <c r="D13" s="4">
        <v>370</v>
      </c>
      <c r="E13" s="4">
        <v>383</v>
      </c>
      <c r="F13" s="4">
        <v>387</v>
      </c>
      <c r="G13" s="4">
        <v>411</v>
      </c>
      <c r="H13" s="4">
        <v>389</v>
      </c>
      <c r="I13" s="4">
        <v>427</v>
      </c>
      <c r="J13" s="4">
        <v>319</v>
      </c>
      <c r="K13" s="4">
        <v>361</v>
      </c>
      <c r="L13" s="4">
        <v>357</v>
      </c>
      <c r="M13" s="4">
        <v>407</v>
      </c>
      <c r="N13" s="4">
        <v>290</v>
      </c>
      <c r="O13" s="4">
        <v>317</v>
      </c>
      <c r="P13" s="4">
        <v>333</v>
      </c>
      <c r="Q13" s="4">
        <v>312</v>
      </c>
      <c r="R13" s="4">
        <v>273</v>
      </c>
      <c r="S13" s="4">
        <v>271</v>
      </c>
      <c r="T13" s="4">
        <f t="shared" ref="T13:U13" si="44">+S13-5</f>
        <v>266</v>
      </c>
      <c r="U13" s="4">
        <f t="shared" si="44"/>
        <v>261</v>
      </c>
      <c r="V13" s="4">
        <f t="shared" si="39"/>
        <v>256</v>
      </c>
      <c r="W13" s="4">
        <f t="shared" si="40"/>
        <v>251</v>
      </c>
      <c r="X13" s="4">
        <f t="shared" si="41"/>
        <v>246</v>
      </c>
      <c r="Y13" s="4">
        <f t="shared" si="42"/>
        <v>241</v>
      </c>
      <c r="Z13" s="4"/>
      <c r="AA13" s="4"/>
      <c r="AB13" s="4"/>
      <c r="AC13" s="4"/>
      <c r="AD13" s="4"/>
      <c r="AE13" s="4"/>
      <c r="AF13" s="4"/>
      <c r="AG13" s="4"/>
      <c r="AH13" s="4"/>
      <c r="AI13" s="2">
        <f t="shared" si="7"/>
        <v>1614</v>
      </c>
      <c r="AJ13" s="2">
        <f t="shared" si="8"/>
        <v>1444</v>
      </c>
      <c r="AK13" s="4">
        <f t="shared" si="9"/>
        <v>1252</v>
      </c>
      <c r="AL13" s="4">
        <f t="shared" si="10"/>
        <v>1071</v>
      </c>
      <c r="AM13" s="4">
        <f t="shared" ref="AM13:AX13" si="45">+AL13*0.8</f>
        <v>856.80000000000007</v>
      </c>
      <c r="AN13" s="4">
        <f t="shared" si="45"/>
        <v>685.44</v>
      </c>
      <c r="AO13" s="4">
        <f t="shared" si="45"/>
        <v>548.35200000000009</v>
      </c>
      <c r="AP13" s="4">
        <f t="shared" si="45"/>
        <v>438.68160000000012</v>
      </c>
      <c r="AQ13" s="4">
        <f t="shared" si="45"/>
        <v>350.94528000000014</v>
      </c>
      <c r="AR13" s="4">
        <f t="shared" si="45"/>
        <v>280.75622400000015</v>
      </c>
      <c r="AS13" s="4">
        <f t="shared" si="45"/>
        <v>224.60497920000012</v>
      </c>
      <c r="AT13" s="4">
        <f t="shared" si="45"/>
        <v>179.6839833600001</v>
      </c>
      <c r="AU13" s="4">
        <f t="shared" si="45"/>
        <v>143.74718668800008</v>
      </c>
      <c r="AV13" s="4">
        <f t="shared" si="45"/>
        <v>114.99774935040007</v>
      </c>
      <c r="AW13" s="4">
        <f t="shared" si="45"/>
        <v>91.998199480320068</v>
      </c>
      <c r="AX13" s="4">
        <f t="shared" si="45"/>
        <v>73.598559584256051</v>
      </c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</row>
    <row r="14" spans="1:68" s="2" customFormat="1" x14ac:dyDescent="0.2">
      <c r="B14" s="2" t="s">
        <v>29</v>
      </c>
      <c r="C14" s="4">
        <v>711</v>
      </c>
      <c r="D14" s="4">
        <v>676</v>
      </c>
      <c r="E14" s="4">
        <v>819</v>
      </c>
      <c r="F14" s="4">
        <v>522</v>
      </c>
      <c r="G14" s="4">
        <v>563</v>
      </c>
      <c r="H14" s="4">
        <v>569</v>
      </c>
      <c r="I14" s="4">
        <v>635</v>
      </c>
      <c r="J14" s="4">
        <v>540</v>
      </c>
      <c r="K14" s="4">
        <v>555</v>
      </c>
      <c r="L14" s="4">
        <v>449</v>
      </c>
      <c r="M14" s="4">
        <v>476</v>
      </c>
      <c r="N14" s="4">
        <v>554</v>
      </c>
      <c r="O14" s="4">
        <v>107</v>
      </c>
      <c r="P14" s="4">
        <v>46</v>
      </c>
      <c r="Q14" s="4">
        <v>39</v>
      </c>
      <c r="R14" s="4">
        <v>33</v>
      </c>
      <c r="S14" s="4">
        <v>35</v>
      </c>
      <c r="T14" s="4">
        <f t="shared" ref="T14:U14" si="46">+S14-2</f>
        <v>33</v>
      </c>
      <c r="U14" s="4">
        <f t="shared" si="46"/>
        <v>31</v>
      </c>
      <c r="V14" s="4">
        <f t="shared" ref="V14" si="47">+U14-2</f>
        <v>29</v>
      </c>
      <c r="W14" s="4">
        <f t="shared" ref="W14" si="48">+V14-2</f>
        <v>27</v>
      </c>
      <c r="X14" s="4">
        <f t="shared" ref="X14" si="49">+W14-2</f>
        <v>25</v>
      </c>
      <c r="Y14" s="4">
        <f t="shared" ref="Y14" si="50">+X14-2</f>
        <v>23</v>
      </c>
      <c r="Z14" s="4"/>
      <c r="AA14" s="4"/>
      <c r="AB14" s="4"/>
      <c r="AC14" s="4"/>
      <c r="AD14" s="4"/>
      <c r="AE14" s="4"/>
      <c r="AF14" s="4"/>
      <c r="AG14" s="4"/>
      <c r="AH14" s="4"/>
      <c r="AI14" s="2">
        <f t="shared" si="7"/>
        <v>2289</v>
      </c>
      <c r="AJ14" s="2">
        <f t="shared" si="8"/>
        <v>2020</v>
      </c>
      <c r="AK14" s="4">
        <f t="shared" si="9"/>
        <v>746</v>
      </c>
      <c r="AL14" s="4">
        <f t="shared" si="10"/>
        <v>132</v>
      </c>
      <c r="AM14" s="4">
        <f>+AL14*0.65</f>
        <v>85.8</v>
      </c>
      <c r="AN14" s="4">
        <f t="shared" ref="AN14:AX14" si="51">+AM14*0.65</f>
        <v>55.77</v>
      </c>
      <c r="AO14" s="4">
        <f t="shared" si="51"/>
        <v>36.250500000000002</v>
      </c>
      <c r="AP14" s="4">
        <f t="shared" si="51"/>
        <v>23.562825000000004</v>
      </c>
      <c r="AQ14" s="4">
        <f t="shared" si="51"/>
        <v>15.315836250000002</v>
      </c>
      <c r="AR14" s="4">
        <f t="shared" si="51"/>
        <v>9.9552935625000014</v>
      </c>
      <c r="AS14" s="4">
        <f t="shared" si="51"/>
        <v>6.470940815625001</v>
      </c>
      <c r="AT14" s="4">
        <f t="shared" si="51"/>
        <v>4.2061115301562504</v>
      </c>
      <c r="AU14" s="4">
        <f t="shared" si="51"/>
        <v>2.7339724946015629</v>
      </c>
      <c r="AV14" s="4">
        <f t="shared" si="51"/>
        <v>1.777082121491016</v>
      </c>
      <c r="AW14" s="4">
        <f t="shared" si="51"/>
        <v>1.1551033789691605</v>
      </c>
      <c r="AX14" s="4">
        <f t="shared" si="51"/>
        <v>0.75081719632995436</v>
      </c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</row>
    <row r="15" spans="1:68" s="2" customFormat="1" x14ac:dyDescent="0.2">
      <c r="B15" s="2" t="s">
        <v>136</v>
      </c>
      <c r="C15" s="4">
        <v>741</v>
      </c>
      <c r="D15" s="4">
        <v>64</v>
      </c>
      <c r="E15" s="4">
        <v>49</v>
      </c>
      <c r="F15" s="4"/>
      <c r="G15" s="4">
        <v>44</v>
      </c>
      <c r="H15" s="4">
        <v>42</v>
      </c>
      <c r="I15" s="4">
        <v>81</v>
      </c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2">
        <f t="shared" si="7"/>
        <v>167</v>
      </c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</row>
    <row r="16" spans="1:68" s="2" customFormat="1" x14ac:dyDescent="0.2">
      <c r="B16" s="2" t="s">
        <v>132</v>
      </c>
      <c r="C16" s="4">
        <v>0</v>
      </c>
      <c r="D16" s="4">
        <v>20</v>
      </c>
      <c r="E16" s="4">
        <v>58</v>
      </c>
      <c r="F16" s="4"/>
      <c r="G16" s="4">
        <v>66</v>
      </c>
      <c r="H16" s="4">
        <v>87</v>
      </c>
      <c r="I16" s="4">
        <v>93</v>
      </c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2">
        <f t="shared" si="7"/>
        <v>246</v>
      </c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</row>
    <row r="17" spans="2:67" s="2" customFormat="1" x14ac:dyDescent="0.2">
      <c r="B17" s="2" t="s">
        <v>133</v>
      </c>
      <c r="C17" s="4">
        <v>0</v>
      </c>
      <c r="D17" s="4">
        <v>55</v>
      </c>
      <c r="E17" s="4">
        <v>94</v>
      </c>
      <c r="F17" s="4"/>
      <c r="G17" s="4">
        <v>104</v>
      </c>
      <c r="H17" s="4">
        <v>106</v>
      </c>
      <c r="I17" s="4">
        <v>105</v>
      </c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2">
        <f t="shared" si="7"/>
        <v>315</v>
      </c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</row>
    <row r="18" spans="2:67" s="2" customFormat="1" x14ac:dyDescent="0.2">
      <c r="B18" s="2" t="s">
        <v>134</v>
      </c>
      <c r="C18" s="4">
        <v>0</v>
      </c>
      <c r="D18" s="4">
        <v>0</v>
      </c>
      <c r="E18" s="4">
        <v>0</v>
      </c>
      <c r="F18" s="4"/>
      <c r="G18" s="4">
        <v>5</v>
      </c>
      <c r="H18" s="4">
        <v>7</v>
      </c>
      <c r="I18" s="4">
        <v>8</v>
      </c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2">
        <f t="shared" si="7"/>
        <v>20</v>
      </c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</row>
    <row r="19" spans="2:67" s="2" customFormat="1" x14ac:dyDescent="0.2">
      <c r="B19" s="2" t="s">
        <v>135</v>
      </c>
      <c r="C19" s="4">
        <v>172</v>
      </c>
      <c r="D19" s="4">
        <v>178</v>
      </c>
      <c r="E19" s="4">
        <v>198</v>
      </c>
      <c r="F19" s="4"/>
      <c r="G19" s="4">
        <v>240</v>
      </c>
      <c r="H19" s="4">
        <v>211</v>
      </c>
      <c r="I19" s="4">
        <v>224</v>
      </c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2">
        <f t="shared" si="7"/>
        <v>675</v>
      </c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</row>
    <row r="20" spans="2:67" s="2" customFormat="1" x14ac:dyDescent="0.2">
      <c r="B20" s="2" t="s">
        <v>137</v>
      </c>
      <c r="C20" s="4">
        <v>117</v>
      </c>
      <c r="D20" s="4">
        <v>95</v>
      </c>
      <c r="E20" s="4">
        <v>84</v>
      </c>
      <c r="F20" s="4"/>
      <c r="G20" s="4">
        <v>56</v>
      </c>
      <c r="H20" s="4">
        <v>71</v>
      </c>
      <c r="I20" s="4">
        <v>58</v>
      </c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2">
        <f t="shared" si="7"/>
        <v>185</v>
      </c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</row>
    <row r="21" spans="2:67" s="2" customFormat="1" x14ac:dyDescent="0.2">
      <c r="B21" s="2" t="s">
        <v>138</v>
      </c>
      <c r="C21" s="4">
        <v>3</v>
      </c>
      <c r="D21" s="4">
        <v>3</v>
      </c>
      <c r="E21" s="4">
        <v>4</v>
      </c>
      <c r="F21" s="4"/>
      <c r="G21" s="4">
        <v>6</v>
      </c>
      <c r="H21" s="4">
        <v>7</v>
      </c>
      <c r="I21" s="4">
        <v>8</v>
      </c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2">
        <f t="shared" si="7"/>
        <v>21</v>
      </c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</row>
    <row r="22" spans="2:67" s="2" customFormat="1" x14ac:dyDescent="0.2">
      <c r="B22" s="2" t="s">
        <v>128</v>
      </c>
      <c r="C22" s="4"/>
      <c r="D22" s="4"/>
      <c r="E22" s="4"/>
      <c r="F22" s="4">
        <v>358</v>
      </c>
      <c r="G22" s="4"/>
      <c r="H22" s="4"/>
      <c r="I22" s="4"/>
      <c r="J22" s="4">
        <v>179</v>
      </c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2">
        <f t="shared" si="7"/>
        <v>358</v>
      </c>
      <c r="AJ22" s="2">
        <f t="shared" si="8"/>
        <v>179</v>
      </c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</row>
    <row r="23" spans="2:67" s="2" customFormat="1" x14ac:dyDescent="0.2">
      <c r="B23" s="2" t="s">
        <v>31</v>
      </c>
      <c r="C23" s="4">
        <v>672</v>
      </c>
      <c r="D23" s="4">
        <v>644</v>
      </c>
      <c r="E23" s="4">
        <v>759</v>
      </c>
      <c r="F23" s="4">
        <v>817</v>
      </c>
      <c r="G23" s="4">
        <v>671</v>
      </c>
      <c r="H23" s="4">
        <v>670</v>
      </c>
      <c r="I23" s="4">
        <v>733</v>
      </c>
      <c r="J23" s="4">
        <v>772</v>
      </c>
      <c r="K23" s="4">
        <v>794</v>
      </c>
      <c r="L23" s="4">
        <v>820</v>
      </c>
      <c r="M23" s="4">
        <v>835</v>
      </c>
      <c r="N23" s="4">
        <v>639</v>
      </c>
      <c r="O23" s="4">
        <v>724</v>
      </c>
      <c r="P23" s="4">
        <v>625</v>
      </c>
      <c r="Q23" s="4">
        <v>583</v>
      </c>
      <c r="R23" s="4">
        <v>535</v>
      </c>
      <c r="S23" s="4">
        <v>537</v>
      </c>
      <c r="T23" s="4">
        <f t="shared" ref="T23:U23" si="52">+S23*0.95</f>
        <v>510.15</v>
      </c>
      <c r="U23" s="4">
        <f t="shared" si="52"/>
        <v>484.64249999999998</v>
      </c>
      <c r="V23" s="4">
        <f t="shared" ref="V23" si="53">+U23*0.95</f>
        <v>460.41037499999999</v>
      </c>
      <c r="W23" s="4">
        <f t="shared" ref="W23" si="54">+V23*0.95</f>
        <v>437.38985624999998</v>
      </c>
      <c r="X23" s="4">
        <f t="shared" ref="X23" si="55">+W23*0.95</f>
        <v>415.52036343749995</v>
      </c>
      <c r="Y23" s="4">
        <f t="shared" ref="Y23" si="56">+X23*0.95</f>
        <v>394.74434526562493</v>
      </c>
      <c r="Z23" s="4"/>
      <c r="AA23" s="4"/>
      <c r="AB23" s="4"/>
      <c r="AC23" s="4"/>
      <c r="AD23" s="4"/>
      <c r="AE23" s="4"/>
      <c r="AF23" s="4"/>
      <c r="AG23" s="4"/>
      <c r="AH23" s="4"/>
      <c r="AI23" s="2">
        <f t="shared" si="7"/>
        <v>2891</v>
      </c>
      <c r="AJ23" s="2">
        <f t="shared" si="8"/>
        <v>3221</v>
      </c>
      <c r="AK23" s="4">
        <f t="shared" si="9"/>
        <v>2571</v>
      </c>
      <c r="AL23" s="4">
        <f t="shared" si="10"/>
        <v>2066.7925</v>
      </c>
      <c r="AM23" s="4">
        <f>+AL23*0.95</f>
        <v>1963.4528749999999</v>
      </c>
      <c r="AN23" s="4">
        <f t="shared" ref="AN23:AZ23" si="57">+AM23*0.95</f>
        <v>1865.2802312499998</v>
      </c>
      <c r="AO23" s="4">
        <f t="shared" si="57"/>
        <v>1772.0162196874996</v>
      </c>
      <c r="AP23" s="4">
        <f t="shared" si="57"/>
        <v>1683.4154087031245</v>
      </c>
      <c r="AQ23" s="4">
        <f t="shared" si="57"/>
        <v>1599.2446382679682</v>
      </c>
      <c r="AR23" s="4">
        <f t="shared" si="57"/>
        <v>1519.2824063545697</v>
      </c>
      <c r="AS23" s="4">
        <f t="shared" si="57"/>
        <v>1443.3182860368411</v>
      </c>
      <c r="AT23" s="4">
        <f t="shared" si="57"/>
        <v>1371.152371734999</v>
      </c>
      <c r="AU23" s="4">
        <f t="shared" si="57"/>
        <v>1302.5947531482489</v>
      </c>
      <c r="AV23" s="4">
        <f t="shared" si="57"/>
        <v>1237.4650154908363</v>
      </c>
      <c r="AW23" s="4">
        <f t="shared" si="57"/>
        <v>1175.5917647162944</v>
      </c>
      <c r="AX23" s="4">
        <f t="shared" si="57"/>
        <v>1116.8121764804796</v>
      </c>
      <c r="AY23" s="4">
        <f t="shared" si="57"/>
        <v>1060.9715676564556</v>
      </c>
      <c r="AZ23" s="4">
        <f t="shared" si="57"/>
        <v>1007.9229892736328</v>
      </c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</row>
    <row r="24" spans="2:67" s="5" customFormat="1" x14ac:dyDescent="0.2">
      <c r="B24" s="5" t="s">
        <v>30</v>
      </c>
      <c r="C24" s="6">
        <f t="shared" ref="C24:J24" si="58">SUM(C3:C23)</f>
        <v>4443</v>
      </c>
      <c r="D24" s="6">
        <f t="shared" si="58"/>
        <v>3736</v>
      </c>
      <c r="E24" s="6">
        <f t="shared" si="58"/>
        <v>4191</v>
      </c>
      <c r="F24" s="6">
        <f t="shared" si="58"/>
        <v>3831</v>
      </c>
      <c r="G24" s="6">
        <f t="shared" si="58"/>
        <v>4048</v>
      </c>
      <c r="H24" s="6">
        <f t="shared" si="58"/>
        <v>4065</v>
      </c>
      <c r="I24" s="6">
        <f t="shared" si="58"/>
        <v>4441</v>
      </c>
      <c r="J24" s="6">
        <f t="shared" si="58"/>
        <v>3811</v>
      </c>
      <c r="K24" s="6">
        <f>SUM(K3:K23)</f>
        <v>3889</v>
      </c>
      <c r="L24" s="6">
        <f>SUM(L3:L23)</f>
        <v>3921</v>
      </c>
      <c r="M24" s="6">
        <f>SUM(M3:M23)</f>
        <v>4258</v>
      </c>
      <c r="N24" s="6">
        <f>SUM(N3:N23)</f>
        <v>4041</v>
      </c>
      <c r="O24" s="6">
        <f>SUM(O3:O23)</f>
        <v>4163</v>
      </c>
      <c r="P24" s="6">
        <f>SUM(P3:P23)</f>
        <v>4069</v>
      </c>
      <c r="Q24" s="6">
        <f>SUM(Q3:Q23)</f>
        <v>4287</v>
      </c>
      <c r="R24" s="6">
        <f>SUM(R3:R23)</f>
        <v>4391</v>
      </c>
      <c r="S24" s="6">
        <f>SUM(S3:S23)</f>
        <v>4871</v>
      </c>
      <c r="T24" s="6">
        <f>SUM(T3:T23)</f>
        <v>4881.5499999999993</v>
      </c>
      <c r="U24" s="6">
        <f>SUM(U3:U23)</f>
        <v>5063.1424999999999</v>
      </c>
      <c r="V24" s="6">
        <f>SUM(V3:V23)</f>
        <v>4868.2603750000007</v>
      </c>
      <c r="W24" s="6">
        <f>SUM(W3:W23)</f>
        <v>5088.93985625</v>
      </c>
      <c r="X24" s="6">
        <f>SUM(X3:X23)</f>
        <v>5066.6603634374997</v>
      </c>
      <c r="Y24" s="6">
        <f>SUM(Y3:Y23)</f>
        <v>5222.6443452656249</v>
      </c>
      <c r="Z24" s="6"/>
      <c r="AA24" s="6"/>
      <c r="AB24" s="6"/>
      <c r="AC24" s="6"/>
      <c r="AD24" s="6"/>
      <c r="AE24" s="6"/>
      <c r="AF24" s="6"/>
      <c r="AG24" s="6"/>
      <c r="AH24" s="6"/>
      <c r="AI24" s="6">
        <f t="shared" ref="AI24:AJ24" si="59">SUM(AI3:AI23)</f>
        <v>16385</v>
      </c>
      <c r="AJ24" s="6">
        <f t="shared" si="59"/>
        <v>15879</v>
      </c>
      <c r="AK24" s="6">
        <f>SUM(AK3:AK23)</f>
        <v>16560</v>
      </c>
      <c r="AL24" s="6">
        <f>SUM(AL3:AL23)</f>
        <v>19206.692500000001</v>
      </c>
      <c r="AM24" s="6">
        <f>SUM(AM3:AM23)</f>
        <v>20328.009875</v>
      </c>
      <c r="AN24" s="6">
        <f>SUM(AN3:AN23)</f>
        <v>21433.372941250003</v>
      </c>
      <c r="AO24" s="6">
        <f>SUM(AO3:AO23)</f>
        <v>22439.612410987502</v>
      </c>
      <c r="AP24" s="6">
        <f>SUM(AP3:AP23)</f>
        <v>22644.58142574213</v>
      </c>
      <c r="AQ24" s="6">
        <f>SUM(AQ3:AQ23)</f>
        <v>22175.504261755639</v>
      </c>
      <c r="AR24" s="6">
        <f>SUM(AR3:AR23)</f>
        <v>22599.656662115627</v>
      </c>
      <c r="AS24" s="6">
        <f>SUM(AS3:AS23)</f>
        <v>20465.021436322444</v>
      </c>
      <c r="AT24" s="6">
        <f>SUM(AT3:AT23)</f>
        <v>16245.681024172914</v>
      </c>
      <c r="AU24" s="6">
        <f>SUM(AU3:AU23)</f>
        <v>15845.786439261514</v>
      </c>
      <c r="AV24" s="6">
        <f>SUM(AV3:AV23)</f>
        <v>15509.092532262488</v>
      </c>
      <c r="AW24" s="6">
        <f>SUM(AW3:AW23)</f>
        <v>15247.201781104515</v>
      </c>
      <c r="AX24" s="6">
        <f>SUM(AX3:AX23)</f>
        <v>15021.039712016738</v>
      </c>
      <c r="AY24" s="6">
        <f>SUM(AY3:AY23)</f>
        <v>14711.57026714255</v>
      </c>
      <c r="AZ24" s="6">
        <f>SUM(AZ3:AZ23)</f>
        <v>14560.210665762163</v>
      </c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</row>
    <row r="25" spans="2:67" s="2" customFormat="1" x14ac:dyDescent="0.2">
      <c r="B25" s="2" t="s">
        <v>34</v>
      </c>
      <c r="C25" s="2">
        <v>1245</v>
      </c>
      <c r="D25" s="2">
        <v>987</v>
      </c>
      <c r="E25" s="2">
        <v>1075</v>
      </c>
      <c r="F25" s="4"/>
      <c r="G25" s="4">
        <v>1108</v>
      </c>
      <c r="H25" s="4">
        <v>1175</v>
      </c>
      <c r="I25" s="4">
        <v>1273</v>
      </c>
      <c r="J25" s="4">
        <v>968</v>
      </c>
      <c r="K25" s="4">
        <v>991</v>
      </c>
      <c r="L25" s="4">
        <v>1007</v>
      </c>
      <c r="M25" s="4">
        <f>966-31</f>
        <v>935</v>
      </c>
      <c r="N25" s="4">
        <f>847-34</f>
        <v>813</v>
      </c>
      <c r="O25" s="4">
        <v>1013</v>
      </c>
      <c r="P25" s="4">
        <f>1097-15</f>
        <v>1082</v>
      </c>
      <c r="Q25" s="4">
        <f>952-10</f>
        <v>942</v>
      </c>
      <c r="R25" s="4">
        <f>1052-4</f>
        <v>1048</v>
      </c>
      <c r="S25" s="4">
        <f>1206-4</f>
        <v>1202</v>
      </c>
      <c r="T25" s="4">
        <f t="shared" ref="T25:U25" si="60">+T24-T26</f>
        <v>1122.7565</v>
      </c>
      <c r="U25" s="4">
        <f t="shared" si="60"/>
        <v>1164.5227749999999</v>
      </c>
      <c r="V25" s="4">
        <f t="shared" ref="V25:Y25" si="61">+V24-V26</f>
        <v>1119.69988625</v>
      </c>
      <c r="W25" s="4">
        <f t="shared" si="61"/>
        <v>1170.4561669374998</v>
      </c>
      <c r="X25" s="4">
        <f t="shared" si="61"/>
        <v>1165.3318835906248</v>
      </c>
      <c r="Y25" s="4">
        <f t="shared" si="61"/>
        <v>1201.2081994110936</v>
      </c>
      <c r="Z25" s="4"/>
      <c r="AA25" s="4"/>
      <c r="AB25" s="4"/>
      <c r="AC25" s="4"/>
      <c r="AD25" s="4"/>
      <c r="AE25" s="4"/>
      <c r="AF25" s="4"/>
      <c r="AG25" s="4"/>
      <c r="AH25" s="4"/>
      <c r="AI25" s="2">
        <f t="shared" ref="AI25" si="62">SUM(F25:I25)</f>
        <v>3556</v>
      </c>
      <c r="AJ25" s="2">
        <f t="shared" ref="AJ25" si="63">SUM(J25:M25)</f>
        <v>3901</v>
      </c>
      <c r="AK25" s="4">
        <f t="shared" ref="AK25" si="64">SUM(N25:Q25)</f>
        <v>3850</v>
      </c>
      <c r="AL25" s="4">
        <f>SUM(R25:U25)</f>
        <v>4537.2792749999999</v>
      </c>
      <c r="AM25" s="4">
        <f>+AM24-AM26</f>
        <v>4472.1621724999986</v>
      </c>
      <c r="AN25" s="4">
        <f t="shared" ref="AN25:AZ25" si="65">+AN24-AN26</f>
        <v>4715.3420470749988</v>
      </c>
      <c r="AO25" s="4">
        <f t="shared" si="65"/>
        <v>4936.7147304172504</v>
      </c>
      <c r="AP25" s="4">
        <f t="shared" si="65"/>
        <v>4981.8079136632696</v>
      </c>
      <c r="AQ25" s="4">
        <f t="shared" si="65"/>
        <v>4878.6109375862397</v>
      </c>
      <c r="AR25" s="4">
        <f t="shared" si="65"/>
        <v>4971.9244656654373</v>
      </c>
      <c r="AS25" s="4">
        <f t="shared" si="65"/>
        <v>4502.3047159909365</v>
      </c>
      <c r="AT25" s="4">
        <f t="shared" si="65"/>
        <v>3574.0498253180413</v>
      </c>
      <c r="AU25" s="4">
        <f t="shared" si="65"/>
        <v>3486.0730166375324</v>
      </c>
      <c r="AV25" s="4">
        <f t="shared" si="65"/>
        <v>3412.0003570977478</v>
      </c>
      <c r="AW25" s="4">
        <f t="shared" si="65"/>
        <v>3354.384391842992</v>
      </c>
      <c r="AX25" s="4">
        <f t="shared" si="65"/>
        <v>3304.6287366436827</v>
      </c>
      <c r="AY25" s="4">
        <f t="shared" si="65"/>
        <v>3236.5454587713612</v>
      </c>
      <c r="AZ25" s="4">
        <f t="shared" si="65"/>
        <v>3203.2463464676748</v>
      </c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</row>
    <row r="26" spans="2:67" x14ac:dyDescent="0.2">
      <c r="B26" s="2" t="s">
        <v>33</v>
      </c>
      <c r="C26" s="2">
        <f>+C24-C25</f>
        <v>3198</v>
      </c>
      <c r="D26" s="2">
        <f>+D24-D25</f>
        <v>2749</v>
      </c>
      <c r="E26" s="2">
        <f>+E24-E25</f>
        <v>3116</v>
      </c>
      <c r="F26" s="4"/>
      <c r="G26" s="4">
        <f>+G24-G25</f>
        <v>2940</v>
      </c>
      <c r="H26" s="4">
        <f>+H24-H25</f>
        <v>2890</v>
      </c>
      <c r="I26" s="4">
        <f>+I24-I25</f>
        <v>3168</v>
      </c>
      <c r="J26" s="4">
        <f t="shared" ref="J26:K26" si="66">+J24-J25</f>
        <v>2843</v>
      </c>
      <c r="K26" s="4">
        <f t="shared" si="66"/>
        <v>2898</v>
      </c>
      <c r="L26" s="4">
        <f t="shared" ref="L26" si="67">+L24-L25</f>
        <v>2914</v>
      </c>
      <c r="M26" s="4">
        <f>+M24-M25</f>
        <v>3323</v>
      </c>
      <c r="N26" s="4">
        <f>+N24-N25</f>
        <v>3228</v>
      </c>
      <c r="O26" s="4">
        <f t="shared" ref="O26:R26" si="68">+O24-O25</f>
        <v>3150</v>
      </c>
      <c r="P26" s="4">
        <f t="shared" si="68"/>
        <v>2987</v>
      </c>
      <c r="Q26" s="4">
        <f t="shared" si="68"/>
        <v>3345</v>
      </c>
      <c r="R26" s="4">
        <f t="shared" si="68"/>
        <v>3343</v>
      </c>
      <c r="S26" s="4">
        <f>+S24-S25</f>
        <v>3669</v>
      </c>
      <c r="T26" s="4">
        <f t="shared" ref="T26:U26" si="69">+T24*0.77</f>
        <v>3758.7934999999993</v>
      </c>
      <c r="U26" s="4">
        <f t="shared" si="69"/>
        <v>3898.619725</v>
      </c>
      <c r="V26" s="4">
        <f t="shared" ref="V26:Y26" si="70">+V24*0.77</f>
        <v>3748.5604887500008</v>
      </c>
      <c r="W26" s="4">
        <f t="shared" si="70"/>
        <v>3918.4836893125002</v>
      </c>
      <c r="X26" s="4">
        <f t="shared" si="70"/>
        <v>3901.3284798468749</v>
      </c>
      <c r="Y26" s="4">
        <f t="shared" si="70"/>
        <v>4021.4361458545313</v>
      </c>
      <c r="AI26" s="4">
        <f t="shared" ref="AI26:AK26" si="71">+AI24-AI25</f>
        <v>12829</v>
      </c>
      <c r="AJ26" s="4">
        <f t="shared" si="71"/>
        <v>11978</v>
      </c>
      <c r="AK26" s="4">
        <f t="shared" si="71"/>
        <v>12710</v>
      </c>
      <c r="AL26" s="4">
        <f>+AL24-AL25</f>
        <v>14669.413225</v>
      </c>
      <c r="AM26" s="4">
        <f>+AM24*0.78</f>
        <v>15855.847702500001</v>
      </c>
      <c r="AN26" s="4">
        <f t="shared" ref="AN26:AZ26" si="72">+AN24*0.78</f>
        <v>16718.030894175005</v>
      </c>
      <c r="AO26" s="4">
        <f t="shared" si="72"/>
        <v>17502.897680570251</v>
      </c>
      <c r="AP26" s="4">
        <f t="shared" si="72"/>
        <v>17662.77351207886</v>
      </c>
      <c r="AQ26" s="4">
        <f t="shared" si="72"/>
        <v>17296.893324169399</v>
      </c>
      <c r="AR26" s="4">
        <f t="shared" si="72"/>
        <v>17627.73219645019</v>
      </c>
      <c r="AS26" s="4">
        <f t="shared" si="72"/>
        <v>15962.716720331508</v>
      </c>
      <c r="AT26" s="4">
        <f t="shared" si="72"/>
        <v>12671.631198854873</v>
      </c>
      <c r="AU26" s="4">
        <f t="shared" si="72"/>
        <v>12359.713422623981</v>
      </c>
      <c r="AV26" s="4">
        <f t="shared" si="72"/>
        <v>12097.09217516474</v>
      </c>
      <c r="AW26" s="4">
        <f t="shared" si="72"/>
        <v>11892.817389261523</v>
      </c>
      <c r="AX26" s="4">
        <f t="shared" si="72"/>
        <v>11716.410975373055</v>
      </c>
      <c r="AY26" s="4">
        <f t="shared" si="72"/>
        <v>11475.024808371189</v>
      </c>
      <c r="AZ26" s="4">
        <f t="shared" si="72"/>
        <v>11356.964319294488</v>
      </c>
    </row>
    <row r="27" spans="2:67" s="2" customFormat="1" x14ac:dyDescent="0.2">
      <c r="B27" s="2" t="s">
        <v>129</v>
      </c>
      <c r="C27" s="2">
        <v>1004</v>
      </c>
      <c r="D27" s="2">
        <v>1071</v>
      </c>
      <c r="E27" s="2">
        <v>1143</v>
      </c>
      <c r="F27" s="4"/>
      <c r="G27" s="4">
        <v>1042</v>
      </c>
      <c r="H27" s="4">
        <v>980</v>
      </c>
      <c r="I27" s="4">
        <v>1068</v>
      </c>
      <c r="J27" s="4">
        <v>957</v>
      </c>
      <c r="K27" s="4">
        <f>951+187</f>
        <v>1138</v>
      </c>
      <c r="L27" s="4">
        <f>1029+171-98</f>
        <v>1102</v>
      </c>
      <c r="M27" s="4">
        <f>1364-1</f>
        <v>1363</v>
      </c>
      <c r="N27" s="4">
        <f>1029-1</f>
        <v>1028</v>
      </c>
      <c r="O27" s="4">
        <f>968+167</f>
        <v>1135</v>
      </c>
      <c r="P27" s="4">
        <f>983+193-2</f>
        <v>1174</v>
      </c>
      <c r="Q27" s="4">
        <f>1501-4</f>
        <v>1497</v>
      </c>
      <c r="R27" s="4">
        <v>1068</v>
      </c>
      <c r="S27" s="4">
        <v>1238</v>
      </c>
      <c r="T27" s="4">
        <f t="shared" ref="T27:T28" si="73">+P27</f>
        <v>1174</v>
      </c>
      <c r="U27" s="4">
        <f t="shared" ref="U27:U28" si="74">+Q27</f>
        <v>1497</v>
      </c>
      <c r="V27" s="4">
        <f t="shared" ref="V27:V28" si="75">+R27</f>
        <v>1068</v>
      </c>
      <c r="W27" s="4">
        <f t="shared" ref="W27:W28" si="76">+S27</f>
        <v>1238</v>
      </c>
      <c r="X27" s="4">
        <f t="shared" ref="X27:X28" si="77">+T27</f>
        <v>1174</v>
      </c>
      <c r="Y27" s="4">
        <f t="shared" ref="Y27:Y28" si="78">+U27</f>
        <v>1497</v>
      </c>
      <c r="Z27" s="4"/>
      <c r="AA27" s="4"/>
      <c r="AB27" s="4"/>
      <c r="AC27" s="4"/>
      <c r="AD27" s="4"/>
      <c r="AE27" s="4"/>
      <c r="AF27" s="4"/>
      <c r="AG27" s="4"/>
      <c r="AH27" s="4"/>
      <c r="AI27" s="2">
        <f t="shared" ref="AI27:AI29" si="79">SUM(F27:I27)</f>
        <v>3090</v>
      </c>
      <c r="AJ27" s="2">
        <f t="shared" ref="AJ27:AJ29" si="80">SUM(J27:M27)</f>
        <v>4560</v>
      </c>
      <c r="AK27" s="4">
        <f t="shared" ref="AK27:AK29" si="81">SUM(N27:Q27)</f>
        <v>4834</v>
      </c>
      <c r="AL27" s="4">
        <f>SUM(R27:U27)</f>
        <v>4977</v>
      </c>
      <c r="AM27" s="4">
        <f>+AL27*1.02</f>
        <v>5076.54</v>
      </c>
      <c r="AN27" s="4">
        <f>+AN24*0.25</f>
        <v>5358.3432353125008</v>
      </c>
      <c r="AO27" s="4">
        <f t="shared" ref="AO27:AZ27" si="82">+AO24*0.25</f>
        <v>5609.9031027468754</v>
      </c>
      <c r="AP27" s="4">
        <f t="shared" si="82"/>
        <v>5661.1453564355324</v>
      </c>
      <c r="AQ27" s="4">
        <f t="shared" si="82"/>
        <v>5543.8760654389098</v>
      </c>
      <c r="AR27" s="4">
        <f t="shared" si="82"/>
        <v>5649.9141655289068</v>
      </c>
      <c r="AS27" s="4">
        <f t="shared" si="82"/>
        <v>5116.255359080611</v>
      </c>
      <c r="AT27" s="4">
        <f t="shared" si="82"/>
        <v>4061.4202560432286</v>
      </c>
      <c r="AU27" s="4">
        <f t="shared" si="82"/>
        <v>3961.4466098153785</v>
      </c>
      <c r="AV27" s="4">
        <f t="shared" si="82"/>
        <v>3877.273133065622</v>
      </c>
      <c r="AW27" s="4">
        <f t="shared" si="82"/>
        <v>3811.8004452761288</v>
      </c>
      <c r="AX27" s="4">
        <f t="shared" si="82"/>
        <v>3755.2599280041845</v>
      </c>
      <c r="AY27" s="4">
        <f t="shared" si="82"/>
        <v>3677.8925667856374</v>
      </c>
      <c r="AZ27" s="4">
        <f t="shared" si="82"/>
        <v>3640.0526664405406</v>
      </c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</row>
    <row r="28" spans="2:67" s="2" customFormat="1" x14ac:dyDescent="0.2">
      <c r="B28" s="2" t="s">
        <v>35</v>
      </c>
      <c r="C28" s="2">
        <v>962</v>
      </c>
      <c r="D28" s="2">
        <v>951</v>
      </c>
      <c r="E28" s="2">
        <v>1082</v>
      </c>
      <c r="F28" s="4"/>
      <c r="G28" s="4">
        <v>951</v>
      </c>
      <c r="H28" s="4">
        <v>893</v>
      </c>
      <c r="I28" s="4">
        <v>957</v>
      </c>
      <c r="J28" s="4">
        <v>946</v>
      </c>
      <c r="K28" s="4">
        <f>1416-458</f>
        <v>958</v>
      </c>
      <c r="L28" s="4">
        <f>983-65</f>
        <v>918</v>
      </c>
      <c r="M28" s="4">
        <f>1189-50</f>
        <v>1139</v>
      </c>
      <c r="N28" s="4">
        <f>1016-162</f>
        <v>854</v>
      </c>
      <c r="O28" s="4">
        <f>1856-871</f>
        <v>985</v>
      </c>
      <c r="P28" s="4">
        <f>1132-109</f>
        <v>1023</v>
      </c>
      <c r="Q28" s="4">
        <f>1916-554-160-27</f>
        <v>1175</v>
      </c>
      <c r="R28" s="4">
        <f>1136-138</f>
        <v>998</v>
      </c>
      <c r="S28" s="4">
        <f>1266-152</f>
        <v>1114</v>
      </c>
      <c r="T28" s="4">
        <f t="shared" si="73"/>
        <v>1023</v>
      </c>
      <c r="U28" s="4">
        <f t="shared" si="74"/>
        <v>1175</v>
      </c>
      <c r="V28" s="4">
        <f t="shared" si="75"/>
        <v>998</v>
      </c>
      <c r="W28" s="4">
        <f t="shared" si="76"/>
        <v>1114</v>
      </c>
      <c r="X28" s="4">
        <f t="shared" si="77"/>
        <v>1023</v>
      </c>
      <c r="Y28" s="4">
        <f t="shared" si="78"/>
        <v>1175</v>
      </c>
      <c r="Z28" s="4"/>
      <c r="AA28" s="4"/>
      <c r="AB28" s="4"/>
      <c r="AC28" s="4"/>
      <c r="AD28" s="4"/>
      <c r="AE28" s="4"/>
      <c r="AF28" s="4"/>
      <c r="AG28" s="4"/>
      <c r="AH28" s="4"/>
      <c r="AI28" s="2">
        <f t="shared" si="79"/>
        <v>2801</v>
      </c>
      <c r="AJ28" s="2">
        <f t="shared" si="80"/>
        <v>3961</v>
      </c>
      <c r="AK28" s="4">
        <f t="shared" si="81"/>
        <v>4037</v>
      </c>
      <c r="AL28" s="4">
        <f>SUM(R28:U28)</f>
        <v>4310</v>
      </c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</row>
    <row r="29" spans="2:67" s="2" customFormat="1" x14ac:dyDescent="0.2">
      <c r="B29" s="2" t="s">
        <v>130</v>
      </c>
      <c r="C29" s="2">
        <v>224</v>
      </c>
      <c r="D29" s="2">
        <v>167</v>
      </c>
      <c r="E29" s="2">
        <v>212</v>
      </c>
      <c r="F29" s="4"/>
      <c r="G29" s="4">
        <v>218</v>
      </c>
      <c r="H29" s="4">
        <v>194</v>
      </c>
      <c r="I29" s="4">
        <v>254</v>
      </c>
      <c r="J29" s="4">
        <v>163</v>
      </c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2">
        <f t="shared" si="79"/>
        <v>666</v>
      </c>
      <c r="AJ29" s="2">
        <f t="shared" si="80"/>
        <v>163</v>
      </c>
      <c r="AK29" s="4">
        <f t="shared" si="81"/>
        <v>0</v>
      </c>
      <c r="AL29" s="4">
        <f>SUM(R29:U29)</f>
        <v>0</v>
      </c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</row>
    <row r="30" spans="2:67" s="2" customFormat="1" x14ac:dyDescent="0.2">
      <c r="B30" s="2" t="s">
        <v>36</v>
      </c>
      <c r="C30" s="4">
        <f t="shared" ref="C30:H30" si="83">SUM(C27:C29)</f>
        <v>2190</v>
      </c>
      <c r="D30" s="4">
        <f t="shared" si="83"/>
        <v>2189</v>
      </c>
      <c r="E30" s="4">
        <f t="shared" si="83"/>
        <v>2437</v>
      </c>
      <c r="F30" s="4">
        <f t="shared" si="83"/>
        <v>0</v>
      </c>
      <c r="G30" s="4">
        <f t="shared" si="83"/>
        <v>2211</v>
      </c>
      <c r="H30" s="4">
        <f t="shared" si="83"/>
        <v>2067</v>
      </c>
      <c r="I30" s="4">
        <f>SUM(I27:I29)</f>
        <v>2279</v>
      </c>
      <c r="J30" s="4">
        <f>SUM(J27:J29)</f>
        <v>2066</v>
      </c>
      <c r="K30" s="4">
        <f t="shared" ref="K30" si="84">+K28+K27</f>
        <v>2096</v>
      </c>
      <c r="L30" s="4">
        <f t="shared" ref="L30" si="85">+L28+L27</f>
        <v>2020</v>
      </c>
      <c r="M30" s="4">
        <f t="shared" ref="M30:Q30" si="86">+M28+M27</f>
        <v>2502</v>
      </c>
      <c r="N30" s="4">
        <f t="shared" si="86"/>
        <v>1882</v>
      </c>
      <c r="O30" s="4">
        <f t="shared" si="86"/>
        <v>2120</v>
      </c>
      <c r="P30" s="4">
        <f t="shared" si="86"/>
        <v>2197</v>
      </c>
      <c r="Q30" s="4">
        <f t="shared" si="86"/>
        <v>2672</v>
      </c>
      <c r="R30" s="4">
        <f>+R28+R27</f>
        <v>2066</v>
      </c>
      <c r="S30" s="4">
        <f t="shared" ref="S30:U30" si="87">+S28+S27</f>
        <v>2352</v>
      </c>
      <c r="T30" s="4">
        <f t="shared" si="87"/>
        <v>2197</v>
      </c>
      <c r="U30" s="4">
        <f t="shared" si="87"/>
        <v>2672</v>
      </c>
      <c r="V30" s="4">
        <f t="shared" ref="V30:Y30" si="88">+V28+V27</f>
        <v>2066</v>
      </c>
      <c r="W30" s="4">
        <f t="shared" si="88"/>
        <v>2352</v>
      </c>
      <c r="X30" s="4">
        <f t="shared" si="88"/>
        <v>2197</v>
      </c>
      <c r="Y30" s="4">
        <f t="shared" si="88"/>
        <v>2672</v>
      </c>
      <c r="Z30" s="4"/>
      <c r="AA30" s="4"/>
      <c r="AB30" s="4"/>
      <c r="AC30" s="4"/>
      <c r="AD30" s="4"/>
      <c r="AE30" s="4"/>
      <c r="AF30" s="4"/>
      <c r="AG30" s="4"/>
      <c r="AH30" s="4"/>
      <c r="AI30" s="4">
        <f>SUM(AI27:AI29)</f>
        <v>6557</v>
      </c>
      <c r="AJ30" s="4">
        <f t="shared" ref="AJ30:AL30" si="89">SUM(AJ27:AJ29)</f>
        <v>8684</v>
      </c>
      <c r="AK30" s="4">
        <f t="shared" si="89"/>
        <v>8871</v>
      </c>
      <c r="AL30" s="4">
        <f t="shared" si="89"/>
        <v>9287</v>
      </c>
      <c r="AM30" s="4">
        <f t="shared" ref="AM30" si="90">+AM28+AM27</f>
        <v>5076.54</v>
      </c>
      <c r="AN30" s="4">
        <f t="shared" ref="AN30" si="91">+AN28+AN27</f>
        <v>5358.3432353125008</v>
      </c>
      <c r="AO30" s="4">
        <f t="shared" ref="AO30" si="92">+AO28+AO27</f>
        <v>5609.9031027468754</v>
      </c>
      <c r="AP30" s="4">
        <f t="shared" ref="AP30" si="93">+AP28+AP27</f>
        <v>5661.1453564355324</v>
      </c>
      <c r="AQ30" s="4">
        <f t="shared" ref="AQ30" si="94">+AQ28+AQ27</f>
        <v>5543.8760654389098</v>
      </c>
      <c r="AR30" s="4">
        <f t="shared" ref="AR30" si="95">+AR28+AR27</f>
        <v>5649.9141655289068</v>
      </c>
      <c r="AS30" s="4">
        <f t="shared" ref="AS30" si="96">+AS28+AS27</f>
        <v>5116.255359080611</v>
      </c>
      <c r="AT30" s="4">
        <f t="shared" ref="AT30" si="97">+AT28+AT27</f>
        <v>4061.4202560432286</v>
      </c>
      <c r="AU30" s="4">
        <f t="shared" ref="AU30" si="98">+AU28+AU27</f>
        <v>3961.4466098153785</v>
      </c>
      <c r="AV30" s="4">
        <f t="shared" ref="AV30" si="99">+AV28+AV27</f>
        <v>3877.273133065622</v>
      </c>
      <c r="AW30" s="4">
        <f t="shared" ref="AW30" si="100">+AW28+AW27</f>
        <v>3811.8004452761288</v>
      </c>
      <c r="AX30" s="4">
        <f t="shared" ref="AX30" si="101">+AX28+AX27</f>
        <v>3755.2599280041845</v>
      </c>
      <c r="AY30" s="4">
        <f t="shared" ref="AY30" si="102">+AY28+AY27</f>
        <v>3677.8925667856374</v>
      </c>
      <c r="AZ30" s="4">
        <f t="shared" ref="AZ30" si="103">+AZ28+AZ27</f>
        <v>3640.0526664405406</v>
      </c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</row>
    <row r="31" spans="2:67" s="2" customFormat="1" x14ac:dyDescent="0.2">
      <c r="B31" s="2" t="s">
        <v>37</v>
      </c>
      <c r="C31" s="4">
        <f t="shared" ref="C31:H31" si="104">C26-C30</f>
        <v>1008</v>
      </c>
      <c r="D31" s="4">
        <f t="shared" si="104"/>
        <v>560</v>
      </c>
      <c r="E31" s="4">
        <f t="shared" si="104"/>
        <v>679</v>
      </c>
      <c r="F31" s="4">
        <f t="shared" si="104"/>
        <v>0</v>
      </c>
      <c r="G31" s="4">
        <f t="shared" si="104"/>
        <v>729</v>
      </c>
      <c r="H31" s="4">
        <f t="shared" si="104"/>
        <v>823</v>
      </c>
      <c r="I31" s="4">
        <f>I26-I30</f>
        <v>889</v>
      </c>
      <c r="J31" s="4">
        <f>J26-J30</f>
        <v>777</v>
      </c>
      <c r="K31" s="4">
        <f t="shared" ref="K31" si="105">K26-K30</f>
        <v>802</v>
      </c>
      <c r="L31" s="4">
        <f t="shared" ref="L31" si="106">L26-L30</f>
        <v>894</v>
      </c>
      <c r="M31" s="4">
        <f t="shared" ref="M31" si="107">M26-M30</f>
        <v>821</v>
      </c>
      <c r="N31" s="4">
        <f>N26-N30</f>
        <v>1346</v>
      </c>
      <c r="O31" s="4">
        <f t="shared" ref="O31:R31" si="108">O26-O30</f>
        <v>1030</v>
      </c>
      <c r="P31" s="4">
        <f t="shared" si="108"/>
        <v>790</v>
      </c>
      <c r="Q31" s="4">
        <f>Q26-Q30</f>
        <v>673</v>
      </c>
      <c r="R31" s="4">
        <f t="shared" si="108"/>
        <v>1277</v>
      </c>
      <c r="S31" s="4">
        <f t="shared" ref="S31" si="109">S26-S30</f>
        <v>1317</v>
      </c>
      <c r="T31" s="4">
        <f t="shared" ref="T31" si="110">T26-T30</f>
        <v>1561.7934999999993</v>
      </c>
      <c r="U31" s="4">
        <f t="shared" ref="U31:Y31" si="111">U26-U30</f>
        <v>1226.619725</v>
      </c>
      <c r="V31" s="4">
        <f t="shared" si="111"/>
        <v>1682.5604887500008</v>
      </c>
      <c r="W31" s="4">
        <f t="shared" si="111"/>
        <v>1566.4836893125002</v>
      </c>
      <c r="X31" s="4">
        <f t="shared" si="111"/>
        <v>1704.3284798468749</v>
      </c>
      <c r="Y31" s="4">
        <f t="shared" si="111"/>
        <v>1349.4361458545313</v>
      </c>
      <c r="Z31" s="4"/>
      <c r="AA31" s="4"/>
      <c r="AB31" s="4"/>
      <c r="AC31" s="4"/>
      <c r="AD31" s="4"/>
      <c r="AE31" s="4"/>
      <c r="AF31" s="4"/>
      <c r="AG31" s="4"/>
      <c r="AH31" s="4"/>
      <c r="AI31" s="4">
        <f t="shared" ref="AI31:AK31" si="112">AI26-AI30</f>
        <v>6272</v>
      </c>
      <c r="AJ31" s="4">
        <f t="shared" si="112"/>
        <v>3294</v>
      </c>
      <c r="AK31" s="4">
        <f t="shared" si="112"/>
        <v>3839</v>
      </c>
      <c r="AL31" s="4">
        <f>AL26-AL30</f>
        <v>5382.4132250000002</v>
      </c>
      <c r="AM31" s="4">
        <f t="shared" ref="AM31" si="113">AM26-AM30</f>
        <v>10779.307702500002</v>
      </c>
      <c r="AN31" s="4">
        <f t="shared" ref="AN31" si="114">AN26-AN30</f>
        <v>11359.687658862504</v>
      </c>
      <c r="AO31" s="4">
        <f t="shared" ref="AO31" si="115">AO26-AO30</f>
        <v>11892.994577823376</v>
      </c>
      <c r="AP31" s="4">
        <f t="shared" ref="AP31" si="116">AP26-AP30</f>
        <v>12001.628155643328</v>
      </c>
      <c r="AQ31" s="4">
        <f t="shared" ref="AQ31" si="117">AQ26-AQ30</f>
        <v>11753.01725873049</v>
      </c>
      <c r="AR31" s="4">
        <f t="shared" ref="AR31" si="118">AR26-AR30</f>
        <v>11977.818030921284</v>
      </c>
      <c r="AS31" s="4">
        <f t="shared" ref="AS31" si="119">AS26-AS30</f>
        <v>10846.461361250897</v>
      </c>
      <c r="AT31" s="4">
        <f t="shared" ref="AT31" si="120">AT26-AT30</f>
        <v>8610.2109428116455</v>
      </c>
      <c r="AU31" s="4">
        <f t="shared" ref="AU31" si="121">AU26-AU30</f>
        <v>8398.2668128086025</v>
      </c>
      <c r="AV31" s="4">
        <f t="shared" ref="AV31" si="122">AV26-AV30</f>
        <v>8219.8190420991177</v>
      </c>
      <c r="AW31" s="4">
        <f t="shared" ref="AW31" si="123">AW26-AW30</f>
        <v>8081.0169439853944</v>
      </c>
      <c r="AX31" s="4">
        <f t="shared" ref="AX31" si="124">AX26-AX30</f>
        <v>7961.1510473688704</v>
      </c>
      <c r="AY31" s="4">
        <f t="shared" ref="AY31" si="125">AY26-AY30</f>
        <v>7797.1322415855511</v>
      </c>
      <c r="AZ31" s="4">
        <f t="shared" ref="AZ31" si="126">AZ26-AZ30</f>
        <v>7716.9116528539471</v>
      </c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</row>
    <row r="32" spans="2:67" s="2" customFormat="1" x14ac:dyDescent="0.2">
      <c r="B32" s="2" t="s">
        <v>38</v>
      </c>
      <c r="C32" s="2">
        <v>51</v>
      </c>
      <c r="D32" s="2">
        <v>-11</v>
      </c>
      <c r="E32" s="2">
        <v>-166</v>
      </c>
      <c r="F32" s="4"/>
      <c r="G32" s="4">
        <v>-199</v>
      </c>
      <c r="H32" s="4">
        <v>-5</v>
      </c>
      <c r="I32" s="4">
        <v>-20</v>
      </c>
      <c r="J32" s="4">
        <v>208</v>
      </c>
      <c r="K32" s="4">
        <v>104</v>
      </c>
      <c r="L32" s="4">
        <f>277-203</f>
        <v>74</v>
      </c>
      <c r="M32" s="4">
        <f>-799+850</f>
        <v>51</v>
      </c>
      <c r="N32" s="4">
        <f>299-122</f>
        <v>177</v>
      </c>
      <c r="O32" s="4">
        <f>-107+237</f>
        <v>130</v>
      </c>
      <c r="P32" s="4">
        <f>323-227</f>
        <v>96</v>
      </c>
      <c r="Q32" s="4">
        <f>-238+338</f>
        <v>100</v>
      </c>
      <c r="R32" s="4">
        <f>520-185</f>
        <v>335</v>
      </c>
      <c r="S32" s="4">
        <v>220</v>
      </c>
      <c r="T32" s="4">
        <f t="shared" ref="T32:U32" si="127">AVERAGE(P32:S32)</f>
        <v>187.75</v>
      </c>
      <c r="U32" s="4">
        <f t="shared" si="127"/>
        <v>210.6875</v>
      </c>
      <c r="V32" s="4">
        <f t="shared" ref="V32" si="128">AVERAGE(R32:U32)</f>
        <v>238.359375</v>
      </c>
      <c r="W32" s="4">
        <f t="shared" ref="W32" si="129">AVERAGE(S32:V32)</f>
        <v>214.19921875</v>
      </c>
      <c r="X32" s="4">
        <f t="shared" ref="X32" si="130">AVERAGE(T32:W32)</f>
        <v>212.7490234375</v>
      </c>
      <c r="Y32" s="4">
        <f t="shared" ref="Y32" si="131">AVERAGE(U32:X32)</f>
        <v>218.998779296875</v>
      </c>
      <c r="Z32" s="4"/>
      <c r="AA32" s="4"/>
      <c r="AB32" s="4"/>
      <c r="AC32" s="4"/>
      <c r="AD32" s="4"/>
      <c r="AE32" s="4"/>
      <c r="AF32" s="4"/>
      <c r="AG32" s="4"/>
      <c r="AH32" s="4"/>
      <c r="AI32" s="2">
        <f t="shared" ref="AI32" si="132">SUM(F32:I32)</f>
        <v>-224</v>
      </c>
      <c r="AJ32" s="2">
        <f t="shared" ref="AJ32" si="133">SUM(J32:M32)</f>
        <v>437</v>
      </c>
      <c r="AK32" s="4">
        <f t="shared" ref="AK32" si="134">SUM(N32:Q32)</f>
        <v>503</v>
      </c>
      <c r="AL32" s="4">
        <f>SUM(R32:U32)</f>
        <v>953.4375</v>
      </c>
      <c r="AM32" s="4">
        <f>+AL32</f>
        <v>953.4375</v>
      </c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</row>
    <row r="33" spans="2:101" s="2" customFormat="1" x14ac:dyDescent="0.2">
      <c r="B33" s="2" t="s">
        <v>39</v>
      </c>
      <c r="C33" s="4">
        <f t="shared" ref="C33" si="135">+C31+C32</f>
        <v>1059</v>
      </c>
      <c r="D33" s="4">
        <f t="shared" ref="D33:E33" si="136">+D31+D32</f>
        <v>549</v>
      </c>
      <c r="E33" s="4">
        <f t="shared" si="136"/>
        <v>513</v>
      </c>
      <c r="F33" s="4"/>
      <c r="G33" s="4">
        <f t="shared" ref="G33:H33" si="137">+G31+G32</f>
        <v>530</v>
      </c>
      <c r="H33" s="4">
        <f t="shared" si="137"/>
        <v>818</v>
      </c>
      <c r="I33" s="4">
        <f t="shared" ref="I33:K33" si="138">+I31+I32</f>
        <v>869</v>
      </c>
      <c r="J33" s="4">
        <f t="shared" si="138"/>
        <v>985</v>
      </c>
      <c r="K33" s="4">
        <f t="shared" si="138"/>
        <v>906</v>
      </c>
      <c r="L33" s="4">
        <f t="shared" ref="L33" si="139">+L31+L32</f>
        <v>968</v>
      </c>
      <c r="M33" s="4">
        <f t="shared" ref="M33" si="140">+M31+M32</f>
        <v>872</v>
      </c>
      <c r="N33" s="4">
        <f>+N31+N32</f>
        <v>1523</v>
      </c>
      <c r="O33" s="4">
        <f t="shared" ref="O33:R33" si="141">+O31+O32</f>
        <v>1160</v>
      </c>
      <c r="P33" s="4">
        <f t="shared" si="141"/>
        <v>886</v>
      </c>
      <c r="Q33" s="4">
        <f t="shared" si="141"/>
        <v>773</v>
      </c>
      <c r="R33" s="4">
        <f t="shared" si="141"/>
        <v>1612</v>
      </c>
      <c r="S33" s="4">
        <f t="shared" ref="S33" si="142">+S31+S32</f>
        <v>1537</v>
      </c>
      <c r="T33" s="4">
        <f t="shared" ref="T33" si="143">+T31+T32</f>
        <v>1749.5434999999993</v>
      </c>
      <c r="U33" s="4">
        <f t="shared" ref="U33:Y33" si="144">+U31+U32</f>
        <v>1437.307225</v>
      </c>
      <c r="V33" s="4">
        <f t="shared" si="144"/>
        <v>1920.9198637500008</v>
      </c>
      <c r="W33" s="4">
        <f t="shared" si="144"/>
        <v>1780.6829080625002</v>
      </c>
      <c r="X33" s="4">
        <f t="shared" si="144"/>
        <v>1917.0775032843749</v>
      </c>
      <c r="Y33" s="4">
        <f t="shared" si="144"/>
        <v>1568.4349251514063</v>
      </c>
      <c r="Z33" s="4"/>
      <c r="AA33" s="4"/>
      <c r="AB33" s="4"/>
      <c r="AC33" s="4"/>
      <c r="AD33" s="4"/>
      <c r="AE33" s="4"/>
      <c r="AF33" s="4"/>
      <c r="AG33" s="4"/>
      <c r="AH33" s="4"/>
      <c r="AI33" s="4">
        <f t="shared" ref="AI33:AL33" si="145">+AI31+AI32</f>
        <v>6048</v>
      </c>
      <c r="AJ33" s="4">
        <f t="shared" si="145"/>
        <v>3731</v>
      </c>
      <c r="AK33" s="4">
        <f t="shared" si="145"/>
        <v>4342</v>
      </c>
      <c r="AL33" s="4">
        <f t="shared" ref="AL33" si="146">+AL31+AL32</f>
        <v>6335.8507250000002</v>
      </c>
      <c r="AM33" s="4">
        <f t="shared" ref="AM33" si="147">+AM31+AM32</f>
        <v>11732.745202500002</v>
      </c>
      <c r="AN33" s="4">
        <f t="shared" ref="AN33" si="148">+AN31+AN32</f>
        <v>11359.687658862504</v>
      </c>
      <c r="AO33" s="4">
        <f t="shared" ref="AO33" si="149">+AO31+AO32</f>
        <v>11892.994577823376</v>
      </c>
      <c r="AP33" s="4">
        <f t="shared" ref="AP33" si="150">+AP31+AP32</f>
        <v>12001.628155643328</v>
      </c>
      <c r="AQ33" s="4">
        <f t="shared" ref="AQ33" si="151">+AQ31+AQ32</f>
        <v>11753.01725873049</v>
      </c>
      <c r="AR33" s="4">
        <f t="shared" ref="AR33" si="152">+AR31+AR32</f>
        <v>11977.818030921284</v>
      </c>
      <c r="AS33" s="4">
        <f t="shared" ref="AS33" si="153">+AS31+AS32</f>
        <v>10846.461361250897</v>
      </c>
      <c r="AT33" s="4">
        <f t="shared" ref="AT33" si="154">+AT31+AT32</f>
        <v>8610.2109428116455</v>
      </c>
      <c r="AU33" s="4">
        <f t="shared" ref="AU33" si="155">+AU31+AU32</f>
        <v>8398.2668128086025</v>
      </c>
      <c r="AV33" s="4">
        <f t="shared" ref="AV33" si="156">+AV31+AV32</f>
        <v>8219.8190420991177</v>
      </c>
      <c r="AW33" s="4">
        <f t="shared" ref="AW33" si="157">+AW31+AW32</f>
        <v>8081.0169439853944</v>
      </c>
      <c r="AX33" s="4">
        <f t="shared" ref="AX33" si="158">+AX31+AX32</f>
        <v>7961.1510473688704</v>
      </c>
      <c r="AY33" s="4">
        <f t="shared" ref="AY33" si="159">+AY31+AY32</f>
        <v>7797.1322415855511</v>
      </c>
      <c r="AZ33" s="4">
        <f t="shared" ref="AZ33" si="160">+AZ31+AZ32</f>
        <v>7716.9116528539471</v>
      </c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</row>
    <row r="34" spans="2:101" s="2" customFormat="1" x14ac:dyDescent="0.2">
      <c r="B34" s="2" t="s">
        <v>40</v>
      </c>
      <c r="C34" s="2">
        <f>251+163</f>
        <v>414</v>
      </c>
      <c r="D34" s="2">
        <v>0</v>
      </c>
      <c r="E34" s="2">
        <f>-411-1</f>
        <v>-412</v>
      </c>
      <c r="F34" s="4"/>
      <c r="G34" s="4">
        <v>-6</v>
      </c>
      <c r="H34" s="4">
        <v>126</v>
      </c>
      <c r="I34" s="4">
        <f>134-9</f>
        <v>125</v>
      </c>
      <c r="J34" s="4">
        <f>49-1</f>
        <v>48</v>
      </c>
      <c r="K34" s="4">
        <f>114+1+102</f>
        <v>217</v>
      </c>
      <c r="L34" s="4">
        <f>276+11</f>
        <v>287</v>
      </c>
      <c r="M34" s="4">
        <f>-87+174</f>
        <v>87</v>
      </c>
      <c r="N34" s="4">
        <f>249+13+68</f>
        <v>330</v>
      </c>
      <c r="O34" s="4">
        <f>162+20+116</f>
        <v>298</v>
      </c>
      <c r="P34" s="4">
        <f>257+24</f>
        <v>281</v>
      </c>
      <c r="Q34" s="4">
        <f>-191+308</f>
        <v>117</v>
      </c>
      <c r="R34" s="4">
        <f>449+83+11</f>
        <v>543</v>
      </c>
      <c r="S34" s="4">
        <f>427+22</f>
        <v>449</v>
      </c>
      <c r="T34" s="4">
        <f t="shared" ref="T34:U34" si="161">T33*0.22</f>
        <v>384.89956999999987</v>
      </c>
      <c r="U34" s="4">
        <f t="shared" si="161"/>
        <v>316.20758949999998</v>
      </c>
      <c r="V34" s="4">
        <f t="shared" ref="V34:Y34" si="162">V33*0.22</f>
        <v>422.6023700250002</v>
      </c>
      <c r="W34" s="4">
        <f t="shared" si="162"/>
        <v>391.75023977375008</v>
      </c>
      <c r="X34" s="4">
        <f t="shared" si="162"/>
        <v>421.7570507225625</v>
      </c>
      <c r="Y34" s="4">
        <f t="shared" si="162"/>
        <v>345.05568353330938</v>
      </c>
      <c r="Z34" s="4"/>
      <c r="AA34" s="4"/>
      <c r="AB34" s="4"/>
      <c r="AC34" s="4"/>
      <c r="AD34" s="4"/>
      <c r="AE34" s="4"/>
      <c r="AF34" s="4"/>
      <c r="AG34" s="4"/>
      <c r="AH34" s="4"/>
      <c r="AI34" s="2">
        <f t="shared" ref="AI34" si="163">SUM(F34:I34)</f>
        <v>245</v>
      </c>
      <c r="AJ34" s="2">
        <f t="shared" ref="AJ34" si="164">SUM(J34:M34)</f>
        <v>639</v>
      </c>
      <c r="AK34" s="4">
        <f t="shared" ref="AK34" si="165">SUM(N34:Q34)</f>
        <v>1026</v>
      </c>
      <c r="AL34" s="4">
        <f>SUM(R34:U34)</f>
        <v>1693.1071594999999</v>
      </c>
      <c r="AM34" s="4">
        <f>+AM33*0.25</f>
        <v>2933.1863006250005</v>
      </c>
      <c r="AN34" s="4">
        <f t="shared" ref="AN34:AZ34" si="166">+AN33*0.25</f>
        <v>2839.9219147156259</v>
      </c>
      <c r="AO34" s="4">
        <f t="shared" si="166"/>
        <v>2973.248644455844</v>
      </c>
      <c r="AP34" s="4">
        <f t="shared" si="166"/>
        <v>3000.4070389108319</v>
      </c>
      <c r="AQ34" s="4">
        <f t="shared" si="166"/>
        <v>2938.2543146826224</v>
      </c>
      <c r="AR34" s="4">
        <f t="shared" si="166"/>
        <v>2994.454507730321</v>
      </c>
      <c r="AS34" s="4">
        <f t="shared" si="166"/>
        <v>2711.6153403127241</v>
      </c>
      <c r="AT34" s="4">
        <f t="shared" si="166"/>
        <v>2152.5527357029114</v>
      </c>
      <c r="AU34" s="4">
        <f t="shared" si="166"/>
        <v>2099.5667032021506</v>
      </c>
      <c r="AV34" s="4">
        <f t="shared" si="166"/>
        <v>2054.9547605247794</v>
      </c>
      <c r="AW34" s="4">
        <f t="shared" si="166"/>
        <v>2020.2542359963486</v>
      </c>
      <c r="AX34" s="4">
        <f t="shared" si="166"/>
        <v>1990.2877618422176</v>
      </c>
      <c r="AY34" s="4">
        <f t="shared" si="166"/>
        <v>1949.2830603963878</v>
      </c>
      <c r="AZ34" s="4">
        <f t="shared" si="166"/>
        <v>1929.2279132134868</v>
      </c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</row>
    <row r="35" spans="2:101" x14ac:dyDescent="0.2">
      <c r="B35" s="2" t="s">
        <v>41</v>
      </c>
      <c r="C35" s="4">
        <f t="shared" ref="C35" si="167">+C33-C34</f>
        <v>645</v>
      </c>
      <c r="D35" s="4">
        <f t="shared" ref="D35:E35" si="168">+D33-D34</f>
        <v>549</v>
      </c>
      <c r="E35" s="4">
        <f t="shared" si="168"/>
        <v>925</v>
      </c>
      <c r="F35" s="4"/>
      <c r="G35" s="4">
        <f t="shared" ref="G35:H35" si="169">+G33-G34</f>
        <v>536</v>
      </c>
      <c r="H35" s="4">
        <f t="shared" si="169"/>
        <v>692</v>
      </c>
      <c r="I35" s="4">
        <f t="shared" ref="I35:K35" si="170">+I33-I34</f>
        <v>744</v>
      </c>
      <c r="J35" s="4">
        <f t="shared" si="170"/>
        <v>937</v>
      </c>
      <c r="K35" s="4">
        <f t="shared" si="170"/>
        <v>689</v>
      </c>
      <c r="L35" s="4">
        <f t="shared" ref="L35" si="171">+L33-L34</f>
        <v>681</v>
      </c>
      <c r="M35" s="4">
        <f t="shared" ref="M35" si="172">+M33-M34</f>
        <v>785</v>
      </c>
      <c r="N35" s="4">
        <f>+N33-N34</f>
        <v>1193</v>
      </c>
      <c r="O35" s="4">
        <f t="shared" ref="O35:R35" si="173">+O33-O34</f>
        <v>862</v>
      </c>
      <c r="P35" s="4">
        <f t="shared" si="173"/>
        <v>605</v>
      </c>
      <c r="Q35" s="4">
        <f t="shared" si="173"/>
        <v>656</v>
      </c>
      <c r="R35" s="4">
        <f t="shared" si="173"/>
        <v>1069</v>
      </c>
      <c r="S35" s="4">
        <f t="shared" ref="S35" si="174">+S33-S34</f>
        <v>1088</v>
      </c>
      <c r="T35" s="4">
        <f t="shared" ref="T35" si="175">+T33-T34</f>
        <v>1364.6439299999995</v>
      </c>
      <c r="U35" s="4">
        <f t="shared" ref="U35:Y35" si="176">+U33-U34</f>
        <v>1121.0996355</v>
      </c>
      <c r="V35" s="4">
        <f t="shared" si="176"/>
        <v>1498.3174937250005</v>
      </c>
      <c r="W35" s="4">
        <f t="shared" si="176"/>
        <v>1388.9326682887502</v>
      </c>
      <c r="X35" s="4">
        <f t="shared" si="176"/>
        <v>1495.3204525618123</v>
      </c>
      <c r="Y35" s="4">
        <f t="shared" si="176"/>
        <v>1223.379241618097</v>
      </c>
      <c r="AH35" s="4"/>
      <c r="AI35" s="4">
        <f t="shared" ref="AH35:AL35" si="177">+AI33-AI34</f>
        <v>5803</v>
      </c>
      <c r="AJ35" s="4">
        <f t="shared" si="177"/>
        <v>3092</v>
      </c>
      <c r="AK35" s="4">
        <f t="shared" si="177"/>
        <v>3316</v>
      </c>
      <c r="AL35" s="4">
        <f t="shared" ref="AK35:AM35" si="178">+AL33-AL34</f>
        <v>4642.7435655000008</v>
      </c>
      <c r="AM35" s="4">
        <f t="shared" si="178"/>
        <v>8799.5589018750015</v>
      </c>
      <c r="AN35" s="4">
        <f t="shared" ref="AN35" si="179">+AN33-AN34</f>
        <v>8519.7657441468782</v>
      </c>
      <c r="AO35" s="4">
        <f t="shared" ref="AO35" si="180">+AO33-AO34</f>
        <v>8919.7459333675324</v>
      </c>
      <c r="AP35" s="4">
        <f t="shared" ref="AP35" si="181">+AP33-AP34</f>
        <v>9001.2211167324967</v>
      </c>
      <c r="AQ35" s="4">
        <f t="shared" ref="AQ35" si="182">+AQ33-AQ34</f>
        <v>8814.7629440478668</v>
      </c>
      <c r="AR35" s="4">
        <f t="shared" ref="AR35" si="183">+AR33-AR34</f>
        <v>8983.363523190963</v>
      </c>
      <c r="AS35" s="4">
        <f t="shared" ref="AS35" si="184">+AS33-AS34</f>
        <v>8134.8460209381719</v>
      </c>
      <c r="AT35" s="4">
        <f t="shared" ref="AT35" si="185">+AT33-AT34</f>
        <v>6457.6582071087341</v>
      </c>
      <c r="AU35" s="4">
        <f t="shared" ref="AU35" si="186">+AU33-AU34</f>
        <v>6298.7001096064523</v>
      </c>
      <c r="AV35" s="4">
        <f t="shared" ref="AV35" si="187">+AV33-AV34</f>
        <v>6164.8642815743387</v>
      </c>
      <c r="AW35" s="4">
        <f t="shared" ref="AW35" si="188">+AW33-AW34</f>
        <v>6060.7627079890462</v>
      </c>
      <c r="AX35" s="4">
        <f t="shared" ref="AX35" si="189">+AX33-AX34</f>
        <v>5970.8632855266533</v>
      </c>
      <c r="AY35" s="4">
        <f t="shared" ref="AY35" si="190">+AY33-AY34</f>
        <v>5847.8491811891636</v>
      </c>
      <c r="AZ35" s="4">
        <f t="shared" ref="AZ35" si="191">+AZ33-AZ34</f>
        <v>5787.6837396404608</v>
      </c>
      <c r="BA35" s="4">
        <f>+AZ35*(1+$BD$45)</f>
        <v>5729.8069022440559</v>
      </c>
      <c r="BB35" s="4">
        <f>+BA35*(1+$BD$45)</f>
        <v>5672.5088332216155</v>
      </c>
      <c r="BC35" s="4">
        <f>+BB35*(1+$BD$45)</f>
        <v>5615.7837448893997</v>
      </c>
      <c r="BD35" s="4">
        <f>+BC35*(1+$BD$45)</f>
        <v>5559.6259074405052</v>
      </c>
      <c r="BE35" s="4">
        <f>+BD35*(1+$BD$45)</f>
        <v>5504.0296483661004</v>
      </c>
      <c r="BF35" s="4">
        <f>+BE35*(1+$BD$45)</f>
        <v>5448.9893518824392</v>
      </c>
      <c r="BG35" s="4">
        <f>+BF35*(1+$BD$45)</f>
        <v>5394.4994583636144</v>
      </c>
      <c r="BH35" s="4">
        <f>+BG35*(1+$BD$45)</f>
        <v>5340.5544637799785</v>
      </c>
      <c r="BI35" s="4">
        <f>+BH35*(1+$BD$45)</f>
        <v>5287.1489191421788</v>
      </c>
      <c r="BJ35" s="4">
        <f>+BI35*(1+$BD$45)</f>
        <v>5234.2774299507573</v>
      </c>
      <c r="BK35" s="4">
        <f>+BJ35*(1+$BD$45)</f>
        <v>5181.9346556512501</v>
      </c>
      <c r="BL35" s="4">
        <f>+BK35*(1+$BD$45)</f>
        <v>5130.1153090947373</v>
      </c>
      <c r="BM35" s="4">
        <f>+BL35*(1+$BD$45)</f>
        <v>5078.8141560037902</v>
      </c>
      <c r="BN35" s="4">
        <f>+BM35*(1+$BD$45)</f>
        <v>5028.0260144437525</v>
      </c>
      <c r="BO35" s="4">
        <f>+BN35*(1+$BD$45)</f>
        <v>4977.7457542993152</v>
      </c>
      <c r="BP35" s="4">
        <f>+BO35*(1+$BD$45)</f>
        <v>4927.9682967563222</v>
      </c>
      <c r="BQ35" s="4">
        <f>+BP35*(1+$BD$45)</f>
        <v>4878.6886137887586</v>
      </c>
      <c r="BR35" s="4">
        <f>+BQ35*(1+$BD$45)</f>
        <v>4829.9017276508712</v>
      </c>
      <c r="BS35" s="4">
        <f>+BR35*(1+$BD$45)</f>
        <v>4781.6027103743627</v>
      </c>
      <c r="BT35" s="4">
        <f>+BS35*(1+$BD$45)</f>
        <v>4733.7866832706186</v>
      </c>
      <c r="BU35" s="4">
        <f>+BT35*(1+$BD$45)</f>
        <v>4686.4488164379127</v>
      </c>
      <c r="BV35" s="4">
        <f>+BU35*(1+$BD$45)</f>
        <v>4639.5843282735332</v>
      </c>
      <c r="BW35" s="4">
        <f>+BV35*(1+$BD$45)</f>
        <v>4593.1884849907974</v>
      </c>
      <c r="BX35" s="4">
        <f>+BW35*(1+$BD$45)</f>
        <v>4547.2566001408895</v>
      </c>
      <c r="BY35" s="4">
        <f>+BX35*(1+$BD$45)</f>
        <v>4501.7840341394804</v>
      </c>
      <c r="BZ35" s="4">
        <f>+BY35*(1+$BD$45)</f>
        <v>4456.7661937980856</v>
      </c>
      <c r="CA35" s="4">
        <f>+BZ35*(1+$BD$45)</f>
        <v>4412.1985318601046</v>
      </c>
      <c r="CB35" s="4">
        <f>+CA35*(1+$BD$45)</f>
        <v>4368.0765465415034</v>
      </c>
      <c r="CC35" s="4">
        <f>+CB35*(1+$BD$45)</f>
        <v>4324.3957810760885</v>
      </c>
      <c r="CD35" s="4">
        <f>+CC35*(1+$BD$45)</f>
        <v>4281.1518232653279</v>
      </c>
      <c r="CE35" s="4">
        <f>+CD35*(1+$BD$45)</f>
        <v>4238.3403050326742</v>
      </c>
      <c r="CF35" s="4">
        <f>+CE35*(1+$BD$45)</f>
        <v>4195.9569019823475</v>
      </c>
      <c r="CG35" s="4">
        <f>+CF35*(1+$BD$45)</f>
        <v>4153.9973329625236</v>
      </c>
      <c r="CH35" s="4">
        <f>+CG35*(1+$BD$45)</f>
        <v>4112.4573596328983</v>
      </c>
      <c r="CI35" s="4">
        <f>+CH35*(1+$BD$45)</f>
        <v>4071.3327860365694</v>
      </c>
      <c r="CJ35" s="4">
        <f>+CI35*(1+$BD$45)</f>
        <v>4030.6194581762038</v>
      </c>
      <c r="CK35" s="4">
        <f>+CJ35*(1+$BD$45)</f>
        <v>3990.3132635944417</v>
      </c>
      <c r="CL35" s="4">
        <f>+CK35*(1+$BD$45)</f>
        <v>3950.4101309584971</v>
      </c>
      <c r="CM35" s="4">
        <f>+CL35*(1+$BD$45)</f>
        <v>3910.906029648912</v>
      </c>
      <c r="CN35" s="4">
        <f>+CM35*(1+$BD$45)</f>
        <v>3871.7969693524228</v>
      </c>
      <c r="CO35" s="4">
        <f>+CN35*(1+$BD$45)</f>
        <v>3833.0789996588987</v>
      </c>
      <c r="CP35" s="4">
        <f>+CO35*(1+$BD$45)</f>
        <v>3794.7482096623098</v>
      </c>
      <c r="CQ35" s="4">
        <f>+CP35*(1+$BD$45)</f>
        <v>3756.8007275656869</v>
      </c>
      <c r="CR35" s="4">
        <f>+CQ35*(1+$BD$45)</f>
        <v>3719.2327202900301</v>
      </c>
      <c r="CS35" s="4">
        <f>+CR35*(1+$BD$45)</f>
        <v>3682.0403930871298</v>
      </c>
      <c r="CT35" s="4">
        <f>+CS35*(1+$BD$45)</f>
        <v>3645.2199891562586</v>
      </c>
      <c r="CU35" s="4">
        <f>+CT35*(1+$BD$45)</f>
        <v>3608.7677892646961</v>
      </c>
      <c r="CV35" s="4">
        <f>+CU35*(1+$BD$45)</f>
        <v>3572.6801113720489</v>
      </c>
      <c r="CW35" s="4">
        <f>+CV35*(1+$BD$45)</f>
        <v>3536.9533102583282</v>
      </c>
    </row>
    <row r="36" spans="2:101" x14ac:dyDescent="0.2">
      <c r="B36" s="2" t="s">
        <v>42</v>
      </c>
      <c r="C36" s="7">
        <f t="shared" ref="C36" si="192">C35/C37</f>
        <v>0.37918871252204583</v>
      </c>
      <c r="D36" s="7">
        <f t="shared" ref="D36:E36" si="193">D35/D37</f>
        <v>0.32953181272509002</v>
      </c>
      <c r="E36" s="7">
        <f t="shared" si="193"/>
        <v>0.55655836341756915</v>
      </c>
      <c r="F36" s="4"/>
      <c r="G36" s="7">
        <f t="shared" ref="G36:H36" si="194">G35/G37</f>
        <v>0.32289156626506021</v>
      </c>
      <c r="H36" s="7">
        <f t="shared" si="194"/>
        <v>0.41636582430806257</v>
      </c>
      <c r="I36" s="7">
        <f t="shared" ref="I36:K36" si="195">I35/I37</f>
        <v>0.44657863145258103</v>
      </c>
      <c r="J36" s="7">
        <f t="shared" si="195"/>
        <v>0.56541967081469524</v>
      </c>
      <c r="K36" s="7">
        <f t="shared" si="195"/>
        <v>0.41282204913121628</v>
      </c>
      <c r="L36" s="7">
        <f t="shared" ref="L36" si="196">L35/L37</f>
        <v>0.40778443113772456</v>
      </c>
      <c r="M36" s="7">
        <f t="shared" ref="M36:Q36" si="197">M35/M37</f>
        <v>0.46921697549312613</v>
      </c>
      <c r="N36" s="7">
        <f t="shared" si="197"/>
        <v>0.71181384248210022</v>
      </c>
      <c r="O36" s="7">
        <f t="shared" si="197"/>
        <v>0.51709658068386322</v>
      </c>
      <c r="P36" s="7">
        <f t="shared" si="197"/>
        <v>0.36054827175208581</v>
      </c>
      <c r="Q36" s="7">
        <f t="shared" si="197"/>
        <v>0.39304973037747154</v>
      </c>
      <c r="R36" s="7">
        <f>R35/R37</f>
        <v>0.63630952380952377</v>
      </c>
      <c r="S36" s="7">
        <f t="shared" ref="S36:U36" si="198">S35/S37</f>
        <v>0.65116245665400652</v>
      </c>
      <c r="T36" s="7">
        <f t="shared" si="198"/>
        <v>0.81673243926174433</v>
      </c>
      <c r="U36" s="7">
        <f t="shared" si="198"/>
        <v>0.67097241985853973</v>
      </c>
      <c r="V36" s="7">
        <f t="shared" ref="V36:Y36" si="199">V35/V37</f>
        <v>0.89673538608607106</v>
      </c>
      <c r="W36" s="7">
        <f t="shared" si="199"/>
        <v>0.83126912537675268</v>
      </c>
      <c r="X36" s="7">
        <f t="shared" si="199"/>
        <v>0.89494167221978904</v>
      </c>
      <c r="Y36" s="7">
        <f t="shared" si="199"/>
        <v>0.73218624300694435</v>
      </c>
      <c r="AI36" s="7">
        <f t="shared" ref="AI36:AM36" si="200">AI35/AI37</f>
        <v>3.4901764234161989</v>
      </c>
      <c r="AJ36" s="7">
        <f t="shared" si="200"/>
        <v>1.85450192041276</v>
      </c>
      <c r="AK36" s="7">
        <f t="shared" si="200"/>
        <v>1.982660687593423</v>
      </c>
      <c r="AL36" s="7">
        <f t="shared" si="200"/>
        <v>2.7748627451859331</v>
      </c>
      <c r="AM36" s="7">
        <f t="shared" si="200"/>
        <v>5.2592971863292064</v>
      </c>
      <c r="AN36" s="7">
        <f t="shared" ref="AN36" si="201">AN35/AN37</f>
        <v>5.0920711487967871</v>
      </c>
      <c r="AO36" s="7">
        <f t="shared" ref="AO36" si="202">AO35/AO37</f>
        <v>5.331130254737583</v>
      </c>
      <c r="AP36" s="7">
        <f t="shared" ref="AP36" si="203">AP35/AP37</f>
        <v>5.3798261277245469</v>
      </c>
      <c r="AQ36" s="7">
        <f t="shared" ref="AQ36" si="204">AQ35/AQ37</f>
        <v>5.2683842982074554</v>
      </c>
      <c r="AR36" s="7">
        <f t="shared" ref="AR36" si="205">AR35/AR37</f>
        <v>5.3691530482537582</v>
      </c>
      <c r="AS36" s="7">
        <f t="shared" ref="AS36" si="206">AS35/AS37</f>
        <v>4.8620133425125651</v>
      </c>
      <c r="AT36" s="7">
        <f t="shared" ref="AT36" si="207">AT35/AT37</f>
        <v>3.8595961476757572</v>
      </c>
      <c r="AU36" s="7">
        <f t="shared" ref="AU36" si="208">AU35/AU37</f>
        <v>3.7645904906581245</v>
      </c>
      <c r="AV36" s="7">
        <f t="shared" ref="AV36" si="209">AV35/AV37</f>
        <v>3.6845998454850633</v>
      </c>
      <c r="AW36" s="7">
        <f t="shared" ref="AW36" si="210">AW35/AW37</f>
        <v>3.6223806911893965</v>
      </c>
      <c r="AX36" s="7">
        <f t="shared" ref="AX36" si="211">AX35/AX37</f>
        <v>3.5686498411682277</v>
      </c>
      <c r="AY36" s="7">
        <f t="shared" ref="AY36" si="212">AY35/AY37</f>
        <v>3.4951270953084199</v>
      </c>
      <c r="AZ36" s="7">
        <f t="shared" ref="AZ36" si="213">AZ35/AZ37</f>
        <v>3.4591675726800841</v>
      </c>
    </row>
    <row r="37" spans="2:101" s="2" customFormat="1" x14ac:dyDescent="0.2">
      <c r="B37" s="2" t="s">
        <v>1</v>
      </c>
      <c r="C37" s="2">
        <v>1701</v>
      </c>
      <c r="D37" s="2">
        <v>1666</v>
      </c>
      <c r="E37" s="2">
        <v>1662</v>
      </c>
      <c r="F37" s="4"/>
      <c r="G37" s="4">
        <v>1660</v>
      </c>
      <c r="H37" s="4">
        <v>1662</v>
      </c>
      <c r="I37" s="4">
        <v>1666</v>
      </c>
      <c r="J37" s="4">
        <v>1657.176162</v>
      </c>
      <c r="K37" s="4">
        <v>1669</v>
      </c>
      <c r="L37" s="4">
        <v>1670</v>
      </c>
      <c r="M37" s="4">
        <v>1673</v>
      </c>
      <c r="N37" s="4">
        <v>1676</v>
      </c>
      <c r="O37" s="4">
        <v>1667</v>
      </c>
      <c r="P37" s="4">
        <v>1678</v>
      </c>
      <c r="Q37" s="4">
        <v>1669</v>
      </c>
      <c r="R37" s="4">
        <v>1680</v>
      </c>
      <c r="S37" s="4">
        <v>1670.8579999999999</v>
      </c>
      <c r="T37" s="4">
        <f t="shared" ref="T37:U37" si="214">+S37</f>
        <v>1670.8579999999999</v>
      </c>
      <c r="U37" s="4">
        <f t="shared" si="214"/>
        <v>1670.8579999999999</v>
      </c>
      <c r="V37" s="4">
        <f t="shared" ref="V37" si="215">+U37</f>
        <v>1670.8579999999999</v>
      </c>
      <c r="W37" s="4">
        <f t="shared" ref="W37" si="216">+V37</f>
        <v>1670.8579999999999</v>
      </c>
      <c r="X37" s="4">
        <f t="shared" ref="X37" si="217">+W37</f>
        <v>1670.8579999999999</v>
      </c>
      <c r="Y37" s="4">
        <f t="shared" ref="Y37" si="218">+X37</f>
        <v>1670.8579999999999</v>
      </c>
      <c r="Z37" s="4"/>
      <c r="AA37" s="4"/>
      <c r="AB37" s="4"/>
      <c r="AC37" s="4"/>
      <c r="AD37" s="4"/>
      <c r="AE37" s="4"/>
      <c r="AF37" s="4"/>
      <c r="AG37" s="4"/>
      <c r="AH37" s="4"/>
      <c r="AI37" s="4">
        <f>AVERAGE(F37:I37)</f>
        <v>1662.6666666666667</v>
      </c>
      <c r="AJ37" s="4">
        <f>AVERAGE(J37:M37)</f>
        <v>1667.2940404999999</v>
      </c>
      <c r="AK37" s="4">
        <f>AVERAGE(N37:Q37)</f>
        <v>1672.5</v>
      </c>
      <c r="AL37" s="4">
        <f>AVERAGE(R37:U37)</f>
        <v>1673.1435000000001</v>
      </c>
      <c r="AM37" s="4">
        <f>+AL37</f>
        <v>1673.1435000000001</v>
      </c>
      <c r="AN37" s="4">
        <f t="shared" ref="AN37:AZ37" si="219">+AM37</f>
        <v>1673.1435000000001</v>
      </c>
      <c r="AO37" s="4">
        <f t="shared" si="219"/>
        <v>1673.1435000000001</v>
      </c>
      <c r="AP37" s="4">
        <f t="shared" si="219"/>
        <v>1673.1435000000001</v>
      </c>
      <c r="AQ37" s="4">
        <f t="shared" si="219"/>
        <v>1673.1435000000001</v>
      </c>
      <c r="AR37" s="4">
        <f t="shared" si="219"/>
        <v>1673.1435000000001</v>
      </c>
      <c r="AS37" s="4">
        <f t="shared" si="219"/>
        <v>1673.1435000000001</v>
      </c>
      <c r="AT37" s="4">
        <f t="shared" si="219"/>
        <v>1673.1435000000001</v>
      </c>
      <c r="AU37" s="4">
        <f t="shared" si="219"/>
        <v>1673.1435000000001</v>
      </c>
      <c r="AV37" s="4">
        <f t="shared" si="219"/>
        <v>1673.1435000000001</v>
      </c>
      <c r="AW37" s="4">
        <f t="shared" si="219"/>
        <v>1673.1435000000001</v>
      </c>
      <c r="AX37" s="4">
        <f t="shared" si="219"/>
        <v>1673.1435000000001</v>
      </c>
      <c r="AY37" s="4">
        <f t="shared" si="219"/>
        <v>1673.1435000000001</v>
      </c>
      <c r="AZ37" s="4">
        <f t="shared" si="219"/>
        <v>1673.1435000000001</v>
      </c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</row>
    <row r="39" spans="2:101" s="22" customFormat="1" x14ac:dyDescent="0.2">
      <c r="B39" s="5" t="s">
        <v>50</v>
      </c>
      <c r="C39" s="5"/>
      <c r="D39" s="5"/>
      <c r="E39" s="5"/>
      <c r="F39" s="6"/>
      <c r="G39" s="24">
        <f>G24/C24-1</f>
        <v>-8.8903893765473807E-2</v>
      </c>
      <c r="H39" s="24">
        <f>H24/D24-1</f>
        <v>8.8062098501070718E-2</v>
      </c>
      <c r="I39" s="24">
        <f>I24/E24-1</f>
        <v>5.9651634454784164E-2</v>
      </c>
      <c r="J39" s="24">
        <f>J24/F24-1</f>
        <v>-5.2205690420256134E-3</v>
      </c>
      <c r="K39" s="24">
        <f>K24/G24-1</f>
        <v>-3.9278656126482181E-2</v>
      </c>
      <c r="L39" s="24">
        <f>L24/H24-1</f>
        <v>-3.54243542435424E-2</v>
      </c>
      <c r="M39" s="24">
        <f>M24/I24-1</f>
        <v>-4.1206935374915599E-2</v>
      </c>
      <c r="N39" s="24">
        <f>N24/J24-1</f>
        <v>6.0351613749672017E-2</v>
      </c>
      <c r="O39" s="24">
        <f>O24/K24-1</f>
        <v>7.045512985343283E-2</v>
      </c>
      <c r="P39" s="24">
        <f t="shared" ref="P39:U39" si="220">P24/L24-1</f>
        <v>3.7745473093598658E-2</v>
      </c>
      <c r="Q39" s="24">
        <f t="shared" si="220"/>
        <v>6.8107092531703994E-3</v>
      </c>
      <c r="R39" s="24">
        <f t="shared" si="220"/>
        <v>8.6612224696857254E-2</v>
      </c>
      <c r="S39" s="24">
        <f t="shared" si="220"/>
        <v>0.17006966130194567</v>
      </c>
      <c r="T39" s="24">
        <f t="shared" si="220"/>
        <v>0.19969279921356575</v>
      </c>
      <c r="U39" s="24">
        <f t="shared" si="220"/>
        <v>0.18104560298577099</v>
      </c>
      <c r="V39" s="24">
        <f t="shared" ref="V39" si="221">V24/R24-1</f>
        <v>0.10869058870416781</v>
      </c>
      <c r="W39" s="24">
        <f t="shared" ref="W39" si="222">W24/S24-1</f>
        <v>4.4742323188257105E-2</v>
      </c>
      <c r="X39" s="24">
        <f t="shared" ref="X39" si="223">X24/T24-1</f>
        <v>3.7920407132468359E-2</v>
      </c>
      <c r="Y39" s="24">
        <f t="shared" ref="Y39" si="224">Y24/U24-1</f>
        <v>3.1502539236378357E-2</v>
      </c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23"/>
      <c r="AP39" s="23"/>
      <c r="AQ39" s="23"/>
      <c r="AR39" s="23"/>
      <c r="AS39" s="23"/>
      <c r="AT39" s="23"/>
      <c r="AU39" s="23"/>
      <c r="AV39" s="23"/>
      <c r="AW39" s="23"/>
      <c r="AX39" s="23"/>
      <c r="AY39" s="23"/>
      <c r="AZ39" s="23"/>
      <c r="BA39" s="23"/>
      <c r="BB39" s="23"/>
      <c r="BC39" s="23"/>
      <c r="BD39" s="23"/>
      <c r="BE39" s="23"/>
      <c r="BF39" s="23"/>
      <c r="BG39" s="23"/>
      <c r="BH39" s="23"/>
      <c r="BI39" s="23"/>
      <c r="BJ39" s="23"/>
      <c r="BK39" s="23"/>
      <c r="BL39" s="23"/>
      <c r="BM39" s="23"/>
      <c r="BN39" s="23"/>
      <c r="BO39" s="23"/>
    </row>
    <row r="40" spans="2:101" x14ac:dyDescent="0.2">
      <c r="B40" s="2" t="s">
        <v>96</v>
      </c>
      <c r="C40" s="2"/>
      <c r="D40" s="2"/>
      <c r="E40" s="2"/>
      <c r="F40" s="4"/>
      <c r="G40" s="4"/>
      <c r="H40" s="4"/>
      <c r="I40" s="4"/>
      <c r="L40" s="14"/>
      <c r="M40" s="14"/>
      <c r="N40" s="14"/>
      <c r="O40" s="14"/>
      <c r="P40" s="14">
        <f t="shared" ref="P40:Q40" si="225">P3/L3-1</f>
        <v>304</v>
      </c>
      <c r="Q40" s="14">
        <f t="shared" si="225"/>
        <v>94</v>
      </c>
      <c r="R40" s="14">
        <f>R3/N3-1</f>
        <v>16.600000000000001</v>
      </c>
      <c r="S40" s="14">
        <f>S3/O3-1</f>
        <v>5.8852459016393439</v>
      </c>
      <c r="T40" s="14">
        <f>T3/P3-1</f>
        <v>2</v>
      </c>
      <c r="U40" s="14">
        <f>U3/Q3-1</f>
        <v>1.0842105263157893</v>
      </c>
      <c r="V40" s="14">
        <f>V3/R3-1</f>
        <v>0.47727272727272729</v>
      </c>
      <c r="W40" s="14">
        <f>W3/S3-1</f>
        <v>0.29761904761904767</v>
      </c>
      <c r="X40" s="14">
        <f>X3/T3-1</f>
        <v>0.24590163934426235</v>
      </c>
      <c r="Y40" s="14">
        <f>Y3/U3-1</f>
        <v>0.20202020202020199</v>
      </c>
    </row>
    <row r="41" spans="2:101" x14ac:dyDescent="0.2">
      <c r="B41" s="2" t="s">
        <v>98</v>
      </c>
      <c r="C41" s="2"/>
      <c r="D41" s="2"/>
      <c r="E41" s="14"/>
      <c r="F41" s="14"/>
      <c r="G41" s="14">
        <f t="shared" ref="G41:G42" si="226">G4/C4-1</f>
        <v>11</v>
      </c>
      <c r="H41" s="14" t="e">
        <f t="shared" ref="H41:H42" si="227">H4/D4-1</f>
        <v>#DIV/0!</v>
      </c>
      <c r="I41" s="14">
        <f t="shared" ref="I41:I42" si="228">I4/E4-1</f>
        <v>70</v>
      </c>
      <c r="J41" s="14">
        <f t="shared" ref="J41:J42" si="229">J4/F4-1</f>
        <v>3.8181818181818183</v>
      </c>
      <c r="K41" s="14">
        <f t="shared" ref="K41:K42" si="230">K4/G4-1</f>
        <v>13.25</v>
      </c>
      <c r="L41" s="14">
        <f t="shared" ref="L41:Q41" si="231">L4/H4-1</f>
        <v>4.2682926829268295</v>
      </c>
      <c r="M41" s="14">
        <f t="shared" si="231"/>
        <v>2.9577464788732395</v>
      </c>
      <c r="N41" s="14">
        <f t="shared" si="231"/>
        <v>2.3490566037735849</v>
      </c>
      <c r="O41" s="14">
        <f t="shared" si="231"/>
        <v>1.5555555555555554</v>
      </c>
      <c r="P41" s="14">
        <f t="shared" si="231"/>
        <v>1.1574074074074074</v>
      </c>
      <c r="Q41" s="14">
        <f t="shared" si="231"/>
        <v>1.1423487544483986</v>
      </c>
      <c r="R41" s="14">
        <f>R4/N4-1</f>
        <v>1.0676056338028168</v>
      </c>
      <c r="S41" s="14">
        <f t="shared" ref="S41:Y41" si="232">S4/O4-1</f>
        <v>0.77803203661327225</v>
      </c>
      <c r="T41" s="14">
        <f t="shared" si="232"/>
        <v>0.77467811158798283</v>
      </c>
      <c r="U41" s="14">
        <f t="shared" si="232"/>
        <v>0.45681063122923593</v>
      </c>
      <c r="V41" s="14">
        <f t="shared" si="232"/>
        <v>0.10000000000000009</v>
      </c>
      <c r="W41" s="14">
        <f t="shared" si="232"/>
        <v>0.10000000000000009</v>
      </c>
      <c r="X41" s="14">
        <f t="shared" si="232"/>
        <v>0.10000000000000009</v>
      </c>
      <c r="Y41" s="14">
        <f t="shared" si="232"/>
        <v>0.10000000000000009</v>
      </c>
    </row>
    <row r="42" spans="2:101" x14ac:dyDescent="0.2">
      <c r="B42" s="2" t="s">
        <v>97</v>
      </c>
      <c r="C42" s="2"/>
      <c r="D42" s="2"/>
      <c r="E42" s="14"/>
      <c r="F42" s="14"/>
      <c r="G42" s="14">
        <f t="shared" si="226"/>
        <v>0.27868852459016402</v>
      </c>
      <c r="H42" s="14">
        <f t="shared" si="227"/>
        <v>0.20152091254752857</v>
      </c>
      <c r="I42" s="14">
        <f t="shared" si="228"/>
        <v>0.29893238434163694</v>
      </c>
      <c r="J42" s="14">
        <f t="shared" si="229"/>
        <v>0.19163763066202089</v>
      </c>
      <c r="K42" s="14">
        <f t="shared" si="230"/>
        <v>0.17948717948717952</v>
      </c>
      <c r="L42" s="14">
        <f t="shared" ref="L42:Q42" si="233">L5/H5-1</f>
        <v>0.21835443037974689</v>
      </c>
      <c r="M42" s="14">
        <f t="shared" si="233"/>
        <v>9.0410958904109551E-2</v>
      </c>
      <c r="N42" s="14">
        <f t="shared" si="233"/>
        <v>9.6491228070175517E-2</v>
      </c>
      <c r="O42" s="14">
        <f t="shared" si="233"/>
        <v>0.10054347826086962</v>
      </c>
      <c r="P42" s="14">
        <f t="shared" si="233"/>
        <v>6.7532467532467555E-2</v>
      </c>
      <c r="Q42" s="14">
        <f t="shared" si="233"/>
        <v>7.7889447236180853E-2</v>
      </c>
      <c r="R42" s="14">
        <f>R5/N5-1</f>
        <v>8.5333333333333261E-2</v>
      </c>
      <c r="S42" s="14">
        <f t="shared" ref="S42:Y42" si="234">S5/O5-1</f>
        <v>0.11358024691358026</v>
      </c>
      <c r="T42" s="14">
        <f t="shared" si="234"/>
        <v>0.10948905109489049</v>
      </c>
      <c r="U42" s="14">
        <f t="shared" si="234"/>
        <v>7.4592074592074509E-2</v>
      </c>
      <c r="V42" s="14">
        <f t="shared" si="234"/>
        <v>5.0000000000000044E-2</v>
      </c>
      <c r="W42" s="14">
        <f t="shared" si="234"/>
        <v>5.0000000000000044E-2</v>
      </c>
      <c r="X42" s="14">
        <f t="shared" si="234"/>
        <v>5.0000000000000044E-2</v>
      </c>
      <c r="Y42" s="14">
        <f t="shared" si="234"/>
        <v>5.0000000000000044E-2</v>
      </c>
    </row>
    <row r="43" spans="2:101" x14ac:dyDescent="0.2">
      <c r="B43" s="2" t="s">
        <v>32</v>
      </c>
      <c r="C43" s="14">
        <f t="shared" ref="C43:D43" si="235">C26/C24</f>
        <v>0.71978392977717753</v>
      </c>
      <c r="D43" s="14">
        <f t="shared" si="235"/>
        <v>0.73581370449678796</v>
      </c>
      <c r="E43" s="14">
        <f t="shared" ref="E43:I43" si="236">E26/E24</f>
        <v>0.74349797184442856</v>
      </c>
      <c r="F43" s="14">
        <f t="shared" si="236"/>
        <v>0</v>
      </c>
      <c r="G43" s="14">
        <f t="shared" si="236"/>
        <v>0.72628458498023718</v>
      </c>
      <c r="H43" s="14">
        <f t="shared" si="236"/>
        <v>0.71094710947109474</v>
      </c>
      <c r="I43" s="14">
        <f>I26/I24</f>
        <v>0.71335284845755464</v>
      </c>
      <c r="J43" s="14">
        <f>J26/J24</f>
        <v>0.74599842561007612</v>
      </c>
      <c r="K43" s="14">
        <f>K26/K24</f>
        <v>0.74517870917973772</v>
      </c>
      <c r="L43" s="14">
        <f>L26/L24</f>
        <v>0.74317776077531239</v>
      </c>
      <c r="M43" s="14">
        <f>M26/M24</f>
        <v>0.78041333959605452</v>
      </c>
      <c r="N43" s="14">
        <f>N26/N24</f>
        <v>0.79881217520415737</v>
      </c>
      <c r="O43" s="14">
        <f>O26/O24</f>
        <v>0.75666586596204655</v>
      </c>
      <c r="P43" s="14">
        <f>P26/P24</f>
        <v>0.73408699926271814</v>
      </c>
      <c r="Q43" s="14">
        <f>Q26/Q24</f>
        <v>0.78026592022393282</v>
      </c>
      <c r="R43" s="14">
        <f>R26/R24</f>
        <v>0.76132999316784333</v>
      </c>
      <c r="S43" s="14">
        <f>S26/S24</f>
        <v>0.75323342229521661</v>
      </c>
      <c r="T43" s="14">
        <f>T26/T24</f>
        <v>0.77</v>
      </c>
      <c r="U43" s="14">
        <f>U26/U24</f>
        <v>0.77</v>
      </c>
      <c r="V43" s="14"/>
      <c r="W43" s="14"/>
      <c r="X43" s="14"/>
      <c r="Y43" s="14"/>
      <c r="BC43" s="1" t="s">
        <v>86</v>
      </c>
      <c r="BD43" s="14">
        <v>0.01</v>
      </c>
    </row>
    <row r="44" spans="2:101" x14ac:dyDescent="0.2">
      <c r="B44" s="2" t="s">
        <v>51</v>
      </c>
      <c r="C44" s="14">
        <f t="shared" ref="C44:D44" si="237">C34/C33</f>
        <v>0.39093484419263458</v>
      </c>
      <c r="D44" s="14">
        <f t="shared" si="237"/>
        <v>0</v>
      </c>
      <c r="E44" s="14">
        <f t="shared" ref="E44:I44" si="238">E34/E33</f>
        <v>-0.80311890838206623</v>
      </c>
      <c r="F44" s="14" t="e">
        <f t="shared" si="238"/>
        <v>#DIV/0!</v>
      </c>
      <c r="G44" s="14">
        <f t="shared" si="238"/>
        <v>-1.1320754716981131E-2</v>
      </c>
      <c r="H44" s="14">
        <f t="shared" si="238"/>
        <v>0.15403422982885084</v>
      </c>
      <c r="I44" s="14">
        <f>I34/I33</f>
        <v>0.14384349827387802</v>
      </c>
      <c r="J44" s="14">
        <f>J34/J33</f>
        <v>4.8730964467005075E-2</v>
      </c>
      <c r="K44" s="14">
        <f>K34/K33</f>
        <v>0.23951434878587197</v>
      </c>
      <c r="L44" s="14">
        <f>L34/L33</f>
        <v>0.29648760330578511</v>
      </c>
      <c r="M44" s="14">
        <f>M34/M33</f>
        <v>9.9770642201834861E-2</v>
      </c>
      <c r="N44" s="14">
        <f>N34/N33</f>
        <v>0.21667760998030203</v>
      </c>
      <c r="O44" s="14">
        <f>O34/O33</f>
        <v>0.25689655172413794</v>
      </c>
      <c r="P44" s="14">
        <f>P34/P33</f>
        <v>0.31715575620767494</v>
      </c>
      <c r="Q44" s="14">
        <f>Q34/Q33</f>
        <v>0.15135834411384216</v>
      </c>
      <c r="R44" s="14">
        <f>R34/R33</f>
        <v>0.336848635235732</v>
      </c>
      <c r="S44" s="14">
        <f>S34/S33</f>
        <v>0.29212752114508783</v>
      </c>
      <c r="T44" s="14">
        <f>T34/T33</f>
        <v>0.22</v>
      </c>
      <c r="U44" s="14">
        <f>U34/U33</f>
        <v>0.21999999999999997</v>
      </c>
      <c r="V44" s="14"/>
      <c r="W44" s="14"/>
      <c r="X44" s="14"/>
      <c r="Y44" s="14"/>
      <c r="BC44" s="1" t="s">
        <v>87</v>
      </c>
      <c r="BD44" s="14">
        <v>0.06</v>
      </c>
    </row>
    <row r="45" spans="2:101" x14ac:dyDescent="0.2">
      <c r="BC45" s="1" t="s">
        <v>88</v>
      </c>
      <c r="BD45" s="14">
        <v>-0.01</v>
      </c>
    </row>
    <row r="46" spans="2:101" x14ac:dyDescent="0.2">
      <c r="B46" s="2" t="s">
        <v>53</v>
      </c>
      <c r="C46" s="2"/>
      <c r="D46" s="2"/>
      <c r="E46" s="2"/>
      <c r="F46" s="4"/>
      <c r="G46" s="4"/>
      <c r="H46" s="4"/>
      <c r="I46" s="4"/>
      <c r="R46" s="4">
        <f>+R47-R57</f>
        <v>1297</v>
      </c>
      <c r="S46" s="4">
        <f>+S47-S57</f>
        <v>1196</v>
      </c>
      <c r="T46" s="4">
        <f>+S46+T35</f>
        <v>2560.6439299999993</v>
      </c>
      <c r="U46" s="4">
        <f>+T46+U35</f>
        <v>3681.743565499999</v>
      </c>
      <c r="V46" s="4">
        <f t="shared" ref="V46:Y46" si="239">+U46+V35</f>
        <v>5180.0610592249996</v>
      </c>
      <c r="W46" s="4">
        <f t="shared" si="239"/>
        <v>6568.9937275137499</v>
      </c>
      <c r="X46" s="4">
        <f t="shared" si="239"/>
        <v>8064.314180075562</v>
      </c>
      <c r="Y46" s="4">
        <f t="shared" si="239"/>
        <v>9287.6934216936588</v>
      </c>
      <c r="AL46" s="4">
        <f>+U46</f>
        <v>3681.743565499999</v>
      </c>
      <c r="AM46" s="4">
        <f>+AL46+AM35</f>
        <v>12481.302467375001</v>
      </c>
      <c r="AN46" s="4">
        <f>+AM46+AN35</f>
        <v>21001.068211521881</v>
      </c>
      <c r="AO46" s="4">
        <f>+AN46+AO35</f>
        <v>29920.814144889413</v>
      </c>
      <c r="AP46" s="4">
        <f>+AO46+AP35</f>
        <v>38922.03526162191</v>
      </c>
      <c r="AQ46" s="4">
        <f>+AP46+AQ35</f>
        <v>47736.79820566978</v>
      </c>
      <c r="AR46" s="4">
        <f>+AQ46+AR35</f>
        <v>56720.161728860745</v>
      </c>
      <c r="AS46" s="4">
        <f>+AR46+AS35</f>
        <v>64855.007749798919</v>
      </c>
      <c r="AT46" s="4">
        <f>+AS46+AT35</f>
        <v>71312.665956907658</v>
      </c>
      <c r="AU46" s="4">
        <f>+AT46+AU35</f>
        <v>77611.366066514107</v>
      </c>
      <c r="AV46" s="4">
        <f>+AU46+AV35</f>
        <v>83776.230348088444</v>
      </c>
      <c r="AW46" s="4">
        <f>+AV46+AW35</f>
        <v>89836.993056077496</v>
      </c>
      <c r="AX46" s="4">
        <f>+AW46+AX35</f>
        <v>95807.856341604143</v>
      </c>
      <c r="AY46" s="4">
        <f>+AX46+AY35</f>
        <v>101655.7055227933</v>
      </c>
      <c r="AZ46" s="4">
        <f>+AY46+AZ35</f>
        <v>107443.38926243376</v>
      </c>
      <c r="BC46" s="1" t="s">
        <v>89</v>
      </c>
      <c r="BD46" s="4">
        <f>NPV(BD44,AM35:DR35)+Main!M5-Main!M6</f>
        <v>107643.96442336142</v>
      </c>
    </row>
    <row r="47" spans="2:101" s="2" customFormat="1" x14ac:dyDescent="0.2">
      <c r="B47" s="2" t="s">
        <v>3</v>
      </c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>
        <f>2644+1663+3689</f>
        <v>7996</v>
      </c>
      <c r="S47" s="4">
        <f>2934+1717+3281</f>
        <v>7932</v>
      </c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 t="s">
        <v>90</v>
      </c>
      <c r="BD47" s="7">
        <f>BD46/Main!M3</f>
        <v>64.424343634430684</v>
      </c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</row>
    <row r="48" spans="2:101" s="2" customFormat="1" x14ac:dyDescent="0.2">
      <c r="B48" s="2" t="s">
        <v>52</v>
      </c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>
        <v>4957</v>
      </c>
      <c r="S48" s="4">
        <v>5622</v>
      </c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</row>
    <row r="49" spans="2:67" s="2" customFormat="1" x14ac:dyDescent="0.2">
      <c r="B49" s="2" t="s">
        <v>80</v>
      </c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>
        <v>1336</v>
      </c>
      <c r="S49" s="4">
        <v>1437</v>
      </c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</row>
    <row r="50" spans="2:67" s="2" customFormat="1" x14ac:dyDescent="0.2">
      <c r="B50" s="2" t="s">
        <v>79</v>
      </c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>
        <v>615</v>
      </c>
      <c r="S50" s="4">
        <v>588</v>
      </c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</row>
    <row r="51" spans="2:67" s="2" customFormat="1" x14ac:dyDescent="0.2">
      <c r="B51" s="2" t="s">
        <v>78</v>
      </c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>
        <v>4455</v>
      </c>
      <c r="S51" s="4">
        <v>4597</v>
      </c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</row>
    <row r="52" spans="2:67" s="2" customFormat="1" x14ac:dyDescent="0.2">
      <c r="B52" s="2" t="s">
        <v>77</v>
      </c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>
        <f>6875+1380</f>
        <v>8255</v>
      </c>
      <c r="S52" s="4">
        <f>6875+1379</f>
        <v>8254</v>
      </c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</row>
    <row r="53" spans="2:67" s="2" customFormat="1" x14ac:dyDescent="0.2">
      <c r="B53" s="2" t="s">
        <v>76</v>
      </c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>
        <v>3230</v>
      </c>
      <c r="S53" s="4">
        <v>3389</v>
      </c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</row>
    <row r="54" spans="2:67" s="2" customFormat="1" x14ac:dyDescent="0.2">
      <c r="B54" s="2" t="s">
        <v>74</v>
      </c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>
        <v>1048</v>
      </c>
      <c r="S54" s="4">
        <v>1012</v>
      </c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</row>
    <row r="55" spans="2:67" s="2" customFormat="1" x14ac:dyDescent="0.2">
      <c r="B55" s="2" t="s">
        <v>75</v>
      </c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>
        <f>SUM(R47:R54)</f>
        <v>31892</v>
      </c>
      <c r="S55" s="4">
        <f>SUM(S47:S54)</f>
        <v>32831</v>
      </c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</row>
    <row r="56" spans="2:67" s="2" customFormat="1" x14ac:dyDescent="0.2"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</row>
    <row r="57" spans="2:67" s="2" customFormat="1" x14ac:dyDescent="0.2">
      <c r="B57" s="2" t="s">
        <v>4</v>
      </c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>
        <f>106+6593</f>
        <v>6699</v>
      </c>
      <c r="S57" s="4">
        <f>155+6581</f>
        <v>6736</v>
      </c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</row>
    <row r="58" spans="2:67" s="2" customFormat="1" x14ac:dyDescent="0.2">
      <c r="B58" s="2" t="s">
        <v>81</v>
      </c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>
        <v>1543</v>
      </c>
      <c r="S58" s="4">
        <v>1504</v>
      </c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</row>
    <row r="59" spans="2:67" s="2" customFormat="1" x14ac:dyDescent="0.2">
      <c r="B59" s="2" t="s">
        <v>82</v>
      </c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>
        <v>4311</v>
      </c>
      <c r="S59" s="4">
        <v>4880</v>
      </c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</row>
    <row r="60" spans="2:67" s="2" customFormat="1" x14ac:dyDescent="0.2">
      <c r="B60" s="2" t="s">
        <v>83</v>
      </c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>
        <f>1165+606</f>
        <v>1771</v>
      </c>
      <c r="S60" s="4">
        <f>1182+586</f>
        <v>1768</v>
      </c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</row>
    <row r="61" spans="2:67" s="2" customFormat="1" x14ac:dyDescent="0.2">
      <c r="B61" s="2" t="s">
        <v>40</v>
      </c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>
        <f>472+852</f>
        <v>1324</v>
      </c>
      <c r="S61" s="4">
        <f>164+896</f>
        <v>1060</v>
      </c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</row>
    <row r="62" spans="2:67" s="2" customFormat="1" x14ac:dyDescent="0.2">
      <c r="B62" s="2" t="s">
        <v>84</v>
      </c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>
        <v>1693</v>
      </c>
      <c r="S62" s="4">
        <v>1805</v>
      </c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</row>
    <row r="63" spans="2:67" s="2" customFormat="1" x14ac:dyDescent="0.2">
      <c r="B63" s="2" t="s">
        <v>100</v>
      </c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>
        <v>14551</v>
      </c>
      <c r="S63" s="4">
        <v>15078</v>
      </c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</row>
    <row r="64" spans="2:67" s="2" customFormat="1" x14ac:dyDescent="0.2">
      <c r="B64" s="2" t="s">
        <v>85</v>
      </c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>
        <f>SUM(R57:R63)</f>
        <v>31892</v>
      </c>
      <c r="S64" s="4">
        <f>SUM(S57:S63)</f>
        <v>32831</v>
      </c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</row>
    <row r="66" spans="2:67" s="2" customFormat="1" x14ac:dyDescent="0.2">
      <c r="B66" s="2" t="s">
        <v>101</v>
      </c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>
        <f>R35</f>
        <v>1069</v>
      </c>
      <c r="S66" s="4">
        <f>S35</f>
        <v>1088</v>
      </c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</row>
    <row r="67" spans="2:67" s="2" customFormat="1" x14ac:dyDescent="0.2">
      <c r="B67" s="2" t="s">
        <v>102</v>
      </c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>
        <v>1206</v>
      </c>
      <c r="S67" s="4">
        <f>2394-R67</f>
        <v>1188</v>
      </c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4"/>
    </row>
    <row r="68" spans="2:67" s="2" customFormat="1" x14ac:dyDescent="0.2">
      <c r="B68" s="2" t="s">
        <v>108</v>
      </c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>
        <v>65</v>
      </c>
      <c r="S68" s="4">
        <f>155-R68</f>
        <v>90</v>
      </c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</row>
    <row r="69" spans="2:67" s="2" customFormat="1" x14ac:dyDescent="0.2">
      <c r="B69" s="2" t="s">
        <v>76</v>
      </c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>
        <v>-246</v>
      </c>
      <c r="S69" s="4">
        <f>-317-R69</f>
        <v>-71</v>
      </c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4"/>
    </row>
    <row r="70" spans="2:67" s="2" customFormat="1" x14ac:dyDescent="0.2">
      <c r="B70" s="2" t="s">
        <v>109</v>
      </c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>
        <v>47</v>
      </c>
      <c r="S70" s="4">
        <f>101-R70</f>
        <v>54</v>
      </c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</row>
    <row r="71" spans="2:67" s="2" customFormat="1" x14ac:dyDescent="0.2">
      <c r="B71" s="2" t="s">
        <v>110</v>
      </c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>
        <v>19</v>
      </c>
      <c r="S71" s="4">
        <f>68-R71</f>
        <v>49</v>
      </c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  <c r="BO71" s="4"/>
    </row>
    <row r="72" spans="2:67" s="2" customFormat="1" x14ac:dyDescent="0.2">
      <c r="B72" s="2" t="s">
        <v>111</v>
      </c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>
        <v>39</v>
      </c>
      <c r="S72" s="4">
        <f>83-R72</f>
        <v>44</v>
      </c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  <c r="BO72" s="4"/>
    </row>
    <row r="73" spans="2:67" s="2" customFormat="1" x14ac:dyDescent="0.2">
      <c r="B73" s="2" t="s">
        <v>112</v>
      </c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>
        <v>-507</v>
      </c>
      <c r="S73" s="4">
        <f>-927-R73</f>
        <v>-420</v>
      </c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/>
      <c r="BO73" s="4"/>
    </row>
    <row r="74" spans="2:67" s="2" customFormat="1" x14ac:dyDescent="0.2">
      <c r="B74" s="2" t="s">
        <v>113</v>
      </c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>
        <v>100</v>
      </c>
      <c r="S74" s="4">
        <f>239-R74</f>
        <v>139</v>
      </c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  <c r="BO74" s="4"/>
    </row>
    <row r="75" spans="2:67" s="2" customFormat="1" x14ac:dyDescent="0.2">
      <c r="B75" s="2" t="s">
        <v>114</v>
      </c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>
        <v>-10</v>
      </c>
      <c r="S75" s="4">
        <f>-24-R75</f>
        <v>-14</v>
      </c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  <c r="BN75" s="4"/>
      <c r="BO75" s="4"/>
    </row>
    <row r="76" spans="2:67" s="2" customFormat="1" x14ac:dyDescent="0.2">
      <c r="B76" s="2" t="s">
        <v>115</v>
      </c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>
        <v>-424</v>
      </c>
      <c r="S76" s="4">
        <f>-852-R76</f>
        <v>-428</v>
      </c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4"/>
      <c r="BN76" s="4"/>
      <c r="BO76" s="4"/>
    </row>
    <row r="77" spans="2:67" s="2" customFormat="1" x14ac:dyDescent="0.2">
      <c r="B77" s="2" t="s">
        <v>80</v>
      </c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>
        <v>-44</v>
      </c>
      <c r="S77" s="4">
        <f>-111-R77</f>
        <v>-67</v>
      </c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  <c r="BN77" s="4"/>
      <c r="BO77" s="4"/>
    </row>
    <row r="78" spans="2:67" s="2" customFormat="1" x14ac:dyDescent="0.2">
      <c r="B78" s="2" t="s">
        <v>81</v>
      </c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>
        <v>-77</v>
      </c>
      <c r="S78" s="4">
        <f>-36-R78</f>
        <v>41</v>
      </c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/>
      <c r="BM78" s="4"/>
      <c r="BN78" s="4"/>
      <c r="BO78" s="4"/>
    </row>
    <row r="79" spans="2:67" s="2" customFormat="1" x14ac:dyDescent="0.2">
      <c r="B79" s="2" t="s">
        <v>83</v>
      </c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>
        <v>235</v>
      </c>
      <c r="S79" s="4">
        <f>263-R79</f>
        <v>28</v>
      </c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  <c r="BN79" s="4"/>
      <c r="BO79" s="4"/>
    </row>
    <row r="80" spans="2:67" s="2" customFormat="1" x14ac:dyDescent="0.2">
      <c r="B80" s="2" t="s">
        <v>76</v>
      </c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>
        <v>5</v>
      </c>
      <c r="S80" s="4">
        <f>-515-R80</f>
        <v>-520</v>
      </c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  <c r="BN80" s="4"/>
      <c r="BO80" s="4"/>
    </row>
    <row r="81" spans="2:67" s="2" customFormat="1" x14ac:dyDescent="0.2">
      <c r="B81" s="2" t="s">
        <v>31</v>
      </c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>
        <v>-794</v>
      </c>
      <c r="S81" s="4">
        <f>-496-R81</f>
        <v>298</v>
      </c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  <c r="BN81" s="4"/>
      <c r="BO81" s="4"/>
    </row>
    <row r="82" spans="2:67" s="2" customFormat="1" x14ac:dyDescent="0.2">
      <c r="B82" s="2" t="s">
        <v>107</v>
      </c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>
        <f>SUM(R67:R81)</f>
        <v>-386</v>
      </c>
      <c r="S82" s="4">
        <f>SUM(S67:S81)</f>
        <v>411</v>
      </c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  <c r="BN82" s="4"/>
      <c r="BO82" s="4"/>
    </row>
    <row r="83" spans="2:67" s="2" customFormat="1" x14ac:dyDescent="0.2"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  <c r="BO83" s="4"/>
    </row>
    <row r="84" spans="2:67" s="2" customFormat="1" x14ac:dyDescent="0.2">
      <c r="B84" s="2" t="s">
        <v>116</v>
      </c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>
        <f>1760-523</f>
        <v>1237</v>
      </c>
      <c r="S84" s="4">
        <f>2794-1195-R84</f>
        <v>362</v>
      </c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/>
      <c r="BM84" s="4"/>
      <c r="BN84" s="4"/>
      <c r="BO84" s="4"/>
    </row>
    <row r="85" spans="2:67" s="2" customFormat="1" x14ac:dyDescent="0.2">
      <c r="B85" s="2" t="s">
        <v>117</v>
      </c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>
        <v>-242</v>
      </c>
      <c r="S85" s="4">
        <f>-503-R85</f>
        <v>-261</v>
      </c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/>
      <c r="BM85" s="4"/>
      <c r="BN85" s="4"/>
      <c r="BO85" s="4"/>
    </row>
    <row r="86" spans="2:67" s="2" customFormat="1" x14ac:dyDescent="0.2">
      <c r="B86" s="2" t="s">
        <v>118</v>
      </c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>
        <v>439</v>
      </c>
      <c r="S86" s="4">
        <f>1003-R86</f>
        <v>564</v>
      </c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/>
      <c r="BM86" s="4"/>
      <c r="BN86" s="4"/>
      <c r="BO86" s="4"/>
    </row>
    <row r="87" spans="2:67" s="2" customFormat="1" x14ac:dyDescent="0.2">
      <c r="B87" s="2" t="s">
        <v>119</v>
      </c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>
        <v>-8</v>
      </c>
      <c r="S87" s="4">
        <f>-267-R87</f>
        <v>-259</v>
      </c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/>
      <c r="BM87" s="4"/>
      <c r="BN87" s="4"/>
      <c r="BO87" s="4"/>
    </row>
    <row r="88" spans="2:67" s="2" customFormat="1" x14ac:dyDescent="0.2">
      <c r="B88" s="2" t="s">
        <v>106</v>
      </c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>
        <f>SUM(R84:R87)</f>
        <v>1426</v>
      </c>
      <c r="S88" s="4">
        <f>SUM(S84:S87)</f>
        <v>406</v>
      </c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/>
      <c r="BM88" s="4"/>
      <c r="BN88" s="4"/>
      <c r="BO88" s="4"/>
    </row>
    <row r="89" spans="2:67" s="2" customFormat="1" x14ac:dyDescent="0.2"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4"/>
      <c r="BO89" s="4"/>
    </row>
    <row r="90" spans="2:67" s="2" customFormat="1" x14ac:dyDescent="0.2">
      <c r="B90" s="2" t="s">
        <v>120</v>
      </c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>
        <v>-33</v>
      </c>
      <c r="S90" s="4">
        <f>17-R90</f>
        <v>50</v>
      </c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/>
      <c r="BM90" s="4"/>
      <c r="BN90" s="4"/>
      <c r="BO90" s="4"/>
    </row>
    <row r="91" spans="2:67" s="2" customFormat="1" x14ac:dyDescent="0.2">
      <c r="B91" s="2" t="s">
        <v>121</v>
      </c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>
        <v>42</v>
      </c>
      <c r="S91" s="4">
        <f>42-R91</f>
        <v>0</v>
      </c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/>
      <c r="BM91" s="4"/>
      <c r="BN91" s="4"/>
      <c r="BO91" s="4"/>
    </row>
    <row r="92" spans="2:67" s="2" customFormat="1" x14ac:dyDescent="0.2">
      <c r="B92" s="2" t="s">
        <v>122</v>
      </c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>
        <v>71</v>
      </c>
      <c r="S92" s="4">
        <f>132-R92</f>
        <v>61</v>
      </c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/>
      <c r="BM92" s="4"/>
      <c r="BN92" s="4"/>
      <c r="BO92" s="4"/>
    </row>
    <row r="93" spans="2:67" s="2" customFormat="1" x14ac:dyDescent="0.2">
      <c r="B93" s="2" t="s">
        <v>123</v>
      </c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>
        <v>-231</v>
      </c>
      <c r="S93" s="4">
        <f>-231-R93</f>
        <v>0</v>
      </c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/>
      <c r="BM93" s="4"/>
      <c r="BN93" s="4"/>
      <c r="BO93" s="4"/>
    </row>
    <row r="94" spans="2:67" s="2" customFormat="1" x14ac:dyDescent="0.2">
      <c r="B94" s="2" t="s">
        <v>124</v>
      </c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>
        <v>-641</v>
      </c>
      <c r="S94" s="4">
        <f>-1276-R94</f>
        <v>-635</v>
      </c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4"/>
      <c r="BM94" s="4"/>
      <c r="BN94" s="4"/>
      <c r="BO94" s="4"/>
    </row>
    <row r="95" spans="2:67" s="2" customFormat="1" x14ac:dyDescent="0.2">
      <c r="B95" s="2" t="s">
        <v>105</v>
      </c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>
        <f>SUM(R90:R94)</f>
        <v>-792</v>
      </c>
      <c r="S95" s="4">
        <f>SUM(S90:S94)</f>
        <v>-524</v>
      </c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/>
      <c r="BM95" s="4"/>
      <c r="BN95" s="4"/>
      <c r="BO95" s="4"/>
    </row>
    <row r="96" spans="2:67" s="2" customFormat="1" x14ac:dyDescent="0.2">
      <c r="B96" s="2" t="s">
        <v>103</v>
      </c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>
        <v>11</v>
      </c>
      <c r="S96" s="4">
        <f>8-R96</f>
        <v>-3</v>
      </c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/>
      <c r="BI96" s="4"/>
      <c r="BJ96" s="4"/>
      <c r="BK96" s="4"/>
      <c r="BL96" s="4"/>
      <c r="BM96" s="4"/>
      <c r="BN96" s="4"/>
      <c r="BO96" s="4"/>
    </row>
    <row r="97" spans="2:67" s="2" customFormat="1" x14ac:dyDescent="0.2">
      <c r="B97" s="2" t="s">
        <v>104</v>
      </c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>
        <f>+R96+R95+R88+R82</f>
        <v>259</v>
      </c>
      <c r="S97" s="4">
        <f>+S96+S95+S88+S82</f>
        <v>290</v>
      </c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4"/>
      <c r="BM97" s="4"/>
      <c r="BN97" s="4"/>
      <c r="BO97" s="4"/>
    </row>
  </sheetData>
  <hyperlinks>
    <hyperlink ref="A1" location="Main!A1" display="Main"/>
  </hyperlinks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tabSelected="1" workbookViewId="0">
      <selection activeCell="E21" sqref="E21"/>
    </sheetView>
  </sheetViews>
  <sheetFormatPr defaultRowHeight="12.75" x14ac:dyDescent="0.2"/>
  <cols>
    <col min="1" max="1" width="5" bestFit="1" customWidth="1"/>
    <col min="2" max="2" width="13.42578125" customWidth="1"/>
    <col min="3" max="3" width="19.140625" bestFit="1" customWidth="1"/>
    <col min="4" max="4" width="18.28515625" bestFit="1" customWidth="1"/>
  </cols>
  <sheetData>
    <row r="1" spans="1:8" x14ac:dyDescent="0.2">
      <c r="A1" s="3" t="s">
        <v>7</v>
      </c>
    </row>
    <row r="2" spans="1:8" x14ac:dyDescent="0.2">
      <c r="B2" t="s">
        <v>141</v>
      </c>
      <c r="C2" t="s">
        <v>8</v>
      </c>
    </row>
    <row r="3" spans="1:8" x14ac:dyDescent="0.2">
      <c r="B3" t="s">
        <v>142</v>
      </c>
      <c r="C3" t="s">
        <v>45</v>
      </c>
    </row>
    <row r="4" spans="1:8" x14ac:dyDescent="0.2">
      <c r="B4" t="s">
        <v>46</v>
      </c>
      <c r="C4" t="s">
        <v>147</v>
      </c>
    </row>
    <row r="5" spans="1:8" x14ac:dyDescent="0.2">
      <c r="C5" t="s">
        <v>148</v>
      </c>
    </row>
    <row r="6" spans="1:8" x14ac:dyDescent="0.2">
      <c r="C6" t="s">
        <v>149</v>
      </c>
    </row>
    <row r="7" spans="1:8" x14ac:dyDescent="0.2">
      <c r="C7" t="s">
        <v>150</v>
      </c>
    </row>
    <row r="8" spans="1:8" x14ac:dyDescent="0.2">
      <c r="C8" t="s">
        <v>151</v>
      </c>
    </row>
    <row r="9" spans="1:8" x14ac:dyDescent="0.2">
      <c r="C9" t="s">
        <v>152</v>
      </c>
    </row>
    <row r="10" spans="1:8" x14ac:dyDescent="0.2">
      <c r="B10" t="s">
        <v>49</v>
      </c>
      <c r="C10" t="s">
        <v>153</v>
      </c>
    </row>
    <row r="11" spans="1:8" x14ac:dyDescent="0.2">
      <c r="B11" t="s">
        <v>67</v>
      </c>
      <c r="C11" t="s">
        <v>154</v>
      </c>
    </row>
    <row r="12" spans="1:8" x14ac:dyDescent="0.2">
      <c r="B12" t="s">
        <v>144</v>
      </c>
    </row>
    <row r="13" spans="1:8" x14ac:dyDescent="0.2">
      <c r="C13" s="13" t="s">
        <v>155</v>
      </c>
      <c r="D13" s="13" t="s">
        <v>46</v>
      </c>
      <c r="E13" s="13"/>
      <c r="F13" s="13"/>
      <c r="G13" s="13"/>
      <c r="H13" s="13"/>
    </row>
    <row r="14" spans="1:8" x14ac:dyDescent="0.2">
      <c r="C14" s="27" t="s">
        <v>156</v>
      </c>
      <c r="D14" t="s">
        <v>177</v>
      </c>
    </row>
    <row r="15" spans="1:8" x14ac:dyDescent="0.2">
      <c r="C15" s="27" t="s">
        <v>157</v>
      </c>
      <c r="D15" t="s">
        <v>168</v>
      </c>
    </row>
    <row r="16" spans="1:8" x14ac:dyDescent="0.2">
      <c r="C16" s="27" t="s">
        <v>158</v>
      </c>
      <c r="D16" t="s">
        <v>169</v>
      </c>
    </row>
    <row r="17" spans="3:4" x14ac:dyDescent="0.2">
      <c r="C17" s="27" t="s">
        <v>159</v>
      </c>
      <c r="D17" t="s">
        <v>164</v>
      </c>
    </row>
    <row r="18" spans="3:4" x14ac:dyDescent="0.2">
      <c r="C18" s="27" t="s">
        <v>160</v>
      </c>
      <c r="D18" t="s">
        <v>165</v>
      </c>
    </row>
    <row r="19" spans="3:4" x14ac:dyDescent="0.2">
      <c r="C19" s="27" t="s">
        <v>161</v>
      </c>
      <c r="D19" t="s">
        <v>168</v>
      </c>
    </row>
    <row r="20" spans="3:4" x14ac:dyDescent="0.2">
      <c r="C20" s="27" t="s">
        <v>162</v>
      </c>
      <c r="D20" t="s">
        <v>47</v>
      </c>
    </row>
    <row r="21" spans="3:4" x14ac:dyDescent="0.2">
      <c r="C21" s="27" t="s">
        <v>166</v>
      </c>
      <c r="D21" t="s">
        <v>167</v>
      </c>
    </row>
    <row r="22" spans="3:4" x14ac:dyDescent="0.2">
      <c r="C22" s="27" t="s">
        <v>170</v>
      </c>
      <c r="D22" t="s">
        <v>171</v>
      </c>
    </row>
    <row r="23" spans="3:4" x14ac:dyDescent="0.2">
      <c r="C23" s="28" t="s">
        <v>163</v>
      </c>
      <c r="D23" t="s">
        <v>164</v>
      </c>
    </row>
    <row r="24" spans="3:4" x14ac:dyDescent="0.2">
      <c r="C24" s="28" t="s">
        <v>173</v>
      </c>
      <c r="D24" t="s">
        <v>172</v>
      </c>
    </row>
    <row r="25" spans="3:4" x14ac:dyDescent="0.2">
      <c r="C25" s="28" t="s">
        <v>175</v>
      </c>
      <c r="D25" t="s">
        <v>167</v>
      </c>
    </row>
    <row r="26" spans="3:4" x14ac:dyDescent="0.2">
      <c r="C26" s="28" t="s">
        <v>176</v>
      </c>
      <c r="D26" t="s">
        <v>167</v>
      </c>
    </row>
    <row r="27" spans="3:4" x14ac:dyDescent="0.2">
      <c r="C27" s="26" t="s">
        <v>145</v>
      </c>
    </row>
    <row r="28" spans="3:4" x14ac:dyDescent="0.2">
      <c r="C28" s="26" t="s">
        <v>146</v>
      </c>
    </row>
  </sheetData>
  <hyperlinks>
    <hyperlink ref="A1" location="Main!A1" display="Main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Model</vt:lpstr>
      <vt:lpstr>Opdivo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2016-05-11T22:06:17Z</dcterms:created>
  <dcterms:modified xsi:type="dcterms:W3CDTF">2016-10-08T07:36:46Z</dcterms:modified>
</cp:coreProperties>
</file>