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900" windowHeight="12150" activeTab="1"/>
  </bookViews>
  <sheets>
    <sheet name="Main" sheetId="1" r:id="rId1"/>
    <sheet name="Model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Y7" i="2"/>
  <c r="Z4" i="2"/>
  <c r="AA4" i="2"/>
  <c r="AB4" i="2" s="1"/>
  <c r="AC4" i="2" s="1"/>
  <c r="AD4" i="2" s="1"/>
  <c r="AE4" i="2" s="1"/>
  <c r="AF4" i="2" s="1"/>
  <c r="AG4" i="2" s="1"/>
  <c r="AH4" i="2" s="1"/>
  <c r="Y4" i="2"/>
  <c r="Z3" i="2"/>
  <c r="AA3" i="2" s="1"/>
  <c r="AB3" i="2" s="1"/>
  <c r="AC3" i="2" s="1"/>
  <c r="AD3" i="2" s="1"/>
  <c r="AE3" i="2" s="1"/>
  <c r="AF3" i="2" s="1"/>
  <c r="AG3" i="2" s="1"/>
  <c r="AH3" i="2" s="1"/>
  <c r="Y3" i="2"/>
  <c r="AK22" i="2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V11" i="2"/>
  <c r="U11" i="2"/>
  <c r="U8" i="2"/>
  <c r="V8" i="2" s="1"/>
  <c r="W8" i="2" s="1"/>
  <c r="X8" i="2" s="1"/>
  <c r="Z8" i="2" s="1"/>
  <c r="AA8" i="2" s="1"/>
  <c r="AB8" i="2" s="1"/>
  <c r="AC8" i="2" s="1"/>
  <c r="AD8" i="2" s="1"/>
  <c r="AE8" i="2" s="1"/>
  <c r="AF8" i="2" s="1"/>
  <c r="AG8" i="2" s="1"/>
  <c r="AH8" i="2" s="1"/>
  <c r="V7" i="2"/>
  <c r="W7" i="2" s="1"/>
  <c r="X7" i="2" s="1"/>
  <c r="Z7" i="2" s="1"/>
  <c r="AA7" i="2" s="1"/>
  <c r="AB7" i="2" s="1"/>
  <c r="AC7" i="2" s="1"/>
  <c r="AD7" i="2" s="1"/>
  <c r="AE7" i="2" s="1"/>
  <c r="AF7" i="2" s="1"/>
  <c r="AG7" i="2" s="1"/>
  <c r="AH7" i="2" s="1"/>
  <c r="U7" i="2"/>
  <c r="U6" i="2"/>
  <c r="V6" i="2" s="1"/>
  <c r="U4" i="2"/>
  <c r="V4" i="2" s="1"/>
  <c r="W4" i="2" s="1"/>
  <c r="X4" i="2" s="1"/>
  <c r="V3" i="2"/>
  <c r="W3" i="2" s="1"/>
  <c r="U3" i="2"/>
  <c r="U5" i="2" s="1"/>
  <c r="T7" i="2"/>
  <c r="T8" i="2"/>
  <c r="T4" i="2"/>
  <c r="T3" i="2"/>
  <c r="T11" i="2"/>
  <c r="T22" i="2"/>
  <c r="T6" i="2"/>
  <c r="R20" i="2"/>
  <c r="S20" i="2"/>
  <c r="T20" i="2"/>
  <c r="R21" i="2"/>
  <c r="S21" i="2"/>
  <c r="T21" i="2"/>
  <c r="R22" i="2"/>
  <c r="S22" i="2"/>
  <c r="R25" i="2"/>
  <c r="S25" i="2"/>
  <c r="R26" i="2"/>
  <c r="S26" i="2"/>
  <c r="R27" i="2"/>
  <c r="S27" i="2"/>
  <c r="R16" i="2"/>
  <c r="R15" i="2" s="1"/>
  <c r="R14" i="2"/>
  <c r="R11" i="2"/>
  <c r="R12" i="2"/>
  <c r="R10" i="2"/>
  <c r="R9" i="2"/>
  <c r="N9" i="2"/>
  <c r="R8" i="2"/>
  <c r="R5" i="2"/>
  <c r="T16" i="2"/>
  <c r="S16" i="2"/>
  <c r="S13" i="2"/>
  <c r="S11" i="2"/>
  <c r="S8" i="2"/>
  <c r="S7" i="2"/>
  <c r="S6" i="2"/>
  <c r="S4" i="2"/>
  <c r="S3" i="2"/>
  <c r="S5" i="2"/>
  <c r="S9" i="2"/>
  <c r="S17" i="2"/>
  <c r="J3" i="2"/>
  <c r="I13" i="2"/>
  <c r="H13" i="2"/>
  <c r="G13" i="2"/>
  <c r="I11" i="2"/>
  <c r="H11" i="2"/>
  <c r="G11" i="2"/>
  <c r="I9" i="2"/>
  <c r="I8" i="2"/>
  <c r="H8" i="2"/>
  <c r="G8" i="2"/>
  <c r="I7" i="2"/>
  <c r="H7" i="2"/>
  <c r="H9" i="2" s="1"/>
  <c r="G7" i="2"/>
  <c r="G9" i="2" s="1"/>
  <c r="I4" i="2"/>
  <c r="H4" i="2"/>
  <c r="G4" i="2"/>
  <c r="I3" i="2"/>
  <c r="I5" i="2" s="1"/>
  <c r="I10" i="2" s="1"/>
  <c r="I12" i="2" s="1"/>
  <c r="I14" i="2" s="1"/>
  <c r="I15" i="2" s="1"/>
  <c r="H3" i="2"/>
  <c r="H5" i="2" s="1"/>
  <c r="G3" i="2"/>
  <c r="G5" i="2" s="1"/>
  <c r="G10" i="2" s="1"/>
  <c r="G12" i="2" s="1"/>
  <c r="G14" i="2" s="1"/>
  <c r="G15" i="2" s="1"/>
  <c r="J13" i="2"/>
  <c r="J11" i="2"/>
  <c r="J8" i="2"/>
  <c r="J7" i="2"/>
  <c r="J4" i="2"/>
  <c r="X3" i="2" l="1"/>
  <c r="W5" i="2"/>
  <c r="V9" i="2"/>
  <c r="W6" i="2"/>
  <c r="U9" i="2"/>
  <c r="U10" i="2" s="1"/>
  <c r="U12" i="2" s="1"/>
  <c r="V5" i="2"/>
  <c r="V10" i="2" s="1"/>
  <c r="V12" i="2" s="1"/>
  <c r="S10" i="2"/>
  <c r="S12" i="2" s="1"/>
  <c r="S14" i="2" s="1"/>
  <c r="S15" i="2" s="1"/>
  <c r="H10" i="2"/>
  <c r="H12" i="2" s="1"/>
  <c r="H14" i="2" s="1"/>
  <c r="H15" i="2" s="1"/>
  <c r="J29" i="2"/>
  <c r="K18" i="2"/>
  <c r="U13" i="2" l="1"/>
  <c r="U14" i="2" s="1"/>
  <c r="U15" i="2" s="1"/>
  <c r="W9" i="2"/>
  <c r="X6" i="2"/>
  <c r="V13" i="2"/>
  <c r="V14" i="2" s="1"/>
  <c r="V15" i="2" s="1"/>
  <c r="W10" i="2"/>
  <c r="W12" i="2" s="1"/>
  <c r="X5" i="2"/>
  <c r="U53" i="2"/>
  <c r="V53" i="2" s="1"/>
  <c r="W53" i="2" s="1"/>
  <c r="X53" i="2" s="1"/>
  <c r="Y53" i="2" s="1"/>
  <c r="Z53" i="2" s="1"/>
  <c r="C25" i="2"/>
  <c r="L16" i="2"/>
  <c r="N6" i="2"/>
  <c r="M6" i="2"/>
  <c r="L6" i="2"/>
  <c r="K20" i="2"/>
  <c r="N7" i="2"/>
  <c r="N21" i="2" s="1"/>
  <c r="M7" i="2"/>
  <c r="M21" i="2" s="1"/>
  <c r="L7" i="2"/>
  <c r="L21" i="2" s="1"/>
  <c r="K21" i="2"/>
  <c r="N8" i="2"/>
  <c r="N22" i="2" s="1"/>
  <c r="M8" i="2"/>
  <c r="M22" i="2" s="1"/>
  <c r="L8" i="2"/>
  <c r="L22" i="2" s="1"/>
  <c r="K22" i="2"/>
  <c r="J22" i="2"/>
  <c r="I22" i="2"/>
  <c r="H22" i="2"/>
  <c r="G22" i="2"/>
  <c r="I21" i="2"/>
  <c r="H21" i="2"/>
  <c r="G21" i="2"/>
  <c r="I20" i="2"/>
  <c r="H20" i="2"/>
  <c r="G20" i="2"/>
  <c r="J20" i="2"/>
  <c r="J21" i="2"/>
  <c r="N3" i="2"/>
  <c r="N18" i="2" s="1"/>
  <c r="M3" i="2"/>
  <c r="M18" i="2" s="1"/>
  <c r="L3" i="2"/>
  <c r="L18" i="2" s="1"/>
  <c r="G18" i="2"/>
  <c r="G25" i="2"/>
  <c r="D25" i="2"/>
  <c r="H18" i="2"/>
  <c r="H25" i="2"/>
  <c r="T62" i="2"/>
  <c r="E25" i="2"/>
  <c r="I18" i="2"/>
  <c r="I25" i="2"/>
  <c r="X9" i="2" l="1"/>
  <c r="X10" i="2" s="1"/>
  <c r="X12" i="2" s="1"/>
  <c r="Y6" i="2"/>
  <c r="W13" i="2"/>
  <c r="W14" i="2" s="1"/>
  <c r="W15" i="2" s="1"/>
  <c r="Y5" i="2"/>
  <c r="L9" i="2"/>
  <c r="M9" i="2"/>
  <c r="U22" i="2"/>
  <c r="M16" i="2"/>
  <c r="N16" i="2" s="1"/>
  <c r="U20" i="2"/>
  <c r="C27" i="2"/>
  <c r="L20" i="2"/>
  <c r="C26" i="2"/>
  <c r="M20" i="2"/>
  <c r="N20" i="2"/>
  <c r="K25" i="2"/>
  <c r="L5" i="2"/>
  <c r="M5" i="2"/>
  <c r="N5" i="2"/>
  <c r="N4" i="2" s="1"/>
  <c r="J18" i="2"/>
  <c r="F25" i="2"/>
  <c r="X13" i="2" l="1"/>
  <c r="X14" i="2"/>
  <c r="X15" i="2" s="1"/>
  <c r="Y10" i="2"/>
  <c r="Y12" i="2" s="1"/>
  <c r="Z6" i="2"/>
  <c r="Y9" i="2"/>
  <c r="Z5" i="2"/>
  <c r="V22" i="2"/>
  <c r="T9" i="2"/>
  <c r="V20" i="2"/>
  <c r="M10" i="2"/>
  <c r="M25" i="2"/>
  <c r="U21" i="2"/>
  <c r="L10" i="2"/>
  <c r="L25" i="2"/>
  <c r="M4" i="2"/>
  <c r="L4" i="2"/>
  <c r="N10" i="2"/>
  <c r="N25" i="2"/>
  <c r="G26" i="2"/>
  <c r="D26" i="2"/>
  <c r="E26" i="2"/>
  <c r="H26" i="2"/>
  <c r="I26" i="2"/>
  <c r="J9" i="2"/>
  <c r="J5" i="2"/>
  <c r="J25" i="2" s="1"/>
  <c r="Z9" i="2" l="1"/>
  <c r="Z10" i="2" s="1"/>
  <c r="Z12" i="2" s="1"/>
  <c r="AA6" i="2"/>
  <c r="Y13" i="2"/>
  <c r="Y14" i="2" s="1"/>
  <c r="Y15" i="2" s="1"/>
  <c r="AA5" i="2"/>
  <c r="L12" i="2"/>
  <c r="L26" i="2"/>
  <c r="M12" i="2"/>
  <c r="M26" i="2"/>
  <c r="V21" i="2"/>
  <c r="W22" i="2"/>
  <c r="W20" i="2"/>
  <c r="K26" i="2"/>
  <c r="N26" i="2"/>
  <c r="N12" i="2"/>
  <c r="G27" i="2"/>
  <c r="D27" i="2"/>
  <c r="E27" i="2"/>
  <c r="H27" i="2"/>
  <c r="J10" i="2"/>
  <c r="J12" i="2" s="1"/>
  <c r="F26" i="2"/>
  <c r="I27" i="2"/>
  <c r="S18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J4" i="1"/>
  <c r="J7" i="1" s="1"/>
  <c r="Z13" i="2" l="1"/>
  <c r="Z14" i="2" s="1"/>
  <c r="Z15" i="2" s="1"/>
  <c r="AB5" i="2"/>
  <c r="AA9" i="2"/>
  <c r="AA10" i="2" s="1"/>
  <c r="AA12" i="2" s="1"/>
  <c r="AB6" i="2"/>
  <c r="W21" i="2"/>
  <c r="J26" i="2"/>
  <c r="M13" i="2"/>
  <c r="M27" i="2" s="1"/>
  <c r="N13" i="2"/>
  <c r="N27" i="2" s="1"/>
  <c r="X22" i="2"/>
  <c r="T18" i="2"/>
  <c r="T5" i="2"/>
  <c r="T25" i="2" s="1"/>
  <c r="T54" i="2"/>
  <c r="X20" i="2"/>
  <c r="L13" i="2"/>
  <c r="L27" i="2" s="1"/>
  <c r="J14" i="2"/>
  <c r="J15" i="2" s="1"/>
  <c r="J27" i="2"/>
  <c r="F27" i="2"/>
  <c r="AA13" i="2" l="1"/>
  <c r="AA14" i="2" s="1"/>
  <c r="AA15" i="2" s="1"/>
  <c r="AB9" i="2"/>
  <c r="AB10" i="2" s="1"/>
  <c r="AB12" i="2" s="1"/>
  <c r="AC6" i="2"/>
  <c r="AC5" i="2"/>
  <c r="M14" i="2"/>
  <c r="M15" i="2" s="1"/>
  <c r="T59" i="2"/>
  <c r="T67" i="2"/>
  <c r="U54" i="2"/>
  <c r="U67" i="2" s="1"/>
  <c r="U18" i="2"/>
  <c r="K27" i="2"/>
  <c r="T10" i="2"/>
  <c r="T26" i="2" s="1"/>
  <c r="Y22" i="2"/>
  <c r="N14" i="2"/>
  <c r="L14" i="2"/>
  <c r="X21" i="2"/>
  <c r="Y20" i="2"/>
  <c r="AB13" i="2" l="1"/>
  <c r="AB14" i="2" s="1"/>
  <c r="AB15" i="2" s="1"/>
  <c r="AD5" i="2"/>
  <c r="AD6" i="2"/>
  <c r="AC9" i="2"/>
  <c r="AC10" i="2" s="1"/>
  <c r="AC12" i="2" s="1"/>
  <c r="U26" i="2"/>
  <c r="U25" i="2"/>
  <c r="L15" i="2"/>
  <c r="N15" i="2"/>
  <c r="V54" i="2"/>
  <c r="V67" i="2" s="1"/>
  <c r="V18" i="2"/>
  <c r="Z20" i="2"/>
  <c r="Z22" i="2"/>
  <c r="T12" i="2"/>
  <c r="Y21" i="2"/>
  <c r="T30" i="2"/>
  <c r="T64" i="2"/>
  <c r="T65" i="2" s="1"/>
  <c r="T60" i="2"/>
  <c r="AC13" i="2" l="1"/>
  <c r="AC14" i="2" s="1"/>
  <c r="AC15" i="2" s="1"/>
  <c r="AD9" i="2"/>
  <c r="AD10" i="2" s="1"/>
  <c r="AD12" i="2" s="1"/>
  <c r="AE6" i="2"/>
  <c r="AE5" i="2"/>
  <c r="T13" i="2"/>
  <c r="T27" i="2" s="1"/>
  <c r="V26" i="2"/>
  <c r="V25" i="2"/>
  <c r="Z21" i="2"/>
  <c r="AA20" i="2"/>
  <c r="W54" i="2"/>
  <c r="W67" i="2" s="1"/>
  <c r="W18" i="2"/>
  <c r="AA22" i="2"/>
  <c r="AD13" i="2" l="1"/>
  <c r="AD14" i="2" s="1"/>
  <c r="AD15" i="2" s="1"/>
  <c r="AF5" i="2"/>
  <c r="AE9" i="2"/>
  <c r="AE10" i="2" s="1"/>
  <c r="AE12" i="2" s="1"/>
  <c r="AF6" i="2"/>
  <c r="T14" i="2"/>
  <c r="T15" i="2" s="1"/>
  <c r="W26" i="2"/>
  <c r="W25" i="2"/>
  <c r="U27" i="2"/>
  <c r="X54" i="2"/>
  <c r="X67" i="2" s="1"/>
  <c r="X18" i="2"/>
  <c r="AB22" i="2"/>
  <c r="AB20" i="2"/>
  <c r="AA21" i="2"/>
  <c r="AE13" i="2" l="1"/>
  <c r="AE14" i="2" s="1"/>
  <c r="AE15" i="2" s="1"/>
  <c r="AH5" i="2"/>
  <c r="AG5" i="2"/>
  <c r="AF9" i="2"/>
  <c r="AF10" i="2" s="1"/>
  <c r="AF12" i="2" s="1"/>
  <c r="AG6" i="2"/>
  <c r="X26" i="2"/>
  <c r="X25" i="2"/>
  <c r="U30" i="2"/>
  <c r="AC20" i="2"/>
  <c r="AB21" i="2"/>
  <c r="AC22" i="2"/>
  <c r="Y54" i="2"/>
  <c r="Y67" i="2" s="1"/>
  <c r="Y18" i="2"/>
  <c r="AF13" i="2" l="1"/>
  <c r="AF14" i="2" s="1"/>
  <c r="AF15" i="2" s="1"/>
  <c r="AH6" i="2"/>
  <c r="AH9" i="2" s="1"/>
  <c r="AH10" i="2" s="1"/>
  <c r="AH12" i="2" s="1"/>
  <c r="AG9" i="2"/>
  <c r="AG10" i="2" s="1"/>
  <c r="AG12" i="2" s="1"/>
  <c r="Y26" i="2"/>
  <c r="Y25" i="2"/>
  <c r="V27" i="2"/>
  <c r="Z54" i="2"/>
  <c r="Z67" i="2" s="1"/>
  <c r="Z18" i="2"/>
  <c r="AC21" i="2"/>
  <c r="V30" i="2"/>
  <c r="AD22" i="2"/>
  <c r="AD20" i="2"/>
  <c r="AG13" i="2" l="1"/>
  <c r="AG14" i="2" s="1"/>
  <c r="AG15" i="2" s="1"/>
  <c r="AH13" i="2"/>
  <c r="AH14" i="2" s="1"/>
  <c r="AH15" i="2" s="1"/>
  <c r="Z26" i="2"/>
  <c r="Z25" i="2"/>
  <c r="AE20" i="2"/>
  <c r="AE22" i="2"/>
  <c r="AD21" i="2"/>
  <c r="AA18" i="2"/>
  <c r="AA26" i="2" l="1"/>
  <c r="AA25" i="2"/>
  <c r="W27" i="2"/>
  <c r="AB18" i="2"/>
  <c r="AE21" i="2"/>
  <c r="AF22" i="2"/>
  <c r="AF20" i="2"/>
  <c r="AB26" i="2" l="1"/>
  <c r="AB25" i="2"/>
  <c r="W30" i="2"/>
  <c r="AG20" i="2"/>
  <c r="AF21" i="2"/>
  <c r="AH22" i="2"/>
  <c r="AG22" i="2"/>
  <c r="AC18" i="2"/>
  <c r="AC26" i="2" l="1"/>
  <c r="AC25" i="2"/>
  <c r="X27" i="2"/>
  <c r="AD18" i="2"/>
  <c r="AH20" i="2"/>
  <c r="AH21" i="2"/>
  <c r="AG21" i="2"/>
  <c r="AD26" i="2" l="1"/>
  <c r="AD25" i="2"/>
  <c r="X30" i="2"/>
  <c r="AE18" i="2"/>
  <c r="AE26" i="2" l="1"/>
  <c r="AE25" i="2"/>
  <c r="Y27" i="2"/>
  <c r="AF18" i="2"/>
  <c r="AF26" i="2" l="1"/>
  <c r="AF25" i="2"/>
  <c r="Y30" i="2"/>
  <c r="AG18" i="2"/>
  <c r="AG26" i="2" l="1"/>
  <c r="AG25" i="2"/>
  <c r="Z27" i="2"/>
  <c r="AH18" i="2"/>
  <c r="Z30" i="2" l="1"/>
  <c r="AH26" i="2"/>
  <c r="AH25" i="2"/>
  <c r="AA27" i="2" l="1"/>
  <c r="AA30" i="2"/>
  <c r="AB27" i="2" l="1"/>
  <c r="AB30" i="2" l="1"/>
  <c r="AC27" i="2" l="1"/>
  <c r="AC30" i="2" l="1"/>
  <c r="AD27" i="2" l="1"/>
  <c r="AD30" i="2" l="1"/>
  <c r="AE27" i="2" l="1"/>
  <c r="AE30" i="2" l="1"/>
  <c r="AF27" i="2" l="1"/>
  <c r="AF30" i="2" l="1"/>
  <c r="AG27" i="2" l="1"/>
  <c r="AG30" i="2"/>
  <c r="AH30" i="2" l="1"/>
  <c r="AH27" i="2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AK20" i="2" s="1"/>
  <c r="AK21" i="2" s="1"/>
  <c r="AK23" i="2" s="1"/>
</calcChain>
</file>

<file path=xl/sharedStrings.xml><?xml version="1.0" encoding="utf-8"?>
<sst xmlns="http://schemas.openxmlformats.org/spreadsheetml/2006/main" count="86" uniqueCount="76">
  <si>
    <t>Price</t>
  </si>
  <si>
    <t>Shares</t>
  </si>
  <si>
    <t>MC</t>
  </si>
  <si>
    <t>Cash</t>
  </si>
  <si>
    <t>Debt</t>
  </si>
  <si>
    <t>EV</t>
  </si>
  <si>
    <t>Q415</t>
  </si>
  <si>
    <t>Revenue</t>
  </si>
  <si>
    <t>Revenue y/y</t>
  </si>
  <si>
    <t>Q114</t>
  </si>
  <si>
    <t>Q214</t>
  </si>
  <si>
    <t>Q314</t>
  </si>
  <si>
    <t>Q414</t>
  </si>
  <si>
    <t>Q115</t>
  </si>
  <si>
    <t>Q216</t>
  </si>
  <si>
    <t>Q215</t>
  </si>
  <si>
    <t>Q315</t>
  </si>
  <si>
    <t>Q116</t>
  </si>
  <si>
    <t>Q316</t>
  </si>
  <si>
    <t>Q416</t>
  </si>
  <si>
    <t>Gross Margin</t>
  </si>
  <si>
    <t>COGS</t>
  </si>
  <si>
    <t>Gross Profit</t>
  </si>
  <si>
    <t>R&amp;D</t>
  </si>
  <si>
    <t>S&amp;M</t>
  </si>
  <si>
    <t>G&amp;A</t>
  </si>
  <si>
    <t>Operating Profit</t>
  </si>
  <si>
    <t>Operating Margin</t>
  </si>
  <si>
    <t>Net Income</t>
  </si>
  <si>
    <t>Taxes</t>
  </si>
  <si>
    <t>Pretax Income</t>
  </si>
  <si>
    <t>Interest Income</t>
  </si>
  <si>
    <t>EPS</t>
  </si>
  <si>
    <t>Revenue LC</t>
  </si>
  <si>
    <t>Google Revenue</t>
  </si>
  <si>
    <t>WPP Revenue</t>
  </si>
  <si>
    <t>Omnicom Revenue</t>
  </si>
  <si>
    <t>Global Advertising Revenue</t>
  </si>
  <si>
    <t>Google Market Share</t>
  </si>
  <si>
    <t>Total Modeled Revenue</t>
  </si>
  <si>
    <t>Google+FB+YHOO Revenue</t>
  </si>
  <si>
    <t>YHOO Revenue</t>
  </si>
  <si>
    <t>FB Revenue</t>
  </si>
  <si>
    <t>BIDU Revenue</t>
  </si>
  <si>
    <t>Internet Share</t>
  </si>
  <si>
    <t>Total Modeled Share</t>
  </si>
  <si>
    <t>TWTR Revenue</t>
  </si>
  <si>
    <t>R&amp;D y/y</t>
  </si>
  <si>
    <t>G&amp;A y/y</t>
  </si>
  <si>
    <t>S&amp;M y/y</t>
  </si>
  <si>
    <t>Maturity</t>
  </si>
  <si>
    <t>Discount</t>
  </si>
  <si>
    <t>NPV</t>
  </si>
  <si>
    <t>ROIC</t>
  </si>
  <si>
    <t>Share</t>
  </si>
  <si>
    <t>Current</t>
  </si>
  <si>
    <t>Return</t>
  </si>
  <si>
    <t>Main</t>
  </si>
  <si>
    <t>A/R</t>
  </si>
  <si>
    <t>Repo AR</t>
  </si>
  <si>
    <t>Taxes Receivable</t>
  </si>
  <si>
    <t>Prepaid Revenue Share</t>
  </si>
  <si>
    <t>D/T</t>
  </si>
  <si>
    <t>PP&amp;E</t>
  </si>
  <si>
    <t>Goodwill</t>
  </si>
  <si>
    <t>Assets</t>
  </si>
  <si>
    <t>A/P</t>
  </si>
  <si>
    <t>Comp</t>
  </si>
  <si>
    <t>AE</t>
  </si>
  <si>
    <t>Accrued Revenue Share</t>
  </si>
  <si>
    <t>Securities Lending</t>
  </si>
  <si>
    <t>D/R</t>
  </si>
  <si>
    <t>OLTL</t>
  </si>
  <si>
    <t>S/E</t>
  </si>
  <si>
    <t>L+S/E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</si>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</sst>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1"/>
    <xf numFmtId="0" fontId="0" fillId="2" borderId="0" xfId="0" applyFill="1"/>
    <xf numFmtId="3" fontId="1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4" fontId="0" fillId="2" borderId="0" xfId="0" applyNumberForma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1" fillId="2" borderId="0" xfId="0" applyNumberFormat="1" applyFont="1" applyFill="1"/>
    <xf numFmtId="9" fontId="0" fillId="2" borderId="0" xfId="0" applyNumberFormat="1" applyFill="1" applyAlignment="1">
      <alignment horizontal="right"/>
    </xf>
    <xf numFmtId="9" fontId="0" fillId="2" borderId="0" xfId="0" applyNumberFormat="1" applyFill="1"/>
    <xf numFmtId="3" fontId="0" fillId="2" borderId="0" xfId="0" applyNumberFormat="1" applyFont="1" applyFill="1"/>
    <xf numFmtId="3" fontId="0" fillId="3" borderId="0" xfId="0" applyNumberFormat="1" applyFill="1"/>
    <xf numFmtId="0" fontId="0" fillId="4" borderId="0" xfId="0" applyFill="1"/>
    <xf numFmtId="3" fontId="1" fillId="4" borderId="0" xfId="0" applyNumberFormat="1" applyFont="1" applyFill="1"/>
    <xf numFmtId="3" fontId="0" fillId="4" borderId="0" xfId="0" applyNumberFormat="1" applyFill="1"/>
    <xf numFmtId="0" fontId="0" fillId="4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0</xdr:rowOff>
    </xdr:from>
    <xdr:to>
      <xdr:col>11</xdr:col>
      <xdr:colOff>38100</xdr:colOff>
      <xdr:row>69</xdr:row>
      <xdr:rowOff>95250</xdr:rowOff>
    </xdr:to>
    <xdr:cxnSp macro="">
      <xdr:nvCxnSpPr>
        <xdr:cNvPr id="3" name="Straight Connector 2"/>
        <xdr:cNvCxnSpPr/>
      </xdr:nvCxnSpPr>
      <xdr:spPr>
        <a:xfrm>
          <a:off x="7962900" y="0"/>
          <a:ext cx="0" cy="8515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47625</xdr:colOff>
      <xdr:row>0</xdr:row>
      <xdr:rowOff>28575</xdr:rowOff>
    </xdr:from>
    <xdr:to>
      <xdr:col>19</xdr:col>
      <xdr:colOff>47625</xdr:colOff>
      <xdr:row>75</xdr:row>
      <xdr:rowOff>38100</xdr:rowOff>
    </xdr:to>
    <xdr:cxnSp macro="">
      <xdr:nvCxnSpPr>
        <xdr:cNvPr id="5" name="Straight Connector 4"/>
        <xdr:cNvCxnSpPr/>
      </xdr:nvCxnSpPr>
      <xdr:spPr>
        <a:xfrm>
          <a:off x="12573000" y="28575"/>
          <a:ext cx="0" cy="12153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8"/>
  <sheetViews>
    <sheetView workbookViewId="0">
      <selection activeCell="J7" sqref="J7"/>
    </sheetView>
  </sheetViews>
  <sheetFormatPr defaultRowHeight="12.75" x14ac:dyDescent="0.2"/>
  <cols>
    <col min="6" max="6" width="10" bestFit="1" customWidth="1"/>
    <col min="10" max="10" width="12.7109375" bestFit="1" customWidth="1"/>
  </cols>
  <sheetData>
    <row r="2" spans="9:11" x14ac:dyDescent="0.2">
      <c r="I2" t="s">
        <v>0</v>
      </c>
      <c r="J2" s="1">
        <v>45</v>
      </c>
    </row>
    <row r="3" spans="9:11" x14ac:dyDescent="0.2">
      <c r="I3" t="s">
        <v>1</v>
      </c>
      <c r="J3" s="2">
        <v>105.6</v>
      </c>
      <c r="K3" s="3" t="s">
        <v>6</v>
      </c>
    </row>
    <row r="4" spans="9:11" x14ac:dyDescent="0.2">
      <c r="I4" t="s">
        <v>2</v>
      </c>
      <c r="J4" s="2">
        <f>+J3*J2</f>
        <v>4752</v>
      </c>
      <c r="K4" s="3"/>
    </row>
    <row r="5" spans="9:11" x14ac:dyDescent="0.2">
      <c r="I5" t="s">
        <v>3</v>
      </c>
      <c r="J5" s="2">
        <v>50.158000000000001</v>
      </c>
      <c r="K5" s="3" t="s">
        <v>6</v>
      </c>
    </row>
    <row r="6" spans="9:11" x14ac:dyDescent="0.2">
      <c r="I6" t="s">
        <v>4</v>
      </c>
      <c r="J6" s="2">
        <v>138.773</v>
      </c>
      <c r="K6" s="3" t="s">
        <v>6</v>
      </c>
    </row>
    <row r="7" spans="9:11" x14ac:dyDescent="0.2">
      <c r="I7" t="s">
        <v>5</v>
      </c>
      <c r="J7" s="2">
        <f>+J4-J5+J6</f>
        <v>4840.6149999999998</v>
      </c>
    </row>
    <row r="8" spans="9:11" x14ac:dyDescent="0.2">
      <c r="J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7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K20" sqref="AK20"/>
    </sheetView>
  </sheetViews>
  <sheetFormatPr defaultRowHeight="12.75" x14ac:dyDescent="0.2"/>
  <cols>
    <col min="1" max="1" width="5" bestFit="1" customWidth="1"/>
    <col min="2" max="2" width="27.42578125" customWidth="1"/>
    <col min="3" max="14" width="9.140625" style="3"/>
    <col min="37" max="37" width="18.140625" bestFit="1" customWidth="1"/>
  </cols>
  <sheetData>
    <row r="1" spans="1:111" x14ac:dyDescent="0.2">
      <c r="A1" s="13" t="s">
        <v>57</v>
      </c>
      <c r="G1" s="29"/>
      <c r="H1" s="29"/>
      <c r="I1" s="29"/>
      <c r="J1" s="29"/>
      <c r="R1" s="26"/>
      <c r="S1" s="26"/>
    </row>
    <row r="2" spans="1:11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15</v>
      </c>
      <c r="I2" s="3" t="s">
        <v>16</v>
      </c>
      <c r="J2" s="3" t="s">
        <v>6</v>
      </c>
      <c r="K2" s="3" t="s">
        <v>17</v>
      </c>
      <c r="L2" s="3" t="s">
        <v>14</v>
      </c>
      <c r="M2" s="3" t="s">
        <v>18</v>
      </c>
      <c r="N2" s="3" t="s">
        <v>19</v>
      </c>
      <c r="Q2">
        <v>2013</v>
      </c>
      <c r="R2" s="14">
        <f>+Q2+1</f>
        <v>2014</v>
      </c>
      <c r="S2" s="14">
        <f t="shared" ref="S2:AH2" si="0">+R2+1</f>
        <v>2015</v>
      </c>
      <c r="T2" s="14">
        <f t="shared" si="0"/>
        <v>2016</v>
      </c>
      <c r="U2" s="14">
        <f t="shared" si="0"/>
        <v>2017</v>
      </c>
      <c r="V2" s="14">
        <f t="shared" si="0"/>
        <v>2018</v>
      </c>
      <c r="W2" s="14">
        <f t="shared" si="0"/>
        <v>2019</v>
      </c>
      <c r="X2" s="14">
        <f t="shared" si="0"/>
        <v>2020</v>
      </c>
      <c r="Y2" s="14">
        <f t="shared" si="0"/>
        <v>2021</v>
      </c>
      <c r="Z2" s="14">
        <f t="shared" si="0"/>
        <v>2022</v>
      </c>
      <c r="AA2" s="14">
        <f t="shared" si="0"/>
        <v>2023</v>
      </c>
      <c r="AB2" s="14">
        <f t="shared" si="0"/>
        <v>2024</v>
      </c>
      <c r="AC2" s="14">
        <f t="shared" si="0"/>
        <v>2025</v>
      </c>
      <c r="AD2" s="14">
        <f t="shared" si="0"/>
        <v>2026</v>
      </c>
      <c r="AE2" s="14">
        <f t="shared" si="0"/>
        <v>2027</v>
      </c>
      <c r="AF2" s="14">
        <f t="shared" si="0"/>
        <v>2028</v>
      </c>
      <c r="AG2" s="14">
        <f t="shared" si="0"/>
        <v>2029</v>
      </c>
      <c r="AH2" s="14">
        <f t="shared" si="0"/>
        <v>2030</v>
      </c>
    </row>
    <row r="3" spans="1:111" s="6" customFormat="1" x14ac:dyDescent="0.2">
      <c r="B3" s="6" t="s">
        <v>7</v>
      </c>
      <c r="C3" s="7"/>
      <c r="D3" s="7"/>
      <c r="E3" s="7"/>
      <c r="F3" s="7"/>
      <c r="G3" s="7">
        <f t="shared" ref="G3:I3" si="1">604.053/4</f>
        <v>151.01325</v>
      </c>
      <c r="H3" s="7">
        <f t="shared" si="1"/>
        <v>151.01325</v>
      </c>
      <c r="I3" s="7">
        <f t="shared" si="1"/>
        <v>151.01325</v>
      </c>
      <c r="J3" s="7">
        <f>604.053/4</f>
        <v>151.01325</v>
      </c>
      <c r="K3" s="7"/>
      <c r="L3" s="16">
        <f t="shared" ref="L3:N3" si="2">+H3*1.15</f>
        <v>173.66523749999999</v>
      </c>
      <c r="M3" s="16">
        <f t="shared" si="2"/>
        <v>173.66523749999999</v>
      </c>
      <c r="N3" s="16">
        <f t="shared" si="2"/>
        <v>173.66523749999999</v>
      </c>
      <c r="R3" s="27">
        <v>177.05199999999999</v>
      </c>
      <c r="S3" s="27">
        <f>SUM(G3:J3)</f>
        <v>604.053</v>
      </c>
      <c r="T3" s="15">
        <f>+S3*1.18</f>
        <v>712.78253999999993</v>
      </c>
      <c r="U3" s="15">
        <f t="shared" ref="U3:AH3" si="3">+T3*1.18</f>
        <v>841.08339719999992</v>
      </c>
      <c r="V3" s="15">
        <f t="shared" si="3"/>
        <v>992.47840869599986</v>
      </c>
      <c r="W3" s="15">
        <f t="shared" si="3"/>
        <v>1171.1245222612797</v>
      </c>
      <c r="X3" s="15">
        <f t="shared" si="3"/>
        <v>1381.9269362683099</v>
      </c>
      <c r="Y3" s="15">
        <f>+X3*1.03</f>
        <v>1423.3847443563593</v>
      </c>
      <c r="Z3" s="15">
        <f t="shared" ref="Z3:AH3" si="4">+Y3*1.03</f>
        <v>1466.0862866870502</v>
      </c>
      <c r="AA3" s="15">
        <f t="shared" si="4"/>
        <v>1510.0688752876617</v>
      </c>
      <c r="AB3" s="15">
        <f t="shared" si="4"/>
        <v>1555.3709415462915</v>
      </c>
      <c r="AC3" s="15">
        <f t="shared" si="4"/>
        <v>1602.0320697926804</v>
      </c>
      <c r="AD3" s="15">
        <f t="shared" si="4"/>
        <v>1650.0930318864609</v>
      </c>
      <c r="AE3" s="15">
        <f t="shared" si="4"/>
        <v>1699.5958228430547</v>
      </c>
      <c r="AF3" s="15">
        <f t="shared" si="4"/>
        <v>1750.5836975283464</v>
      </c>
      <c r="AG3" s="15">
        <f t="shared" si="4"/>
        <v>1803.1012084541969</v>
      </c>
      <c r="AH3" s="15">
        <f t="shared" si="4"/>
        <v>1857.1942447078229</v>
      </c>
    </row>
    <row r="4" spans="1:111" s="2" customFormat="1" x14ac:dyDescent="0.2">
      <c r="B4" s="2" t="s">
        <v>21</v>
      </c>
      <c r="C4" s="5"/>
      <c r="D4" s="5"/>
      <c r="E4" s="5"/>
      <c r="F4" s="5"/>
      <c r="G4" s="5">
        <f t="shared" ref="G4:I4" si="5">263.375/4</f>
        <v>65.84375</v>
      </c>
      <c r="H4" s="5">
        <f t="shared" si="5"/>
        <v>65.84375</v>
      </c>
      <c r="I4" s="5">
        <f t="shared" si="5"/>
        <v>65.84375</v>
      </c>
      <c r="J4" s="5">
        <f>263.375/4</f>
        <v>65.84375</v>
      </c>
      <c r="K4" s="5"/>
      <c r="L4" s="17">
        <f t="shared" ref="L4:N4" si="6">+L3-L5</f>
        <v>65.992790249999999</v>
      </c>
      <c r="M4" s="17">
        <f t="shared" si="6"/>
        <v>65.992790249999999</v>
      </c>
      <c r="N4" s="17">
        <f t="shared" si="6"/>
        <v>65.992790249999999</v>
      </c>
      <c r="R4" s="28">
        <v>93.478999999999999</v>
      </c>
      <c r="S4" s="28">
        <f>SUM(G4:J4)</f>
        <v>263.375</v>
      </c>
      <c r="T4" s="18">
        <f>+S4*1.18</f>
        <v>310.78249999999997</v>
      </c>
      <c r="U4" s="18">
        <f t="shared" ref="U4:AH4" si="7">+T4*1.18</f>
        <v>366.72334999999993</v>
      </c>
      <c r="V4" s="18">
        <f t="shared" si="7"/>
        <v>432.73355299999992</v>
      </c>
      <c r="W4" s="18">
        <f t="shared" si="7"/>
        <v>510.6255925399999</v>
      </c>
      <c r="X4" s="18">
        <f t="shared" si="7"/>
        <v>602.5381991971999</v>
      </c>
      <c r="Y4" s="18">
        <f>+X4*1.03</f>
        <v>620.61434517311591</v>
      </c>
      <c r="Z4" s="18">
        <f t="shared" ref="Z4:AH4" si="8">+Y4*1.03</f>
        <v>639.23277552830939</v>
      </c>
      <c r="AA4" s="18">
        <f t="shared" si="8"/>
        <v>658.40975879415873</v>
      </c>
      <c r="AB4" s="18">
        <f t="shared" si="8"/>
        <v>678.16205155798355</v>
      </c>
      <c r="AC4" s="18">
        <f t="shared" si="8"/>
        <v>698.50691310472303</v>
      </c>
      <c r="AD4" s="18">
        <f t="shared" si="8"/>
        <v>719.4621204978647</v>
      </c>
      <c r="AE4" s="18">
        <f t="shared" si="8"/>
        <v>741.04598411280062</v>
      </c>
      <c r="AF4" s="18">
        <f t="shared" si="8"/>
        <v>763.27736363618465</v>
      </c>
      <c r="AG4" s="18">
        <f t="shared" si="8"/>
        <v>786.1756845452702</v>
      </c>
      <c r="AH4" s="18">
        <f t="shared" si="8"/>
        <v>809.76095508162837</v>
      </c>
    </row>
    <row r="5" spans="1:111" s="2" customFormat="1" x14ac:dyDescent="0.2">
      <c r="B5" s="2" t="s">
        <v>22</v>
      </c>
      <c r="C5" s="17"/>
      <c r="D5" s="17"/>
      <c r="E5" s="17"/>
      <c r="F5" s="17"/>
      <c r="G5" s="17">
        <f t="shared" ref="G5:I5" si="9">+G3-G4</f>
        <v>85.169499999999999</v>
      </c>
      <c r="H5" s="17">
        <f t="shared" si="9"/>
        <v>85.169499999999999</v>
      </c>
      <c r="I5" s="17">
        <f t="shared" si="9"/>
        <v>85.169499999999999</v>
      </c>
      <c r="J5" s="17">
        <f t="shared" ref="C5:J5" si="10">+J3-J4</f>
        <v>85.169499999999999</v>
      </c>
      <c r="K5" s="17"/>
      <c r="L5" s="17">
        <f t="shared" ref="L5:N5" si="11">+L3*0.62</f>
        <v>107.67244724999999</v>
      </c>
      <c r="M5" s="17">
        <f t="shared" si="11"/>
        <v>107.67244724999999</v>
      </c>
      <c r="N5" s="17">
        <f t="shared" si="11"/>
        <v>107.67244724999999</v>
      </c>
      <c r="R5" s="18">
        <f>R3-R4</f>
        <v>83.572999999999993</v>
      </c>
      <c r="S5" s="18">
        <f>S3-S4</f>
        <v>340.678</v>
      </c>
      <c r="T5" s="18">
        <f>T3-T4</f>
        <v>402.00003999999996</v>
      </c>
      <c r="U5" s="18">
        <f t="shared" ref="U5:AH5" si="12">U3-U4</f>
        <v>474.3600472</v>
      </c>
      <c r="V5" s="18">
        <f t="shared" si="12"/>
        <v>559.74485569599995</v>
      </c>
      <c r="W5" s="18">
        <f t="shared" si="12"/>
        <v>660.49892972127986</v>
      </c>
      <c r="X5" s="18">
        <f t="shared" si="12"/>
        <v>779.38873707110997</v>
      </c>
      <c r="Y5" s="18">
        <f t="shared" si="12"/>
        <v>802.7703991832434</v>
      </c>
      <c r="Z5" s="18">
        <f t="shared" si="12"/>
        <v>826.85351115874084</v>
      </c>
      <c r="AA5" s="18">
        <f t="shared" si="12"/>
        <v>851.65911649350301</v>
      </c>
      <c r="AB5" s="18">
        <f t="shared" si="12"/>
        <v>877.20888998830799</v>
      </c>
      <c r="AC5" s="18">
        <f t="shared" si="12"/>
        <v>903.52515668795741</v>
      </c>
      <c r="AD5" s="18">
        <f t="shared" si="12"/>
        <v>930.63091138859625</v>
      </c>
      <c r="AE5" s="18">
        <f t="shared" si="12"/>
        <v>958.54983873025412</v>
      </c>
      <c r="AF5" s="18">
        <f t="shared" si="12"/>
        <v>987.30633389216177</v>
      </c>
      <c r="AG5" s="18">
        <f t="shared" si="12"/>
        <v>1016.9255239089267</v>
      </c>
      <c r="AH5" s="18">
        <f t="shared" si="12"/>
        <v>1047.4332896261944</v>
      </c>
    </row>
    <row r="6" spans="1:111" s="2" customFormat="1" x14ac:dyDescent="0.2">
      <c r="B6" s="2" t="s">
        <v>23</v>
      </c>
      <c r="C6" s="5"/>
      <c r="D6" s="5"/>
      <c r="E6" s="5"/>
      <c r="F6" s="5"/>
      <c r="G6" s="5">
        <v>0</v>
      </c>
      <c r="H6" s="5">
        <v>0</v>
      </c>
      <c r="I6" s="5">
        <v>0</v>
      </c>
      <c r="J6" s="5">
        <v>0</v>
      </c>
      <c r="K6" s="5"/>
      <c r="L6" s="17">
        <f t="shared" ref="L6:N6" si="13">+H6*1.2</f>
        <v>0</v>
      </c>
      <c r="M6" s="17">
        <f t="shared" si="13"/>
        <v>0</v>
      </c>
      <c r="N6" s="17">
        <f t="shared" si="13"/>
        <v>0</v>
      </c>
      <c r="R6" s="28">
        <v>0</v>
      </c>
      <c r="S6" s="28">
        <f>SUM(G6:J6)</f>
        <v>0</v>
      </c>
      <c r="T6" s="18">
        <f>+S6</f>
        <v>0</v>
      </c>
      <c r="U6" s="18">
        <f t="shared" ref="U6:AH6" si="14">+T6</f>
        <v>0</v>
      </c>
      <c r="V6" s="18">
        <f t="shared" si="14"/>
        <v>0</v>
      </c>
      <c r="W6" s="18">
        <f t="shared" si="14"/>
        <v>0</v>
      </c>
      <c r="X6" s="18">
        <f t="shared" si="14"/>
        <v>0</v>
      </c>
      <c r="Y6" s="18">
        <f t="shared" si="14"/>
        <v>0</v>
      </c>
      <c r="Z6" s="18">
        <f t="shared" si="14"/>
        <v>0</v>
      </c>
      <c r="AA6" s="18">
        <f t="shared" si="14"/>
        <v>0</v>
      </c>
      <c r="AB6" s="18">
        <f t="shared" si="14"/>
        <v>0</v>
      </c>
      <c r="AC6" s="18">
        <f t="shared" si="14"/>
        <v>0</v>
      </c>
      <c r="AD6" s="18">
        <f t="shared" si="14"/>
        <v>0</v>
      </c>
      <c r="AE6" s="18">
        <f t="shared" si="14"/>
        <v>0</v>
      </c>
      <c r="AF6" s="18">
        <f t="shared" si="14"/>
        <v>0</v>
      </c>
      <c r="AG6" s="18">
        <f t="shared" si="14"/>
        <v>0</v>
      </c>
      <c r="AH6" s="18">
        <f t="shared" si="14"/>
        <v>0</v>
      </c>
    </row>
    <row r="7" spans="1:111" s="2" customFormat="1" x14ac:dyDescent="0.2">
      <c r="B7" s="2" t="s">
        <v>24</v>
      </c>
      <c r="C7" s="5"/>
      <c r="D7" s="5"/>
      <c r="E7" s="5"/>
      <c r="F7" s="5"/>
      <c r="G7" s="5">
        <f t="shared" ref="G7:I7" si="15">38.087/4</f>
        <v>9.5217500000000008</v>
      </c>
      <c r="H7" s="5">
        <f t="shared" si="15"/>
        <v>9.5217500000000008</v>
      </c>
      <c r="I7" s="5">
        <f t="shared" si="15"/>
        <v>9.5217500000000008</v>
      </c>
      <c r="J7" s="5">
        <f>38.087/4</f>
        <v>9.5217500000000008</v>
      </c>
      <c r="K7" s="5"/>
      <c r="L7" s="17">
        <f t="shared" ref="L7:N7" si="16">+H7*1.12</f>
        <v>10.664360000000002</v>
      </c>
      <c r="M7" s="17">
        <f t="shared" si="16"/>
        <v>10.664360000000002</v>
      </c>
      <c r="N7" s="17">
        <f t="shared" si="16"/>
        <v>10.664360000000002</v>
      </c>
      <c r="R7" s="28">
        <v>29.841999999999999</v>
      </c>
      <c r="S7" s="28">
        <f>SUM(G7:J7)</f>
        <v>38.087000000000003</v>
      </c>
      <c r="T7" s="18">
        <f>+S7*1.05</f>
        <v>39.991350000000004</v>
      </c>
      <c r="U7" s="18">
        <f t="shared" ref="U7:AH7" si="17">+T7*1.05</f>
        <v>41.990917500000009</v>
      </c>
      <c r="V7" s="18">
        <f t="shared" si="17"/>
        <v>44.090463375000013</v>
      </c>
      <c r="W7" s="18">
        <f t="shared" si="17"/>
        <v>46.294986543750014</v>
      </c>
      <c r="X7" s="18">
        <f t="shared" si="17"/>
        <v>48.609735870937513</v>
      </c>
      <c r="Y7" s="18">
        <f>+X7</f>
        <v>48.609735870937513</v>
      </c>
      <c r="Z7" s="18">
        <f t="shared" si="17"/>
        <v>51.040222664484389</v>
      </c>
      <c r="AA7" s="18">
        <f t="shared" si="17"/>
        <v>53.592233797708609</v>
      </c>
      <c r="AB7" s="18">
        <f t="shared" si="17"/>
        <v>56.271845487594042</v>
      </c>
      <c r="AC7" s="18">
        <f t="shared" si="17"/>
        <v>59.085437761973751</v>
      </c>
      <c r="AD7" s="18">
        <f t="shared" si="17"/>
        <v>62.039709650072439</v>
      </c>
      <c r="AE7" s="18">
        <f t="shared" si="17"/>
        <v>65.141695132576061</v>
      </c>
      <c r="AF7" s="18">
        <f t="shared" si="17"/>
        <v>68.39877988920486</v>
      </c>
      <c r="AG7" s="18">
        <f t="shared" si="17"/>
        <v>71.818718883665113</v>
      </c>
      <c r="AH7" s="18">
        <f t="shared" si="17"/>
        <v>75.409654827848371</v>
      </c>
    </row>
    <row r="8" spans="1:111" s="2" customFormat="1" x14ac:dyDescent="0.2">
      <c r="B8" s="2" t="s">
        <v>25</v>
      </c>
      <c r="C8" s="5"/>
      <c r="D8" s="5"/>
      <c r="E8" s="5"/>
      <c r="F8" s="5"/>
      <c r="G8" s="5">
        <f t="shared" ref="G8:I8" si="18">(60.051-2.179+2.981)/4</f>
        <v>15.21325</v>
      </c>
      <c r="H8" s="5">
        <f t="shared" si="18"/>
        <v>15.21325</v>
      </c>
      <c r="I8" s="5">
        <f t="shared" si="18"/>
        <v>15.21325</v>
      </c>
      <c r="J8" s="5">
        <f>(60.051-2.179+2.981)/4</f>
        <v>15.21325</v>
      </c>
      <c r="K8" s="5"/>
      <c r="L8" s="17">
        <f t="shared" ref="L8:N8" si="19">+H8*1.01</f>
        <v>15.365382500000001</v>
      </c>
      <c r="M8" s="17">
        <f t="shared" si="19"/>
        <v>15.365382500000001</v>
      </c>
      <c r="N8" s="17">
        <f t="shared" si="19"/>
        <v>15.365382500000001</v>
      </c>
      <c r="R8" s="28">
        <f>12.862-9.074+5.371</f>
        <v>9.1590000000000007</v>
      </c>
      <c r="S8" s="28">
        <f>SUM(G8:J8)</f>
        <v>60.853000000000002</v>
      </c>
      <c r="T8" s="18">
        <f>+S8*1.18</f>
        <v>71.806539999999998</v>
      </c>
      <c r="U8" s="18">
        <f t="shared" ref="U8:AH8" si="20">+T8*1.18</f>
        <v>84.731717199999991</v>
      </c>
      <c r="V8" s="18">
        <f t="shared" si="20"/>
        <v>99.98342629599999</v>
      </c>
      <c r="W8" s="18">
        <f t="shared" si="20"/>
        <v>117.98044302927998</v>
      </c>
      <c r="X8" s="18">
        <f t="shared" si="20"/>
        <v>139.21692277455037</v>
      </c>
      <c r="Y8" s="18">
        <f>+X8*1.03</f>
        <v>143.39343045778688</v>
      </c>
      <c r="Z8" s="18">
        <f t="shared" si="20"/>
        <v>169.20424794018851</v>
      </c>
      <c r="AA8" s="18">
        <f t="shared" si="20"/>
        <v>199.66101256942244</v>
      </c>
      <c r="AB8" s="18">
        <f t="shared" si="20"/>
        <v>235.59999483191848</v>
      </c>
      <c r="AC8" s="18">
        <f t="shared" si="20"/>
        <v>278.00799390166378</v>
      </c>
      <c r="AD8" s="18">
        <f t="shared" si="20"/>
        <v>328.04943280396327</v>
      </c>
      <c r="AE8" s="18">
        <f t="shared" si="20"/>
        <v>387.09833070867666</v>
      </c>
      <c r="AF8" s="18">
        <f t="shared" si="20"/>
        <v>456.77603023623846</v>
      </c>
      <c r="AG8" s="18">
        <f t="shared" si="20"/>
        <v>538.99571567876137</v>
      </c>
      <c r="AH8" s="18">
        <f t="shared" si="20"/>
        <v>636.01494450093844</v>
      </c>
    </row>
    <row r="9" spans="1:111" s="2" customFormat="1" x14ac:dyDescent="0.2">
      <c r="B9" s="2" t="s">
        <v>27</v>
      </c>
      <c r="C9" s="17"/>
      <c r="D9" s="17"/>
      <c r="E9" s="17"/>
      <c r="F9" s="17"/>
      <c r="G9" s="17">
        <f t="shared" ref="G9:I9" si="21">SUM(G6:G8)</f>
        <v>24.734999999999999</v>
      </c>
      <c r="H9" s="17">
        <f t="shared" si="21"/>
        <v>24.734999999999999</v>
      </c>
      <c r="I9" s="17">
        <f t="shared" si="21"/>
        <v>24.734999999999999</v>
      </c>
      <c r="J9" s="17">
        <f t="shared" ref="C9:J9" si="22">SUM(J6:J8)</f>
        <v>24.734999999999999</v>
      </c>
      <c r="K9" s="17"/>
      <c r="L9" s="17">
        <f t="shared" ref="K9:N9" si="23">SUM(L6:L8)</f>
        <v>26.029742500000005</v>
      </c>
      <c r="M9" s="17">
        <f t="shared" si="23"/>
        <v>26.029742500000005</v>
      </c>
      <c r="N9" s="17">
        <f t="shared" si="23"/>
        <v>26.029742500000005</v>
      </c>
      <c r="R9" s="17">
        <f t="shared" ref="R9:T11" si="24">SUM(R6:R8)</f>
        <v>39.000999999999998</v>
      </c>
      <c r="S9" s="17">
        <f t="shared" si="24"/>
        <v>98.94</v>
      </c>
      <c r="T9" s="17">
        <f t="shared" si="24"/>
        <v>111.79789</v>
      </c>
      <c r="U9" s="17">
        <f t="shared" ref="U9:AH9" si="25">SUM(U6:U8)</f>
        <v>126.7226347</v>
      </c>
      <c r="V9" s="17">
        <f t="shared" si="25"/>
        <v>144.07388967100002</v>
      </c>
      <c r="W9" s="17">
        <f t="shared" si="25"/>
        <v>164.27542957303001</v>
      </c>
      <c r="X9" s="17">
        <f t="shared" si="25"/>
        <v>187.8266586454879</v>
      </c>
      <c r="Y9" s="17">
        <f t="shared" si="25"/>
        <v>192.00316632872438</v>
      </c>
      <c r="Z9" s="17">
        <f t="shared" si="25"/>
        <v>220.2444706046729</v>
      </c>
      <c r="AA9" s="17">
        <f t="shared" si="25"/>
        <v>253.25324636713106</v>
      </c>
      <c r="AB9" s="17">
        <f t="shared" si="25"/>
        <v>291.8718403195125</v>
      </c>
      <c r="AC9" s="17">
        <f t="shared" si="25"/>
        <v>337.09343166363755</v>
      </c>
      <c r="AD9" s="17">
        <f t="shared" si="25"/>
        <v>390.08914245403571</v>
      </c>
      <c r="AE9" s="17">
        <f t="shared" si="25"/>
        <v>452.2400258412527</v>
      </c>
      <c r="AF9" s="17">
        <f t="shared" si="25"/>
        <v>525.17481012544329</v>
      </c>
      <c r="AG9" s="17">
        <f t="shared" si="25"/>
        <v>610.81443456242653</v>
      </c>
      <c r="AH9" s="17">
        <f t="shared" si="25"/>
        <v>711.42459932878683</v>
      </c>
    </row>
    <row r="10" spans="1:111" s="2" customFormat="1" x14ac:dyDescent="0.2">
      <c r="B10" s="2" t="s">
        <v>26</v>
      </c>
      <c r="C10" s="17"/>
      <c r="D10" s="17"/>
      <c r="E10" s="17"/>
      <c r="F10" s="17"/>
      <c r="G10" s="17">
        <f t="shared" ref="G10:I10" si="26">G5-G9</f>
        <v>60.4345</v>
      </c>
      <c r="H10" s="17">
        <f t="shared" si="26"/>
        <v>60.4345</v>
      </c>
      <c r="I10" s="17">
        <f t="shared" si="26"/>
        <v>60.4345</v>
      </c>
      <c r="J10" s="17">
        <f t="shared" ref="C10:J10" si="27">J5-J9</f>
        <v>60.4345</v>
      </c>
      <c r="K10" s="17"/>
      <c r="L10" s="17">
        <f t="shared" ref="K10:N10" si="28">L5-L9</f>
        <v>81.642704749999979</v>
      </c>
      <c r="M10" s="17">
        <f t="shared" si="28"/>
        <v>81.642704749999979</v>
      </c>
      <c r="N10" s="17">
        <f t="shared" si="28"/>
        <v>81.642704749999979</v>
      </c>
      <c r="R10" s="17">
        <f t="shared" ref="R10:T10" si="29">R5-R9</f>
        <v>44.571999999999996</v>
      </c>
      <c r="S10" s="17">
        <f t="shared" si="29"/>
        <v>241.738</v>
      </c>
      <c r="T10" s="17">
        <f t="shared" si="29"/>
        <v>290.20214999999996</v>
      </c>
      <c r="U10" s="17">
        <f t="shared" ref="U10:AH10" si="30">U5-U9</f>
        <v>347.63741249999998</v>
      </c>
      <c r="V10" s="17">
        <f t="shared" si="30"/>
        <v>415.67096602499993</v>
      </c>
      <c r="W10" s="17">
        <f t="shared" si="30"/>
        <v>496.22350014824985</v>
      </c>
      <c r="X10" s="17">
        <f t="shared" si="30"/>
        <v>591.56207842562208</v>
      </c>
      <c r="Y10" s="17">
        <f t="shared" si="30"/>
        <v>610.76723285451908</v>
      </c>
      <c r="Z10" s="17">
        <f t="shared" si="30"/>
        <v>606.60904055406797</v>
      </c>
      <c r="AA10" s="17">
        <f t="shared" si="30"/>
        <v>598.40587012637195</v>
      </c>
      <c r="AB10" s="17">
        <f t="shared" si="30"/>
        <v>585.33704966879554</v>
      </c>
      <c r="AC10" s="17">
        <f t="shared" si="30"/>
        <v>566.4317250243198</v>
      </c>
      <c r="AD10" s="17">
        <f t="shared" si="30"/>
        <v>540.54176893456054</v>
      </c>
      <c r="AE10" s="17">
        <f t="shared" si="30"/>
        <v>506.30981288900142</v>
      </c>
      <c r="AF10" s="17">
        <f t="shared" si="30"/>
        <v>462.13152376671849</v>
      </c>
      <c r="AG10" s="17">
        <f t="shared" si="30"/>
        <v>406.11108934650019</v>
      </c>
      <c r="AH10" s="17">
        <f t="shared" si="30"/>
        <v>336.00869029740761</v>
      </c>
    </row>
    <row r="11" spans="1:111" s="2" customFormat="1" x14ac:dyDescent="0.2">
      <c r="B11" s="2" t="s">
        <v>31</v>
      </c>
      <c r="C11" s="5"/>
      <c r="D11" s="5"/>
      <c r="E11" s="5"/>
      <c r="F11" s="5"/>
      <c r="G11" s="5">
        <f t="shared" ref="G11:I11" si="31">(0.477-0.249)/4</f>
        <v>5.6999999999999995E-2</v>
      </c>
      <c r="H11" s="5">
        <f t="shared" si="31"/>
        <v>5.6999999999999995E-2</v>
      </c>
      <c r="I11" s="5">
        <f t="shared" si="31"/>
        <v>5.6999999999999995E-2</v>
      </c>
      <c r="J11" s="5">
        <f>(0.477-0.249)/4</f>
        <v>5.6999999999999995E-2</v>
      </c>
      <c r="K11" s="5"/>
      <c r="L11" s="5">
        <v>100</v>
      </c>
      <c r="M11" s="5">
        <v>100</v>
      </c>
      <c r="N11" s="5">
        <v>100</v>
      </c>
      <c r="R11" s="28">
        <f>0.015-0.874</f>
        <v>-0.85899999999999999</v>
      </c>
      <c r="S11" s="28">
        <f>SUM(G11:J11)</f>
        <v>0.22799999999999998</v>
      </c>
      <c r="T11" s="18">
        <f>+S11</f>
        <v>0.22799999999999998</v>
      </c>
      <c r="U11" s="18">
        <f t="shared" ref="U11:AH11" si="32">+T11</f>
        <v>0.22799999999999998</v>
      </c>
      <c r="V11" s="18">
        <f t="shared" si="32"/>
        <v>0.22799999999999998</v>
      </c>
      <c r="W11" s="18">
        <f t="shared" si="32"/>
        <v>0.22799999999999998</v>
      </c>
      <c r="X11" s="18">
        <f t="shared" si="32"/>
        <v>0.22799999999999998</v>
      </c>
      <c r="Y11" s="18">
        <f t="shared" si="32"/>
        <v>0.22799999999999998</v>
      </c>
      <c r="Z11" s="18">
        <f t="shared" si="32"/>
        <v>0.22799999999999998</v>
      </c>
      <c r="AA11" s="18">
        <f t="shared" si="32"/>
        <v>0.22799999999999998</v>
      </c>
      <c r="AB11" s="18">
        <f t="shared" si="32"/>
        <v>0.22799999999999998</v>
      </c>
      <c r="AC11" s="18">
        <f t="shared" si="32"/>
        <v>0.22799999999999998</v>
      </c>
      <c r="AD11" s="18">
        <f t="shared" si="32"/>
        <v>0.22799999999999998</v>
      </c>
      <c r="AE11" s="18">
        <f t="shared" si="32"/>
        <v>0.22799999999999998</v>
      </c>
      <c r="AF11" s="18">
        <f t="shared" si="32"/>
        <v>0.22799999999999998</v>
      </c>
      <c r="AG11" s="18">
        <f t="shared" si="32"/>
        <v>0.22799999999999998</v>
      </c>
      <c r="AH11" s="18">
        <f t="shared" si="32"/>
        <v>0.22799999999999998</v>
      </c>
    </row>
    <row r="12" spans="1:111" s="2" customFormat="1" x14ac:dyDescent="0.2">
      <c r="B12" s="2" t="s">
        <v>30</v>
      </c>
      <c r="C12" s="17"/>
      <c r="D12" s="17"/>
      <c r="E12" s="17"/>
      <c r="F12" s="17"/>
      <c r="G12" s="17">
        <f t="shared" ref="G12:I12" si="33">+G10+G11</f>
        <v>60.491500000000002</v>
      </c>
      <c r="H12" s="17">
        <f t="shared" si="33"/>
        <v>60.491500000000002</v>
      </c>
      <c r="I12" s="17">
        <f t="shared" si="33"/>
        <v>60.491500000000002</v>
      </c>
      <c r="J12" s="17">
        <f t="shared" ref="C12:J12" si="34">+J10+J11</f>
        <v>60.491500000000002</v>
      </c>
      <c r="K12" s="17"/>
      <c r="L12" s="17">
        <f t="shared" ref="K12:N12" si="35">+L10+L11</f>
        <v>181.64270474999998</v>
      </c>
      <c r="M12" s="17">
        <f t="shared" si="35"/>
        <v>181.64270474999998</v>
      </c>
      <c r="N12" s="17">
        <f t="shared" si="35"/>
        <v>181.64270474999998</v>
      </c>
      <c r="R12" s="17">
        <f t="shared" ref="R12:T12" si="36">+R10+R11</f>
        <v>43.712999999999994</v>
      </c>
      <c r="S12" s="17">
        <f t="shared" si="36"/>
        <v>241.96600000000001</v>
      </c>
      <c r="T12" s="17">
        <f t="shared" si="36"/>
        <v>290.43014999999997</v>
      </c>
      <c r="U12" s="17">
        <f t="shared" ref="U12:AH12" si="37">+U10+U11</f>
        <v>347.86541249999999</v>
      </c>
      <c r="V12" s="17">
        <f t="shared" si="37"/>
        <v>415.89896602499994</v>
      </c>
      <c r="W12" s="17">
        <f t="shared" si="37"/>
        <v>496.45150014824986</v>
      </c>
      <c r="X12" s="17">
        <f t="shared" si="37"/>
        <v>591.79007842562203</v>
      </c>
      <c r="Y12" s="17">
        <f t="shared" si="37"/>
        <v>610.99523285451903</v>
      </c>
      <c r="Z12" s="17">
        <f t="shared" si="37"/>
        <v>606.83704055406793</v>
      </c>
      <c r="AA12" s="17">
        <f t="shared" si="37"/>
        <v>598.6338701263719</v>
      </c>
      <c r="AB12" s="17">
        <f t="shared" si="37"/>
        <v>585.5650496687955</v>
      </c>
      <c r="AC12" s="17">
        <f t="shared" si="37"/>
        <v>566.65972502431975</v>
      </c>
      <c r="AD12" s="17">
        <f t="shared" si="37"/>
        <v>540.76976893456049</v>
      </c>
      <c r="AE12" s="17">
        <f t="shared" si="37"/>
        <v>506.53781288900143</v>
      </c>
      <c r="AF12" s="17">
        <f t="shared" si="37"/>
        <v>462.3595237667185</v>
      </c>
      <c r="AG12" s="17">
        <f t="shared" si="37"/>
        <v>406.3390893465002</v>
      </c>
      <c r="AH12" s="17">
        <f t="shared" si="37"/>
        <v>336.23669029740762</v>
      </c>
    </row>
    <row r="13" spans="1:111" s="2" customFormat="1" x14ac:dyDescent="0.2">
      <c r="B13" s="2" t="s">
        <v>29</v>
      </c>
      <c r="C13" s="5"/>
      <c r="D13" s="5"/>
      <c r="E13" s="5"/>
      <c r="F13" s="5"/>
      <c r="G13" s="5">
        <f t="shared" ref="G13:I13" si="38">+(53.132)/4</f>
        <v>13.282999999999999</v>
      </c>
      <c r="H13" s="5">
        <f t="shared" si="38"/>
        <v>13.282999999999999</v>
      </c>
      <c r="I13" s="5">
        <f t="shared" si="38"/>
        <v>13.282999999999999</v>
      </c>
      <c r="J13" s="5">
        <f>+(53.132)/4</f>
        <v>13.282999999999999</v>
      </c>
      <c r="K13" s="5"/>
      <c r="L13" s="17">
        <f t="shared" ref="L13:N13" si="39">+L12*0.2</f>
        <v>36.328540949999997</v>
      </c>
      <c r="M13" s="17">
        <f t="shared" si="39"/>
        <v>36.328540949999997</v>
      </c>
      <c r="N13" s="17">
        <f t="shared" si="39"/>
        <v>36.328540949999997</v>
      </c>
      <c r="R13" s="28">
        <v>10.102</v>
      </c>
      <c r="S13" s="28">
        <f>SUM(G13:J13)</f>
        <v>53.131999999999998</v>
      </c>
      <c r="T13" s="18">
        <f>+T12*0.22</f>
        <v>63.894632999999992</v>
      </c>
      <c r="U13" s="18">
        <f t="shared" ref="U13:AH13" si="40">+U12*0.22</f>
        <v>76.530390749999995</v>
      </c>
      <c r="V13" s="18">
        <f t="shared" si="40"/>
        <v>91.497772525499983</v>
      </c>
      <c r="W13" s="18">
        <f t="shared" si="40"/>
        <v>109.21933003261498</v>
      </c>
      <c r="X13" s="18">
        <f t="shared" si="40"/>
        <v>130.19381725363684</v>
      </c>
      <c r="Y13" s="18">
        <f t="shared" si="40"/>
        <v>134.4189512279942</v>
      </c>
      <c r="Z13" s="18">
        <f t="shared" si="40"/>
        <v>133.50414892189494</v>
      </c>
      <c r="AA13" s="18">
        <f t="shared" si="40"/>
        <v>131.69945142780182</v>
      </c>
      <c r="AB13" s="18">
        <f t="shared" si="40"/>
        <v>128.824310927135</v>
      </c>
      <c r="AC13" s="18">
        <f t="shared" si="40"/>
        <v>124.66513950535035</v>
      </c>
      <c r="AD13" s="18">
        <f t="shared" si="40"/>
        <v>118.9693491656033</v>
      </c>
      <c r="AE13" s="18">
        <f t="shared" si="40"/>
        <v>111.43831883558032</v>
      </c>
      <c r="AF13" s="18">
        <f t="shared" si="40"/>
        <v>101.71909522867807</v>
      </c>
      <c r="AG13" s="18">
        <f t="shared" si="40"/>
        <v>89.394599656230042</v>
      </c>
      <c r="AH13" s="18">
        <f t="shared" si="40"/>
        <v>73.972071865429683</v>
      </c>
    </row>
    <row r="14" spans="1:111" s="2" customFormat="1" x14ac:dyDescent="0.2">
      <c r="B14" s="2" t="s">
        <v>28</v>
      </c>
      <c r="C14" s="17"/>
      <c r="D14" s="17"/>
      <c r="E14" s="17"/>
      <c r="F14" s="17"/>
      <c r="G14" s="17">
        <f t="shared" ref="G14:I14" si="41">+G12-G13</f>
        <v>47.208500000000001</v>
      </c>
      <c r="H14" s="17">
        <f t="shared" si="41"/>
        <v>47.208500000000001</v>
      </c>
      <c r="I14" s="17">
        <f t="shared" si="41"/>
        <v>47.208500000000001</v>
      </c>
      <c r="J14" s="17">
        <f t="shared" ref="C14:J14" si="42">+J12-J13</f>
        <v>47.208500000000001</v>
      </c>
      <c r="K14" s="17"/>
      <c r="L14" s="17">
        <f t="shared" ref="K14:N14" si="43">+L12-L13</f>
        <v>145.31416379999999</v>
      </c>
      <c r="M14" s="17">
        <f t="shared" si="43"/>
        <v>145.31416379999999</v>
      </c>
      <c r="N14" s="17">
        <f t="shared" si="43"/>
        <v>145.31416379999999</v>
      </c>
      <c r="R14" s="17">
        <f t="shared" ref="R14:T14" si="44">+R12-R13</f>
        <v>33.61099999999999</v>
      </c>
      <c r="S14" s="17">
        <f t="shared" si="44"/>
        <v>188.834</v>
      </c>
      <c r="T14" s="17">
        <f t="shared" si="44"/>
        <v>226.53551699999997</v>
      </c>
      <c r="U14" s="17">
        <f t="shared" ref="U14:AH14" si="45">+U12-U13</f>
        <v>271.33502175000001</v>
      </c>
      <c r="V14" s="17">
        <f t="shared" si="45"/>
        <v>324.40119349949998</v>
      </c>
      <c r="W14" s="17">
        <f t="shared" si="45"/>
        <v>387.23217011563486</v>
      </c>
      <c r="X14" s="17">
        <f t="shared" si="45"/>
        <v>461.59626117198519</v>
      </c>
      <c r="Y14" s="17">
        <f t="shared" si="45"/>
        <v>476.57628162652486</v>
      </c>
      <c r="Z14" s="17">
        <f t="shared" si="45"/>
        <v>473.33289163217296</v>
      </c>
      <c r="AA14" s="17">
        <f t="shared" si="45"/>
        <v>466.93441869857008</v>
      </c>
      <c r="AB14" s="17">
        <f t="shared" si="45"/>
        <v>456.74073874166049</v>
      </c>
      <c r="AC14" s="17">
        <f t="shared" si="45"/>
        <v>441.99458551896942</v>
      </c>
      <c r="AD14" s="17">
        <f t="shared" si="45"/>
        <v>421.80041976895717</v>
      </c>
      <c r="AE14" s="17">
        <f t="shared" si="45"/>
        <v>395.0994940534211</v>
      </c>
      <c r="AF14" s="17">
        <f t="shared" si="45"/>
        <v>360.6404285380404</v>
      </c>
      <c r="AG14" s="17">
        <f t="shared" si="45"/>
        <v>316.94448969027019</v>
      </c>
      <c r="AH14" s="17">
        <f t="shared" si="45"/>
        <v>262.26461843197796</v>
      </c>
      <c r="AI14" s="18">
        <f>+AH14*(1+$AK$18)</f>
        <v>243.90609514173948</v>
      </c>
      <c r="AJ14" s="18">
        <f t="shared" ref="AJ14:CU14" si="46">+AI14*(1+$AK$18)</f>
        <v>226.83266848181771</v>
      </c>
      <c r="AK14" s="18">
        <f t="shared" si="46"/>
        <v>210.95438168809045</v>
      </c>
      <c r="AL14" s="18">
        <f t="shared" si="46"/>
        <v>196.1875749699241</v>
      </c>
      <c r="AM14" s="18">
        <f t="shared" si="46"/>
        <v>182.45444472202939</v>
      </c>
      <c r="AN14" s="18">
        <f t="shared" si="46"/>
        <v>169.68263359148733</v>
      </c>
      <c r="AO14" s="18">
        <f t="shared" si="46"/>
        <v>157.8048492400832</v>
      </c>
      <c r="AP14" s="18">
        <f t="shared" si="46"/>
        <v>146.75850979327737</v>
      </c>
      <c r="AQ14" s="18">
        <f t="shared" si="46"/>
        <v>136.48541410774794</v>
      </c>
      <c r="AR14" s="18">
        <f t="shared" si="46"/>
        <v>126.93143512020558</v>
      </c>
      <c r="AS14" s="18">
        <f t="shared" si="46"/>
        <v>118.04623466179117</v>
      </c>
      <c r="AT14" s="18">
        <f t="shared" si="46"/>
        <v>109.78299823546578</v>
      </c>
      <c r="AU14" s="18">
        <f t="shared" si="46"/>
        <v>102.09818835898317</v>
      </c>
      <c r="AV14" s="18">
        <f t="shared" si="46"/>
        <v>94.95131517385434</v>
      </c>
      <c r="AW14" s="18">
        <f t="shared" si="46"/>
        <v>88.304723111684524</v>
      </c>
      <c r="AX14" s="18">
        <f t="shared" si="46"/>
        <v>82.123392493866604</v>
      </c>
      <c r="AY14" s="18">
        <f t="shared" si="46"/>
        <v>76.374755019295932</v>
      </c>
      <c r="AZ14" s="18">
        <f t="shared" si="46"/>
        <v>71.028522167945212</v>
      </c>
      <c r="BA14" s="18">
        <f t="shared" si="46"/>
        <v>66.056525616189049</v>
      </c>
      <c r="BB14" s="18">
        <f t="shared" si="46"/>
        <v>61.43256882305581</v>
      </c>
      <c r="BC14" s="18">
        <f t="shared" si="46"/>
        <v>57.132289005441898</v>
      </c>
      <c r="BD14" s="18">
        <f t="shared" si="46"/>
        <v>53.133028775060964</v>
      </c>
      <c r="BE14" s="18">
        <f t="shared" si="46"/>
        <v>49.413716760806693</v>
      </c>
      <c r="BF14" s="18">
        <f t="shared" si="46"/>
        <v>45.954756587550222</v>
      </c>
      <c r="BG14" s="18">
        <f t="shared" si="46"/>
        <v>42.737923626421704</v>
      </c>
      <c r="BH14" s="18">
        <f t="shared" si="46"/>
        <v>39.746268972572182</v>
      </c>
      <c r="BI14" s="18">
        <f t="shared" si="46"/>
        <v>36.964030144492128</v>
      </c>
      <c r="BJ14" s="18">
        <f t="shared" si="46"/>
        <v>34.376548034377677</v>
      </c>
      <c r="BK14" s="18">
        <f t="shared" si="46"/>
        <v>31.970189671971237</v>
      </c>
      <c r="BL14" s="18">
        <f t="shared" si="46"/>
        <v>29.732276394933248</v>
      </c>
      <c r="BM14" s="18">
        <f t="shared" si="46"/>
        <v>27.651017047287919</v>
      </c>
      <c r="BN14" s="18">
        <f t="shared" si="46"/>
        <v>25.715445853977762</v>
      </c>
      <c r="BO14" s="18">
        <f t="shared" si="46"/>
        <v>23.915364644199318</v>
      </c>
      <c r="BP14" s="18">
        <f t="shared" si="46"/>
        <v>22.241289119105364</v>
      </c>
      <c r="BQ14" s="18">
        <f t="shared" si="46"/>
        <v>20.684398880767986</v>
      </c>
      <c r="BR14" s="18">
        <f t="shared" si="46"/>
        <v>19.236490959114224</v>
      </c>
      <c r="BS14" s="18">
        <f t="shared" si="46"/>
        <v>17.889936591976227</v>
      </c>
      <c r="BT14" s="18">
        <f t="shared" si="46"/>
        <v>16.637641030537889</v>
      </c>
      <c r="BU14" s="18">
        <f t="shared" si="46"/>
        <v>15.473006158400235</v>
      </c>
      <c r="BV14" s="18">
        <f t="shared" si="46"/>
        <v>14.389895727312217</v>
      </c>
      <c r="BW14" s="18">
        <f t="shared" si="46"/>
        <v>13.382603026400361</v>
      </c>
      <c r="BX14" s="18">
        <f t="shared" si="46"/>
        <v>12.445820814552334</v>
      </c>
      <c r="BY14" s="18">
        <f t="shared" si="46"/>
        <v>11.57461335753367</v>
      </c>
      <c r="BZ14" s="18">
        <f t="shared" si="46"/>
        <v>10.764390422506311</v>
      </c>
      <c r="CA14" s="18">
        <f t="shared" si="46"/>
        <v>10.010883092930868</v>
      </c>
      <c r="CB14" s="18">
        <f t="shared" si="46"/>
        <v>9.310121276425706</v>
      </c>
      <c r="CC14" s="18">
        <f t="shared" si="46"/>
        <v>8.6584127870759051</v>
      </c>
      <c r="CD14" s="18">
        <f t="shared" si="46"/>
        <v>8.052323891980592</v>
      </c>
      <c r="CE14" s="18">
        <f t="shared" si="46"/>
        <v>7.4886612195419504</v>
      </c>
      <c r="CF14" s="18">
        <f t="shared" si="46"/>
        <v>6.9644549341740136</v>
      </c>
      <c r="CG14" s="18">
        <f t="shared" si="46"/>
        <v>6.476943088781832</v>
      </c>
      <c r="CH14" s="18">
        <f t="shared" si="46"/>
        <v>6.0235570725671037</v>
      </c>
      <c r="CI14" s="18">
        <f t="shared" si="46"/>
        <v>5.6019080774874057</v>
      </c>
      <c r="CJ14" s="18">
        <f t="shared" si="46"/>
        <v>5.2097745120632872</v>
      </c>
      <c r="CK14" s="18">
        <f t="shared" si="46"/>
        <v>4.8450902962188565</v>
      </c>
      <c r="CL14" s="18">
        <f t="shared" si="46"/>
        <v>4.5059339754835364</v>
      </c>
      <c r="CM14" s="18">
        <f t="shared" si="46"/>
        <v>4.1905185971996888</v>
      </c>
      <c r="CN14" s="18">
        <f t="shared" si="46"/>
        <v>3.8971822953957105</v>
      </c>
      <c r="CO14" s="18">
        <f t="shared" si="46"/>
        <v>3.6243795347180106</v>
      </c>
      <c r="CP14" s="18">
        <f t="shared" si="46"/>
        <v>3.3706729672877498</v>
      </c>
      <c r="CQ14" s="18">
        <f t="shared" si="46"/>
        <v>3.1347258595776073</v>
      </c>
      <c r="CR14" s="18">
        <f t="shared" si="46"/>
        <v>2.9152950494071748</v>
      </c>
      <c r="CS14" s="18">
        <f t="shared" si="46"/>
        <v>2.7112243959486722</v>
      </c>
      <c r="CT14" s="18">
        <f t="shared" si="46"/>
        <v>2.5214386882322648</v>
      </c>
      <c r="CU14" s="18">
        <f t="shared" si="46"/>
        <v>2.344937980056006</v>
      </c>
      <c r="CV14" s="18">
        <f t="shared" ref="CV14:DG14" si="47">+CU14*(1+$AK$18)</f>
        <v>2.1807923214520852</v>
      </c>
      <c r="CW14" s="18">
        <f t="shared" si="47"/>
        <v>2.0281368589504392</v>
      </c>
      <c r="CX14" s="18">
        <f t="shared" si="47"/>
        <v>1.8861672788239083</v>
      </c>
      <c r="CY14" s="18">
        <f t="shared" si="47"/>
        <v>1.7541355693062346</v>
      </c>
      <c r="CZ14" s="18">
        <f t="shared" si="47"/>
        <v>1.631346079454798</v>
      </c>
      <c r="DA14" s="18">
        <f t="shared" si="47"/>
        <v>1.517151853892962</v>
      </c>
      <c r="DB14" s="18">
        <f t="shared" si="47"/>
        <v>1.4109512241204547</v>
      </c>
      <c r="DC14" s="18">
        <f t="shared" si="47"/>
        <v>1.3121846384320228</v>
      </c>
      <c r="DD14" s="18">
        <f t="shared" si="47"/>
        <v>1.2203317137417811</v>
      </c>
      <c r="DE14" s="18">
        <f t="shared" si="47"/>
        <v>1.1349084937798564</v>
      </c>
      <c r="DF14" s="18">
        <f t="shared" si="47"/>
        <v>1.0554648992152664</v>
      </c>
      <c r="DG14" s="18">
        <f t="shared" si="47"/>
        <v>0.98158235627019774</v>
      </c>
    </row>
    <row r="15" spans="1:111" x14ac:dyDescent="0.2">
      <c r="B15" s="2" t="s">
        <v>32</v>
      </c>
      <c r="C15" s="19"/>
      <c r="D15" s="19"/>
      <c r="E15" s="19"/>
      <c r="F15" s="19"/>
      <c r="G15" s="19">
        <f t="shared" ref="G15:I15" si="48">G14/G16</f>
        <v>0.44705018939393942</v>
      </c>
      <c r="H15" s="19">
        <f t="shared" si="48"/>
        <v>0.44705018939393942</v>
      </c>
      <c r="I15" s="19">
        <f t="shared" si="48"/>
        <v>0.44705018939393942</v>
      </c>
      <c r="J15" s="19">
        <f t="shared" ref="C15:J15" si="49">J14/J16</f>
        <v>0.44705018939393942</v>
      </c>
      <c r="K15" s="19"/>
      <c r="L15" s="19" t="e">
        <f t="shared" ref="K15:N15" si="50">L14/L16</f>
        <v>#DIV/0!</v>
      </c>
      <c r="M15" s="19" t="e">
        <f t="shared" si="50"/>
        <v>#DIV/0!</v>
      </c>
      <c r="N15" s="19" t="e">
        <f t="shared" si="50"/>
        <v>#DIV/0!</v>
      </c>
      <c r="R15" s="19">
        <f t="shared" ref="R15:T15" si="51">R14/R16</f>
        <v>0.3182859848484848</v>
      </c>
      <c r="S15" s="19">
        <f t="shared" si="51"/>
        <v>1.7882007575757577</v>
      </c>
      <c r="T15" s="19">
        <f t="shared" si="51"/>
        <v>2.1452226988636363</v>
      </c>
      <c r="U15" s="19">
        <f t="shared" ref="U15:AH15" si="52">U14/U16</f>
        <v>2.5694604332386364</v>
      </c>
      <c r="V15" s="19">
        <f t="shared" si="52"/>
        <v>3.0719809990482956</v>
      </c>
      <c r="W15" s="19">
        <f t="shared" si="52"/>
        <v>3.6669713079132089</v>
      </c>
      <c r="X15" s="19">
        <f t="shared" si="52"/>
        <v>4.3711767156437995</v>
      </c>
      <c r="Y15" s="19">
        <f t="shared" si="52"/>
        <v>4.513032969948152</v>
      </c>
      <c r="Z15" s="19">
        <f t="shared" si="52"/>
        <v>4.482319049547093</v>
      </c>
      <c r="AA15" s="19">
        <f t="shared" si="52"/>
        <v>4.4217274497970651</v>
      </c>
      <c r="AB15" s="19">
        <f t="shared" si="52"/>
        <v>4.3251963895990579</v>
      </c>
      <c r="AC15" s="19">
        <f t="shared" si="52"/>
        <v>4.1855547871114531</v>
      </c>
      <c r="AD15" s="19">
        <f t="shared" si="52"/>
        <v>3.9943221569030039</v>
      </c>
      <c r="AE15" s="19">
        <f t="shared" si="52"/>
        <v>3.7414724815664879</v>
      </c>
      <c r="AF15" s="19">
        <f t="shared" si="52"/>
        <v>3.4151555732768979</v>
      </c>
      <c r="AG15" s="19">
        <f t="shared" si="52"/>
        <v>3.0013682735821043</v>
      </c>
      <c r="AH15" s="19">
        <f t="shared" si="52"/>
        <v>2.4835664624240339</v>
      </c>
    </row>
    <row r="16" spans="1:111" x14ac:dyDescent="0.2">
      <c r="B16" s="2" t="s">
        <v>1</v>
      </c>
      <c r="C16" s="5"/>
      <c r="D16" s="5"/>
      <c r="E16" s="5"/>
      <c r="F16" s="5"/>
      <c r="G16" s="5">
        <v>105.6</v>
      </c>
      <c r="H16" s="5">
        <v>105.6</v>
      </c>
      <c r="I16" s="5">
        <v>105.6</v>
      </c>
      <c r="J16" s="5">
        <v>105.6</v>
      </c>
      <c r="K16" s="17"/>
      <c r="L16" s="17">
        <f t="shared" ref="L16:N16" si="53">+K16</f>
        <v>0</v>
      </c>
      <c r="M16" s="17">
        <f t="shared" si="53"/>
        <v>0</v>
      </c>
      <c r="N16" s="17">
        <f t="shared" si="53"/>
        <v>0</v>
      </c>
      <c r="R16" s="25">
        <f>AVERAGE(F16:I16)</f>
        <v>105.59999999999998</v>
      </c>
      <c r="S16" s="25">
        <f>AVERAGE(G16:J16)</f>
        <v>105.6</v>
      </c>
      <c r="T16" s="18">
        <f>+S16</f>
        <v>105.6</v>
      </c>
      <c r="U16" s="18">
        <f t="shared" ref="U16:AH16" si="54">+T16</f>
        <v>105.6</v>
      </c>
      <c r="V16" s="18">
        <f t="shared" si="54"/>
        <v>105.6</v>
      </c>
      <c r="W16" s="18">
        <f t="shared" si="54"/>
        <v>105.6</v>
      </c>
      <c r="X16" s="18">
        <f t="shared" si="54"/>
        <v>105.6</v>
      </c>
      <c r="Y16" s="18">
        <f t="shared" si="54"/>
        <v>105.6</v>
      </c>
      <c r="Z16" s="18">
        <f t="shared" si="54"/>
        <v>105.6</v>
      </c>
      <c r="AA16" s="18">
        <f t="shared" si="54"/>
        <v>105.6</v>
      </c>
      <c r="AB16" s="18">
        <f t="shared" si="54"/>
        <v>105.6</v>
      </c>
      <c r="AC16" s="18">
        <f t="shared" si="54"/>
        <v>105.6</v>
      </c>
      <c r="AD16" s="18">
        <f t="shared" si="54"/>
        <v>105.6</v>
      </c>
      <c r="AE16" s="18">
        <f t="shared" si="54"/>
        <v>105.6</v>
      </c>
      <c r="AF16" s="18">
        <f t="shared" si="54"/>
        <v>105.6</v>
      </c>
      <c r="AG16" s="18">
        <f t="shared" si="54"/>
        <v>105.6</v>
      </c>
      <c r="AH16" s="18">
        <f t="shared" si="54"/>
        <v>105.6</v>
      </c>
    </row>
    <row r="17" spans="2:37" x14ac:dyDescent="0.2">
      <c r="S17" s="2">
        <f t="shared" ref="S5:S17" si="55">SUM(G17:J17)</f>
        <v>0</v>
      </c>
      <c r="AJ17" t="s">
        <v>53</v>
      </c>
      <c r="AK17" s="4">
        <v>0.03</v>
      </c>
    </row>
    <row r="18" spans="2:37" s="8" customFormat="1" x14ac:dyDescent="0.2">
      <c r="B18" s="8" t="s">
        <v>8</v>
      </c>
      <c r="C18" s="9"/>
      <c r="D18" s="9"/>
      <c r="E18" s="9"/>
      <c r="F18" s="9"/>
      <c r="G18" s="20" t="e">
        <f>G3/C3-1</f>
        <v>#DIV/0!</v>
      </c>
      <c r="H18" s="20" t="e">
        <f>H3/D3-1</f>
        <v>#DIV/0!</v>
      </c>
      <c r="I18" s="20" t="e">
        <f>I3/E3-1</f>
        <v>#DIV/0!</v>
      </c>
      <c r="J18" s="20" t="e">
        <f>J3/F3-1</f>
        <v>#DIV/0!</v>
      </c>
      <c r="K18" s="20">
        <f>K3/G3-1</f>
        <v>-1</v>
      </c>
      <c r="L18" s="20">
        <f t="shared" ref="L18:N18" si="56">L3/H3-1</f>
        <v>0.14999999999999991</v>
      </c>
      <c r="M18" s="20">
        <f t="shared" si="56"/>
        <v>0.14999999999999991</v>
      </c>
      <c r="N18" s="20">
        <f t="shared" si="56"/>
        <v>0.14999999999999991</v>
      </c>
      <c r="R18" s="21"/>
      <c r="S18" s="21">
        <f>S3/R3-1</f>
        <v>2.4117264984298399</v>
      </c>
      <c r="T18" s="21">
        <f>T3/S3-1</f>
        <v>0.17999999999999994</v>
      </c>
      <c r="U18" s="21">
        <f t="shared" ref="U18:AH18" si="57">U3/T3-1</f>
        <v>0.17999999999999994</v>
      </c>
      <c r="V18" s="21">
        <f t="shared" si="57"/>
        <v>0.17999999999999994</v>
      </c>
      <c r="W18" s="21">
        <f t="shared" si="57"/>
        <v>0.17999999999999994</v>
      </c>
      <c r="X18" s="21">
        <f t="shared" si="57"/>
        <v>0.17999999999999994</v>
      </c>
      <c r="Y18" s="21">
        <f t="shared" si="57"/>
        <v>3.0000000000000027E-2</v>
      </c>
      <c r="Z18" s="21">
        <f t="shared" si="57"/>
        <v>3.0000000000000027E-2</v>
      </c>
      <c r="AA18" s="21">
        <f t="shared" si="57"/>
        <v>3.0000000000000027E-2</v>
      </c>
      <c r="AB18" s="21">
        <f t="shared" si="57"/>
        <v>3.0000000000000027E-2</v>
      </c>
      <c r="AC18" s="21">
        <f t="shared" si="57"/>
        <v>3.0000000000000027E-2</v>
      </c>
      <c r="AD18" s="21">
        <f t="shared" si="57"/>
        <v>3.0000000000000027E-2</v>
      </c>
      <c r="AE18" s="21">
        <f t="shared" si="57"/>
        <v>3.0000000000000027E-2</v>
      </c>
      <c r="AF18" s="21">
        <f t="shared" si="57"/>
        <v>3.0000000000000027E-2</v>
      </c>
      <c r="AG18" s="21">
        <f t="shared" si="57"/>
        <v>3.0000000000000027E-2</v>
      </c>
      <c r="AH18" s="21">
        <f t="shared" si="57"/>
        <v>3.0000000000000027E-2</v>
      </c>
      <c r="AJ18" s="8" t="s">
        <v>50</v>
      </c>
      <c r="AK18" s="10">
        <v>-7.0000000000000007E-2</v>
      </c>
    </row>
    <row r="19" spans="2:37" x14ac:dyDescent="0.2">
      <c r="B19" t="s">
        <v>33</v>
      </c>
      <c r="AJ19" t="s">
        <v>51</v>
      </c>
      <c r="AK19" s="4">
        <v>0.06</v>
      </c>
    </row>
    <row r="20" spans="2:37" x14ac:dyDescent="0.2">
      <c r="B20" t="s">
        <v>47</v>
      </c>
      <c r="G20" s="22" t="e">
        <f t="shared" ref="G20:I21" si="58">G6/C6-1</f>
        <v>#DIV/0!</v>
      </c>
      <c r="H20" s="22" t="e">
        <f t="shared" si="58"/>
        <v>#DIV/0!</v>
      </c>
      <c r="I20" s="22" t="e">
        <f t="shared" si="58"/>
        <v>#DIV/0!</v>
      </c>
      <c r="J20" s="22" t="e">
        <f>J6/F6-1</f>
        <v>#DIV/0!</v>
      </c>
      <c r="K20" s="22" t="e">
        <f t="shared" ref="K20:N21" si="59">K6/G6-1</f>
        <v>#DIV/0!</v>
      </c>
      <c r="L20" s="22" t="e">
        <f t="shared" si="59"/>
        <v>#DIV/0!</v>
      </c>
      <c r="M20" s="22" t="e">
        <f t="shared" si="59"/>
        <v>#DIV/0!</v>
      </c>
      <c r="N20" s="22" t="e">
        <f t="shared" si="59"/>
        <v>#DIV/0!</v>
      </c>
      <c r="R20" s="23" t="e">
        <f t="shared" ref="R20:T22" si="60">R6/Q6-1</f>
        <v>#DIV/0!</v>
      </c>
      <c r="S20" s="23" t="e">
        <f t="shared" si="60"/>
        <v>#DIV/0!</v>
      </c>
      <c r="T20" s="23" t="e">
        <f t="shared" si="60"/>
        <v>#DIV/0!</v>
      </c>
      <c r="U20" s="23" t="e">
        <f>U6/T6-1</f>
        <v>#DIV/0!</v>
      </c>
      <c r="V20" s="23" t="e">
        <f t="shared" ref="V20:AH20" si="61">V6/U6-1</f>
        <v>#DIV/0!</v>
      </c>
      <c r="W20" s="23" t="e">
        <f t="shared" si="61"/>
        <v>#DIV/0!</v>
      </c>
      <c r="X20" s="23" t="e">
        <f t="shared" si="61"/>
        <v>#DIV/0!</v>
      </c>
      <c r="Y20" s="23" t="e">
        <f t="shared" si="61"/>
        <v>#DIV/0!</v>
      </c>
      <c r="Z20" s="23" t="e">
        <f t="shared" si="61"/>
        <v>#DIV/0!</v>
      </c>
      <c r="AA20" s="23" t="e">
        <f t="shared" si="61"/>
        <v>#DIV/0!</v>
      </c>
      <c r="AB20" s="23" t="e">
        <f t="shared" si="61"/>
        <v>#DIV/0!</v>
      </c>
      <c r="AC20" s="23" t="e">
        <f t="shared" si="61"/>
        <v>#DIV/0!</v>
      </c>
      <c r="AD20" s="23" t="e">
        <f t="shared" si="61"/>
        <v>#DIV/0!</v>
      </c>
      <c r="AE20" s="23" t="e">
        <f t="shared" si="61"/>
        <v>#DIV/0!</v>
      </c>
      <c r="AF20" s="23" t="e">
        <f t="shared" si="61"/>
        <v>#DIV/0!</v>
      </c>
      <c r="AG20" s="23" t="e">
        <f t="shared" si="61"/>
        <v>#DIV/0!</v>
      </c>
      <c r="AH20" s="23" t="e">
        <f t="shared" si="61"/>
        <v>#DIV/0!</v>
      </c>
      <c r="AJ20" t="s">
        <v>52</v>
      </c>
      <c r="AK20" s="18">
        <f>NPV(AK19,U14:DG14)+T14+J30</f>
        <v>4777.9643725341348</v>
      </c>
    </row>
    <row r="21" spans="2:37" x14ac:dyDescent="0.2">
      <c r="B21" t="s">
        <v>49</v>
      </c>
      <c r="G21" s="22" t="e">
        <f t="shared" si="58"/>
        <v>#DIV/0!</v>
      </c>
      <c r="H21" s="22" t="e">
        <f t="shared" si="58"/>
        <v>#DIV/0!</v>
      </c>
      <c r="I21" s="22" t="e">
        <f t="shared" si="58"/>
        <v>#DIV/0!</v>
      </c>
      <c r="J21" s="22" t="e">
        <f t="shared" ref="J21" si="62">J7/F7-1</f>
        <v>#DIV/0!</v>
      </c>
      <c r="K21" s="22">
        <f t="shared" si="59"/>
        <v>-1</v>
      </c>
      <c r="L21" s="22">
        <f t="shared" si="59"/>
        <v>0.12000000000000011</v>
      </c>
      <c r="M21" s="22">
        <f t="shared" si="59"/>
        <v>0.12000000000000011</v>
      </c>
      <c r="N21" s="22">
        <f t="shared" si="59"/>
        <v>0.12000000000000011</v>
      </c>
      <c r="R21" s="23" t="e">
        <f t="shared" si="60"/>
        <v>#DIV/0!</v>
      </c>
      <c r="S21" s="23">
        <f t="shared" si="60"/>
        <v>0.27628845251658762</v>
      </c>
      <c r="T21" s="23">
        <f t="shared" si="60"/>
        <v>5.0000000000000044E-2</v>
      </c>
      <c r="U21" s="23">
        <f t="shared" ref="U21:AH22" si="63">U7/T7-1</f>
        <v>5.0000000000000044E-2</v>
      </c>
      <c r="V21" s="23">
        <f t="shared" si="63"/>
        <v>5.0000000000000044E-2</v>
      </c>
      <c r="W21" s="23">
        <f t="shared" si="63"/>
        <v>5.0000000000000044E-2</v>
      </c>
      <c r="X21" s="23">
        <f t="shared" si="63"/>
        <v>5.0000000000000044E-2</v>
      </c>
      <c r="Y21" s="23">
        <f t="shared" si="63"/>
        <v>0</v>
      </c>
      <c r="Z21" s="23">
        <f t="shared" si="63"/>
        <v>5.0000000000000044E-2</v>
      </c>
      <c r="AA21" s="23">
        <f t="shared" si="63"/>
        <v>5.0000000000000044E-2</v>
      </c>
      <c r="AB21" s="23">
        <f t="shared" si="63"/>
        <v>5.0000000000000044E-2</v>
      </c>
      <c r="AC21" s="23">
        <f t="shared" si="63"/>
        <v>5.0000000000000044E-2</v>
      </c>
      <c r="AD21" s="23">
        <f t="shared" si="63"/>
        <v>5.0000000000000044E-2</v>
      </c>
      <c r="AE21" s="23">
        <f t="shared" si="63"/>
        <v>5.0000000000000044E-2</v>
      </c>
      <c r="AF21" s="23">
        <f t="shared" si="63"/>
        <v>5.0000000000000044E-2</v>
      </c>
      <c r="AG21" s="23">
        <f t="shared" si="63"/>
        <v>5.0000000000000044E-2</v>
      </c>
      <c r="AH21" s="23">
        <f t="shared" si="63"/>
        <v>5.0000000000000044E-2</v>
      </c>
      <c r="AJ21" t="s">
        <v>54</v>
      </c>
      <c r="AK21" s="18">
        <f>AK20/Main!J3</f>
        <v>45.245874739906583</v>
      </c>
    </row>
    <row r="22" spans="2:37" x14ac:dyDescent="0.2">
      <c r="B22" t="s">
        <v>48</v>
      </c>
      <c r="G22" s="22" t="e">
        <f>G8/C8-1</f>
        <v>#DIV/0!</v>
      </c>
      <c r="H22" s="22" t="e">
        <f>H8/D8-1</f>
        <v>#DIV/0!</v>
      </c>
      <c r="I22" s="22" t="e">
        <f>I8/E8-1</f>
        <v>#DIV/0!</v>
      </c>
      <c r="J22" s="22" t="e">
        <f>J8/F8-1</f>
        <v>#DIV/0!</v>
      </c>
      <c r="K22" s="22">
        <f t="shared" ref="K22:N22" si="64">K8/G8-1</f>
        <v>-1</v>
      </c>
      <c r="L22" s="22">
        <f t="shared" si="64"/>
        <v>1.0000000000000009E-2</v>
      </c>
      <c r="M22" s="22">
        <f t="shared" si="64"/>
        <v>1.0000000000000009E-2</v>
      </c>
      <c r="N22" s="22">
        <f t="shared" si="64"/>
        <v>1.0000000000000009E-2</v>
      </c>
      <c r="R22" s="23" t="e">
        <f t="shared" si="60"/>
        <v>#DIV/0!</v>
      </c>
      <c r="S22" s="23">
        <f t="shared" si="60"/>
        <v>5.6440659460639804</v>
      </c>
      <c r="T22" s="23">
        <f t="shared" si="60"/>
        <v>0.17999999999999994</v>
      </c>
      <c r="U22" s="23">
        <f t="shared" si="63"/>
        <v>0.17999999999999994</v>
      </c>
      <c r="V22" s="23">
        <f t="shared" si="63"/>
        <v>0.17999999999999994</v>
      </c>
      <c r="W22" s="23">
        <f t="shared" si="63"/>
        <v>0.17999999999999994</v>
      </c>
      <c r="X22" s="23">
        <f t="shared" si="63"/>
        <v>0.17999999999999994</v>
      </c>
      <c r="Y22" s="23">
        <f t="shared" si="63"/>
        <v>3.0000000000000027E-2</v>
      </c>
      <c r="Z22" s="23">
        <f t="shared" si="63"/>
        <v>0.17999999999999994</v>
      </c>
      <c r="AA22" s="23">
        <f t="shared" si="63"/>
        <v>0.17999999999999994</v>
      </c>
      <c r="AB22" s="23">
        <f t="shared" si="63"/>
        <v>0.17999999999999994</v>
      </c>
      <c r="AC22" s="23">
        <f t="shared" si="63"/>
        <v>0.17999999999999994</v>
      </c>
      <c r="AD22" s="23">
        <f t="shared" si="63"/>
        <v>0.17999999999999994</v>
      </c>
      <c r="AE22" s="23">
        <f t="shared" si="63"/>
        <v>0.17999999999999994</v>
      </c>
      <c r="AF22" s="23">
        <f t="shared" si="63"/>
        <v>0.17999999999999994</v>
      </c>
      <c r="AG22" s="23">
        <f t="shared" si="63"/>
        <v>0.17999999999999994</v>
      </c>
      <c r="AH22" s="23">
        <f t="shared" si="63"/>
        <v>0.17999999999999994</v>
      </c>
      <c r="AJ22" t="s">
        <v>55</v>
      </c>
      <c r="AK22" s="1">
        <f>+Main!J2</f>
        <v>45</v>
      </c>
    </row>
    <row r="23" spans="2:37" x14ac:dyDescent="0.2">
      <c r="AJ23" s="8" t="s">
        <v>56</v>
      </c>
      <c r="AK23" s="21">
        <f>AK21/AK22-1</f>
        <v>5.463883109035228E-3</v>
      </c>
    </row>
    <row r="25" spans="2:37" x14ac:dyDescent="0.2">
      <c r="B25" t="s">
        <v>20</v>
      </c>
      <c r="C25" s="22" t="e">
        <f t="shared" ref="C25" si="65">C5/C3</f>
        <v>#DIV/0!</v>
      </c>
      <c r="D25" s="22" t="e">
        <f t="shared" ref="D25:J25" si="66">D5/D3</f>
        <v>#DIV/0!</v>
      </c>
      <c r="E25" s="22" t="e">
        <f t="shared" si="66"/>
        <v>#DIV/0!</v>
      </c>
      <c r="F25" s="22" t="e">
        <f t="shared" si="66"/>
        <v>#DIV/0!</v>
      </c>
      <c r="G25" s="22">
        <f t="shared" si="66"/>
        <v>0.5639869349212735</v>
      </c>
      <c r="H25" s="22">
        <f t="shared" si="66"/>
        <v>0.5639869349212735</v>
      </c>
      <c r="I25" s="22">
        <f t="shared" si="66"/>
        <v>0.5639869349212735</v>
      </c>
      <c r="J25" s="22">
        <f t="shared" si="66"/>
        <v>0.5639869349212735</v>
      </c>
      <c r="K25" s="22" t="e">
        <f t="shared" ref="K25:N25" si="67">K5/K3</f>
        <v>#DIV/0!</v>
      </c>
      <c r="L25" s="22">
        <f t="shared" si="67"/>
        <v>0.62</v>
      </c>
      <c r="M25" s="22">
        <f t="shared" si="67"/>
        <v>0.62</v>
      </c>
      <c r="N25" s="22">
        <f t="shared" si="67"/>
        <v>0.62</v>
      </c>
      <c r="R25" s="22">
        <f t="shared" ref="R25:T25" si="68">R5/R3</f>
        <v>0.47202516774732844</v>
      </c>
      <c r="S25" s="22">
        <f t="shared" si="68"/>
        <v>0.5639869349212735</v>
      </c>
      <c r="T25" s="22">
        <f t="shared" si="68"/>
        <v>0.5639869349212735</v>
      </c>
      <c r="U25" s="22">
        <f t="shared" ref="T25:AH25" si="69">U5/U3</f>
        <v>0.5639869349212735</v>
      </c>
      <c r="V25" s="22">
        <f t="shared" si="69"/>
        <v>0.5639869349212735</v>
      </c>
      <c r="W25" s="22">
        <f t="shared" si="69"/>
        <v>0.5639869349212735</v>
      </c>
      <c r="X25" s="22">
        <f t="shared" si="69"/>
        <v>0.56398693492127339</v>
      </c>
      <c r="Y25" s="22">
        <f t="shared" si="69"/>
        <v>0.56398693492127339</v>
      </c>
      <c r="Z25" s="22">
        <f t="shared" si="69"/>
        <v>0.5639869349212735</v>
      </c>
      <c r="AA25" s="22">
        <f t="shared" si="69"/>
        <v>0.56398693492127339</v>
      </c>
      <c r="AB25" s="22">
        <f t="shared" si="69"/>
        <v>0.56398693492127339</v>
      </c>
      <c r="AC25" s="22">
        <f t="shared" si="69"/>
        <v>0.56398693492127339</v>
      </c>
      <c r="AD25" s="22">
        <f t="shared" si="69"/>
        <v>0.5639869349212735</v>
      </c>
      <c r="AE25" s="22">
        <f t="shared" si="69"/>
        <v>0.5639869349212735</v>
      </c>
      <c r="AF25" s="22">
        <f t="shared" si="69"/>
        <v>0.5639869349212735</v>
      </c>
      <c r="AG25" s="22">
        <f t="shared" si="69"/>
        <v>0.5639869349212735</v>
      </c>
      <c r="AH25" s="22">
        <f t="shared" si="69"/>
        <v>0.56398693492127339</v>
      </c>
    </row>
    <row r="26" spans="2:37" x14ac:dyDescent="0.2">
      <c r="B26" t="s">
        <v>27</v>
      </c>
      <c r="C26" s="22" t="e">
        <f t="shared" ref="C26" si="70">C10/C3</f>
        <v>#DIV/0!</v>
      </c>
      <c r="D26" s="22" t="e">
        <f t="shared" ref="D26:J26" si="71">D10/D3</f>
        <v>#DIV/0!</v>
      </c>
      <c r="E26" s="22" t="e">
        <f t="shared" si="71"/>
        <v>#DIV/0!</v>
      </c>
      <c r="F26" s="22" t="e">
        <f t="shared" si="71"/>
        <v>#DIV/0!</v>
      </c>
      <c r="G26" s="22">
        <f t="shared" si="71"/>
        <v>0.40019336051637855</v>
      </c>
      <c r="H26" s="22">
        <f t="shared" si="71"/>
        <v>0.40019336051637855</v>
      </c>
      <c r="I26" s="22">
        <f t="shared" si="71"/>
        <v>0.40019336051637855</v>
      </c>
      <c r="J26" s="22">
        <f t="shared" si="71"/>
        <v>0.40019336051637855</v>
      </c>
      <c r="K26" s="22" t="e">
        <f t="shared" ref="K26:N26" si="72">K10/K3</f>
        <v>#DIV/0!</v>
      </c>
      <c r="L26" s="22">
        <f t="shared" si="72"/>
        <v>0.47011541241810112</v>
      </c>
      <c r="M26" s="22">
        <f t="shared" si="72"/>
        <v>0.47011541241810112</v>
      </c>
      <c r="N26" s="22">
        <f t="shared" si="72"/>
        <v>0.47011541241810112</v>
      </c>
      <c r="R26" s="22">
        <f t="shared" ref="R26:T26" si="73">R10/R3</f>
        <v>0.25174524998305581</v>
      </c>
      <c r="S26" s="22">
        <f t="shared" si="73"/>
        <v>0.40019336051637855</v>
      </c>
      <c r="T26" s="22">
        <f t="shared" si="73"/>
        <v>0.40713981293649532</v>
      </c>
      <c r="U26" s="22">
        <f t="shared" ref="T26:AH26" si="74">U10/U3</f>
        <v>0.41332097822558234</v>
      </c>
      <c r="V26" s="22">
        <f t="shared" si="74"/>
        <v>0.41882116767773597</v>
      </c>
      <c r="W26" s="22">
        <f t="shared" si="74"/>
        <v>0.42371540405465236</v>
      </c>
      <c r="X26" s="22">
        <f t="shared" si="74"/>
        <v>0.42807044489851853</v>
      </c>
      <c r="Y26" s="22">
        <f t="shared" si="74"/>
        <v>0.4290949690701526</v>
      </c>
      <c r="Z26" s="22">
        <f t="shared" si="74"/>
        <v>0.41376080389158865</v>
      </c>
      <c r="AA26" s="22">
        <f t="shared" si="74"/>
        <v>0.39627720292716989</v>
      </c>
      <c r="AB26" s="22">
        <f t="shared" si="74"/>
        <v>0.37633276669478943</v>
      </c>
      <c r="AC26" s="22">
        <f t="shared" si="74"/>
        <v>0.35357077782944879</v>
      </c>
      <c r="AD26" s="22">
        <f t="shared" si="74"/>
        <v>0.32758260200431777</v>
      </c>
      <c r="AE26" s="22">
        <f t="shared" si="74"/>
        <v>0.29790012783277792</v>
      </c>
      <c r="AF26" s="22">
        <f t="shared" si="74"/>
        <v>0.26398710579745666</v>
      </c>
      <c r="AG26" s="22">
        <f t="shared" si="74"/>
        <v>0.22522922587061001</v>
      </c>
      <c r="AH26" s="22">
        <f t="shared" si="74"/>
        <v>0.18092275014037054</v>
      </c>
    </row>
    <row r="27" spans="2:37" x14ac:dyDescent="0.2">
      <c r="B27" t="s">
        <v>29</v>
      </c>
      <c r="C27" s="22" t="e">
        <f t="shared" ref="C27" si="75">C13/C12</f>
        <v>#DIV/0!</v>
      </c>
      <c r="D27" s="22" t="e">
        <f t="shared" ref="D27:J27" si="76">D13/D12</f>
        <v>#DIV/0!</v>
      </c>
      <c r="E27" s="22" t="e">
        <f t="shared" si="76"/>
        <v>#DIV/0!</v>
      </c>
      <c r="F27" s="22" t="e">
        <f t="shared" si="76"/>
        <v>#DIV/0!</v>
      </c>
      <c r="G27" s="22">
        <f t="shared" si="76"/>
        <v>0.21958456973293766</v>
      </c>
      <c r="H27" s="22">
        <f t="shared" si="76"/>
        <v>0.21958456973293766</v>
      </c>
      <c r="I27" s="22">
        <f t="shared" si="76"/>
        <v>0.21958456973293766</v>
      </c>
      <c r="J27" s="22">
        <f t="shared" si="76"/>
        <v>0.21958456973293766</v>
      </c>
      <c r="K27" s="22" t="e">
        <f t="shared" ref="K27:N27" si="77">K13/K12</f>
        <v>#DIV/0!</v>
      </c>
      <c r="L27" s="22">
        <f t="shared" si="77"/>
        <v>0.2</v>
      </c>
      <c r="M27" s="22">
        <f t="shared" si="77"/>
        <v>0.2</v>
      </c>
      <c r="N27" s="22">
        <f t="shared" si="77"/>
        <v>0.2</v>
      </c>
      <c r="R27" s="22">
        <f t="shared" ref="R27:T27" si="78">R13/R12</f>
        <v>0.23109830027680556</v>
      </c>
      <c r="S27" s="22">
        <f t="shared" si="78"/>
        <v>0.21958456973293766</v>
      </c>
      <c r="T27" s="22">
        <f t="shared" si="78"/>
        <v>0.22</v>
      </c>
      <c r="U27" s="22">
        <f t="shared" ref="T27:AH27" si="79">U13/U12</f>
        <v>0.22</v>
      </c>
      <c r="V27" s="22">
        <f t="shared" si="79"/>
        <v>0.22</v>
      </c>
      <c r="W27" s="22">
        <f t="shared" si="79"/>
        <v>0.22</v>
      </c>
      <c r="X27" s="22">
        <f t="shared" si="79"/>
        <v>0.21999999999999997</v>
      </c>
      <c r="Y27" s="22">
        <f t="shared" si="79"/>
        <v>0.22000000000000003</v>
      </c>
      <c r="Z27" s="22">
        <f t="shared" si="79"/>
        <v>0.22</v>
      </c>
      <c r="AA27" s="22">
        <f t="shared" si="79"/>
        <v>0.22</v>
      </c>
      <c r="AB27" s="22">
        <f t="shared" si="79"/>
        <v>0.22</v>
      </c>
      <c r="AC27" s="22">
        <f t="shared" si="79"/>
        <v>0.22</v>
      </c>
      <c r="AD27" s="22">
        <f t="shared" si="79"/>
        <v>0.22</v>
      </c>
      <c r="AE27" s="22">
        <f t="shared" si="79"/>
        <v>0.22</v>
      </c>
      <c r="AF27" s="22">
        <f t="shared" si="79"/>
        <v>0.22</v>
      </c>
      <c r="AG27" s="22">
        <f t="shared" si="79"/>
        <v>0.22</v>
      </c>
      <c r="AH27" s="22">
        <f t="shared" si="79"/>
        <v>0.22000000000000003</v>
      </c>
    </row>
    <row r="29" spans="2:37" x14ac:dyDescent="0.2">
      <c r="B29" t="s">
        <v>75</v>
      </c>
      <c r="J29" s="17">
        <f>J30-J41</f>
        <v>50.158000000000001</v>
      </c>
      <c r="K29" s="17"/>
      <c r="L29" s="17"/>
      <c r="M29" s="17"/>
      <c r="N29" s="17"/>
    </row>
    <row r="30" spans="2:37" s="2" customFormat="1" x14ac:dyDescent="0.2">
      <c r="B30" s="2" t="s">
        <v>3</v>
      </c>
      <c r="C30" s="5"/>
      <c r="D30" s="5"/>
      <c r="E30" s="5"/>
      <c r="F30" s="5"/>
      <c r="G30" s="5"/>
      <c r="H30" s="5"/>
      <c r="I30" s="5"/>
      <c r="J30" s="17">
        <v>50.158000000000001</v>
      </c>
      <c r="K30" s="17"/>
      <c r="L30" s="5"/>
      <c r="M30" s="5"/>
      <c r="N30" s="5"/>
      <c r="T30" s="18">
        <f>+N30</f>
        <v>0</v>
      </c>
      <c r="U30" s="18">
        <f>+T30+U14</f>
        <v>271.33502175000001</v>
      </c>
      <c r="V30" s="18">
        <f t="shared" ref="V30:AH30" si="80">+U30+V14</f>
        <v>595.73621524949999</v>
      </c>
      <c r="W30" s="18">
        <f t="shared" si="80"/>
        <v>982.96838536513485</v>
      </c>
      <c r="X30" s="18">
        <f t="shared" si="80"/>
        <v>1444.5646465371201</v>
      </c>
      <c r="Y30" s="18">
        <f t="shared" si="80"/>
        <v>1921.140928163645</v>
      </c>
      <c r="Z30" s="18">
        <f t="shared" si="80"/>
        <v>2394.4738197958177</v>
      </c>
      <c r="AA30" s="18">
        <f t="shared" si="80"/>
        <v>2861.4082384943877</v>
      </c>
      <c r="AB30" s="18">
        <f t="shared" si="80"/>
        <v>3318.1489772360483</v>
      </c>
      <c r="AC30" s="18">
        <f t="shared" si="80"/>
        <v>3760.1435627550177</v>
      </c>
      <c r="AD30" s="18">
        <f t="shared" si="80"/>
        <v>4181.9439825239751</v>
      </c>
      <c r="AE30" s="18">
        <f t="shared" si="80"/>
        <v>4577.0434765773962</v>
      </c>
      <c r="AF30" s="18">
        <f t="shared" si="80"/>
        <v>4937.6839051154366</v>
      </c>
      <c r="AG30" s="18">
        <f t="shared" si="80"/>
        <v>5254.6283948057071</v>
      </c>
      <c r="AH30" s="18">
        <f t="shared" si="80"/>
        <v>5516.8930132376854</v>
      </c>
    </row>
    <row r="31" spans="2:37" s="2" customFormat="1" x14ac:dyDescent="0.2">
      <c r="B31" s="2" t="s">
        <v>58</v>
      </c>
      <c r="C31" s="5"/>
      <c r="D31" s="5"/>
      <c r="E31" s="5"/>
      <c r="F31" s="5"/>
      <c r="G31" s="5"/>
      <c r="H31" s="5"/>
      <c r="I31" s="5"/>
      <c r="J31" s="5">
        <v>48.588000000000001</v>
      </c>
      <c r="K31" s="5"/>
      <c r="L31" s="5"/>
      <c r="M31" s="5"/>
      <c r="N31" s="5"/>
    </row>
    <row r="32" spans="2:37" s="2" customFormat="1" x14ac:dyDescent="0.2">
      <c r="B32" s="2" t="s">
        <v>59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s="2" customFormat="1" x14ac:dyDescent="0.2">
      <c r="B33" s="2" t="s">
        <v>60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s="2" customFormat="1" x14ac:dyDescent="0.2">
      <c r="B34" s="2" t="s">
        <v>61</v>
      </c>
      <c r="C34" s="5"/>
      <c r="D34" s="5"/>
      <c r="E34" s="5"/>
      <c r="F34" s="5"/>
      <c r="G34" s="5"/>
      <c r="H34" s="5"/>
      <c r="I34" s="5"/>
      <c r="J34" s="17">
        <v>4.327</v>
      </c>
      <c r="K34" s="17"/>
      <c r="L34" s="5"/>
      <c r="M34" s="5"/>
      <c r="N34" s="5"/>
    </row>
    <row r="35" spans="2:14" s="2" customFormat="1" x14ac:dyDescent="0.2">
      <c r="B35" s="2" t="s">
        <v>62</v>
      </c>
      <c r="C35" s="5"/>
      <c r="D35" s="5"/>
      <c r="E35" s="5"/>
      <c r="F35" s="5"/>
      <c r="G35" s="5"/>
      <c r="H35" s="5"/>
      <c r="I35" s="5"/>
      <c r="J35" s="5">
        <v>109.68600000000001</v>
      </c>
      <c r="K35" s="5"/>
      <c r="L35" s="5"/>
      <c r="M35" s="5"/>
      <c r="N35" s="5"/>
    </row>
    <row r="36" spans="2:14" s="2" customFormat="1" x14ac:dyDescent="0.2">
      <c r="B36" s="2" t="s">
        <v>63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s="2" customFormat="1" x14ac:dyDescent="0.2">
      <c r="B37" s="2" t="s">
        <v>64</v>
      </c>
      <c r="C37" s="5"/>
      <c r="D37" s="5"/>
      <c r="E37" s="5"/>
      <c r="F37" s="5"/>
      <c r="G37" s="5"/>
      <c r="H37" s="5"/>
      <c r="I37" s="5"/>
      <c r="J37" s="17"/>
      <c r="K37" s="17"/>
      <c r="L37" s="5"/>
      <c r="M37" s="5"/>
      <c r="N37" s="5"/>
    </row>
    <row r="38" spans="2:14" s="2" customFormat="1" x14ac:dyDescent="0.2">
      <c r="B38" s="2" t="s">
        <v>65</v>
      </c>
      <c r="C38" s="5"/>
      <c r="D38" s="5"/>
      <c r="E38" s="5"/>
      <c r="F38" s="5"/>
      <c r="G38" s="5"/>
      <c r="H38" s="5"/>
      <c r="I38" s="5"/>
      <c r="J38" s="17"/>
      <c r="K38" s="17"/>
      <c r="L38" s="5"/>
      <c r="M38" s="5"/>
      <c r="N38" s="5"/>
    </row>
    <row r="39" spans="2:14" s="2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s="2" customFormat="1" x14ac:dyDescent="0.2">
      <c r="B40" s="2" t="s">
        <v>66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s="2" customFormat="1" x14ac:dyDescent="0.2">
      <c r="B41" s="2" t="s">
        <v>4</v>
      </c>
      <c r="C41" s="5"/>
      <c r="D41" s="5"/>
      <c r="E41" s="5"/>
      <c r="F41" s="5"/>
      <c r="G41" s="5"/>
      <c r="H41" s="5"/>
      <c r="I41" s="5"/>
      <c r="J41" s="17"/>
      <c r="K41" s="17"/>
      <c r="L41" s="5"/>
      <c r="M41" s="5"/>
      <c r="N41" s="5"/>
    </row>
    <row r="42" spans="2:14" s="2" customFormat="1" x14ac:dyDescent="0.2">
      <c r="B42" s="2" t="s">
        <v>67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2:14" s="2" customFormat="1" x14ac:dyDescent="0.2">
      <c r="B43" s="2" t="s">
        <v>68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2:14" s="2" customFormat="1" x14ac:dyDescent="0.2">
      <c r="B44" s="2" t="s">
        <v>69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2:14" s="2" customFormat="1" x14ac:dyDescent="0.2">
      <c r="B45" s="2" t="s">
        <v>70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2:14" s="2" customFormat="1" x14ac:dyDescent="0.2">
      <c r="B46" s="2" t="s">
        <v>71</v>
      </c>
      <c r="C46" s="5"/>
      <c r="D46" s="5"/>
      <c r="E46" s="5"/>
      <c r="F46" s="5"/>
      <c r="G46" s="5"/>
      <c r="H46" s="5"/>
      <c r="I46" s="5"/>
      <c r="J46" s="17"/>
      <c r="K46" s="17"/>
      <c r="L46" s="5"/>
      <c r="M46" s="5"/>
      <c r="N46" s="5"/>
    </row>
    <row r="47" spans="2:14" s="2" customFormat="1" x14ac:dyDescent="0.2">
      <c r="B47" s="2" t="s">
        <v>29</v>
      </c>
      <c r="C47" s="5"/>
      <c r="D47" s="5"/>
      <c r="E47" s="5"/>
      <c r="F47" s="5"/>
      <c r="G47" s="5"/>
      <c r="H47" s="5"/>
      <c r="I47" s="5"/>
      <c r="J47" s="17"/>
      <c r="K47" s="17"/>
      <c r="L47" s="5"/>
      <c r="M47" s="5"/>
      <c r="N47" s="5"/>
    </row>
    <row r="48" spans="2:14" s="2" customFormat="1" x14ac:dyDescent="0.2">
      <c r="B48" s="2" t="s">
        <v>62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26" s="2" customFormat="1" x14ac:dyDescent="0.2">
      <c r="B49" s="2" t="s">
        <v>72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26" s="2" customFormat="1" x14ac:dyDescent="0.2">
      <c r="B50" s="2" t="s">
        <v>73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26" s="2" customFormat="1" x14ac:dyDescent="0.2">
      <c r="B51" s="2" t="s">
        <v>74</v>
      </c>
      <c r="C51" s="5"/>
      <c r="D51" s="5"/>
      <c r="E51" s="5"/>
      <c r="F51" s="5"/>
      <c r="G51" s="5"/>
      <c r="H51" s="5"/>
      <c r="I51" s="5"/>
      <c r="J51" s="17"/>
      <c r="K51" s="17"/>
      <c r="L51" s="5"/>
      <c r="M51" s="5"/>
      <c r="N51" s="5"/>
    </row>
    <row r="53" spans="2:26" s="6" customFormat="1" x14ac:dyDescent="0.2">
      <c r="B53" s="6" t="s">
        <v>37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T53" s="6">
        <v>600000</v>
      </c>
      <c r="U53" s="15">
        <f>+T53*1.01</f>
        <v>606000</v>
      </c>
      <c r="V53" s="15">
        <f t="shared" ref="V53:Z53" si="81">+U53*1.01</f>
        <v>612060</v>
      </c>
      <c r="W53" s="15">
        <f t="shared" si="81"/>
        <v>618180.6</v>
      </c>
      <c r="X53" s="15">
        <f t="shared" si="81"/>
        <v>624362.40599999996</v>
      </c>
      <c r="Y53" s="15">
        <f t="shared" si="81"/>
        <v>630606.03006000002</v>
      </c>
      <c r="Z53" s="15">
        <f t="shared" si="81"/>
        <v>636912.09036060004</v>
      </c>
    </row>
    <row r="54" spans="2:26" x14ac:dyDescent="0.2">
      <c r="B54" t="s">
        <v>34</v>
      </c>
      <c r="T54" s="18">
        <f>+T3</f>
        <v>712.78253999999993</v>
      </c>
      <c r="U54" s="18">
        <f t="shared" ref="U54:Z54" si="82">+U3</f>
        <v>841.08339719999992</v>
      </c>
      <c r="V54" s="18">
        <f t="shared" si="82"/>
        <v>992.47840869599986</v>
      </c>
      <c r="W54" s="18">
        <f t="shared" si="82"/>
        <v>1171.1245222612797</v>
      </c>
      <c r="X54" s="18">
        <f t="shared" si="82"/>
        <v>1381.9269362683099</v>
      </c>
      <c r="Y54" s="18">
        <f t="shared" si="82"/>
        <v>1423.3847443563593</v>
      </c>
      <c r="Z54" s="18">
        <f t="shared" si="82"/>
        <v>1466.0862866870502</v>
      </c>
    </row>
    <row r="55" spans="2:26" x14ac:dyDescent="0.2">
      <c r="B55" t="s">
        <v>42</v>
      </c>
      <c r="T55" s="2">
        <v>25000</v>
      </c>
    </row>
    <row r="56" spans="2:26" x14ac:dyDescent="0.2">
      <c r="B56" t="s">
        <v>43</v>
      </c>
      <c r="T56" s="2">
        <v>12000</v>
      </c>
    </row>
    <row r="57" spans="2:26" x14ac:dyDescent="0.2">
      <c r="B57" t="s">
        <v>41</v>
      </c>
      <c r="T57" s="2">
        <v>3570</v>
      </c>
    </row>
    <row r="58" spans="2:26" x14ac:dyDescent="0.2">
      <c r="B58" t="s">
        <v>46</v>
      </c>
      <c r="T58" s="2">
        <v>3000</v>
      </c>
    </row>
    <row r="59" spans="2:26" x14ac:dyDescent="0.2">
      <c r="B59" t="s">
        <v>40</v>
      </c>
      <c r="T59" s="18">
        <f>SUM(T54:T58)</f>
        <v>44282.78254</v>
      </c>
    </row>
    <row r="60" spans="2:26" s="8" customFormat="1" x14ac:dyDescent="0.2">
      <c r="B60" s="8" t="s">
        <v>44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T60" s="21">
        <f>T59/T53</f>
        <v>7.3804637566666664E-2</v>
      </c>
    </row>
    <row r="61" spans="2:26" x14ac:dyDescent="0.2">
      <c r="T61" s="4"/>
    </row>
    <row r="62" spans="2:26" x14ac:dyDescent="0.2">
      <c r="B62" t="s">
        <v>35</v>
      </c>
      <c r="T62" s="18">
        <f>12000*1.4</f>
        <v>16800</v>
      </c>
    </row>
    <row r="63" spans="2:26" x14ac:dyDescent="0.2">
      <c r="B63" t="s">
        <v>36</v>
      </c>
      <c r="T63" s="2">
        <v>15000</v>
      </c>
    </row>
    <row r="64" spans="2:26" s="11" customFormat="1" x14ac:dyDescent="0.2">
      <c r="B64" s="11" t="s">
        <v>39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T64" s="24">
        <f>T63+T62+T59</f>
        <v>76082.78254</v>
      </c>
    </row>
    <row r="65" spans="2:26" x14ac:dyDescent="0.2">
      <c r="B65" t="s">
        <v>45</v>
      </c>
      <c r="T65" s="23">
        <f>T64/T53</f>
        <v>0.12680463756666666</v>
      </c>
    </row>
    <row r="66" spans="2:26" x14ac:dyDescent="0.2">
      <c r="T66" s="4"/>
    </row>
    <row r="67" spans="2:26" s="8" customFormat="1" x14ac:dyDescent="0.2">
      <c r="B67" s="8" t="s">
        <v>38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T67" s="21">
        <f>T54/T53</f>
        <v>1.1879708999999999E-3</v>
      </c>
      <c r="U67" s="21">
        <f t="shared" ref="U67:Z67" si="83">U54/U53</f>
        <v>1.3879263980198018E-3</v>
      </c>
      <c r="V67" s="21">
        <f t="shared" si="83"/>
        <v>1.6215377719439269E-3</v>
      </c>
      <c r="W67" s="21">
        <f t="shared" si="83"/>
        <v>1.8944698721721125E-3</v>
      </c>
      <c r="X67" s="21">
        <f t="shared" si="83"/>
        <v>2.213341038775339E-3</v>
      </c>
      <c r="Y67" s="21">
        <f t="shared" si="83"/>
        <v>2.2571695741966328E-3</v>
      </c>
      <c r="Z67" s="21">
        <f t="shared" si="83"/>
        <v>2.3018660014084476E-3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dcterms:created xsi:type="dcterms:W3CDTF">2016-03-10T01:21:02Z</dcterms:created>
  <dcterms:modified xsi:type="dcterms:W3CDTF">2016-06-19T16:13:30Z</dcterms:modified>
</cp:coreProperties>
</file>