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turingpharma.com\Home\martin\Desktop\"/>
    </mc:Choice>
  </mc:AlternateContent>
  <bookViews>
    <workbookView xWindow="0" yWindow="0" windowWidth="19200" windowHeight="6765" activeTab="1"/>
  </bookViews>
  <sheets>
    <sheet name="Main" sheetId="1" r:id="rId1"/>
    <sheet name="Model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8" i="2" l="1"/>
  <c r="Y68" i="2"/>
  <c r="Z68" i="2"/>
  <c r="AA68" i="2"/>
  <c r="AB68" i="2"/>
  <c r="W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Y75" i="2"/>
  <c r="U68" i="2"/>
  <c r="T68" i="2"/>
  <c r="V68" i="2"/>
  <c r="V67" i="2"/>
  <c r="V16" i="2"/>
  <c r="V17" i="2"/>
  <c r="V15" i="2"/>
  <c r="V14" i="2"/>
  <c r="V13" i="2"/>
  <c r="V12" i="2"/>
  <c r="V11" i="2"/>
  <c r="V10" i="2"/>
  <c r="V9" i="2"/>
  <c r="V8" i="2"/>
  <c r="V7" i="2"/>
  <c r="V6" i="2"/>
  <c r="V5" i="2"/>
  <c r="V4" i="2"/>
  <c r="J16" i="2"/>
  <c r="J17" i="2"/>
  <c r="J15" i="2"/>
  <c r="J14" i="2"/>
  <c r="J13" i="2"/>
  <c r="J12" i="2"/>
  <c r="J11" i="2"/>
  <c r="J10" i="2"/>
  <c r="J9" i="2"/>
  <c r="J7" i="2"/>
  <c r="J8" i="2"/>
  <c r="J6" i="2"/>
  <c r="J5" i="2"/>
  <c r="J4" i="2"/>
  <c r="J3" i="2"/>
  <c r="K22" i="2"/>
  <c r="L22" i="2"/>
  <c r="M22" i="2"/>
  <c r="S70" i="2"/>
  <c r="T70" i="2"/>
  <c r="U70" i="2"/>
  <c r="V70" i="2"/>
  <c r="V72" i="2"/>
  <c r="U72" i="2"/>
  <c r="T72" i="2"/>
  <c r="S72" i="2"/>
  <c r="R7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S2" i="2"/>
  <c r="K72" i="2"/>
  <c r="M68" i="2"/>
  <c r="M67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K65" i="2"/>
  <c r="K68" i="2"/>
  <c r="L68" i="2"/>
  <c r="L67" i="2"/>
  <c r="L61" i="2"/>
  <c r="L65" i="2"/>
  <c r="L64" i="2"/>
  <c r="L63" i="2"/>
  <c r="L62" i="2"/>
  <c r="L60" i="2"/>
  <c r="L59" i="2"/>
  <c r="L58" i="2"/>
  <c r="L57" i="2"/>
  <c r="L56" i="2"/>
  <c r="L55" i="2"/>
  <c r="L54" i="2"/>
  <c r="L53" i="2"/>
  <c r="L51" i="2"/>
  <c r="L50" i="2"/>
  <c r="L49" i="2"/>
  <c r="M48" i="2"/>
  <c r="L48" i="2"/>
  <c r="K45" i="2"/>
  <c r="K35" i="2"/>
  <c r="K27" i="2"/>
  <c r="K48" i="2"/>
  <c r="G7" i="2"/>
  <c r="G8" i="2"/>
  <c r="G11" i="2"/>
  <c r="G13" i="2"/>
  <c r="G15" i="2"/>
  <c r="G16" i="2"/>
  <c r="K20" i="2"/>
  <c r="K7" i="2"/>
  <c r="K8" i="2"/>
  <c r="K11" i="2"/>
  <c r="K13" i="2"/>
  <c r="K15" i="2"/>
  <c r="K16" i="2"/>
  <c r="L45" i="2"/>
  <c r="L35" i="2"/>
  <c r="L27" i="2"/>
  <c r="L25" i="2"/>
  <c r="H7" i="2"/>
  <c r="H8" i="2"/>
  <c r="H11" i="2"/>
  <c r="H13" i="2"/>
  <c r="H15" i="2"/>
  <c r="H16" i="2"/>
  <c r="L20" i="2"/>
  <c r="L7" i="2"/>
  <c r="L8" i="2"/>
  <c r="L11" i="2"/>
  <c r="L13" i="2"/>
  <c r="L15" i="2"/>
  <c r="L16" i="2"/>
  <c r="M45" i="2"/>
  <c r="M35" i="2"/>
  <c r="M27" i="2"/>
  <c r="I16" i="2"/>
  <c r="M16" i="2"/>
  <c r="I7" i="2"/>
  <c r="I8" i="2"/>
  <c r="I11" i="2"/>
  <c r="I13" i="2"/>
  <c r="I15" i="2"/>
  <c r="M15" i="2"/>
  <c r="M13" i="2"/>
  <c r="M11" i="2"/>
  <c r="M8" i="2"/>
  <c r="M7" i="2"/>
  <c r="M20" i="2"/>
  <c r="K7" i="1"/>
  <c r="K5" i="1"/>
  <c r="K4" i="1"/>
</calcChain>
</file>

<file path=xl/sharedStrings.xml><?xml version="1.0" encoding="utf-8"?>
<sst xmlns="http://schemas.openxmlformats.org/spreadsheetml/2006/main" count="85" uniqueCount="72">
  <si>
    <t>Price</t>
  </si>
  <si>
    <t>Shares</t>
  </si>
  <si>
    <t>MC</t>
  </si>
  <si>
    <t>Cash</t>
  </si>
  <si>
    <t>Debt</t>
  </si>
  <si>
    <t>EV</t>
  </si>
  <si>
    <t>Q315</t>
  </si>
  <si>
    <t>PP&amp;E</t>
  </si>
  <si>
    <t>Main</t>
  </si>
  <si>
    <t>Revenue</t>
  </si>
  <si>
    <t>Q115</t>
  </si>
  <si>
    <t>Q215</t>
  </si>
  <si>
    <t>Q415</t>
  </si>
  <si>
    <t>Q114</t>
  </si>
  <si>
    <t>Q214</t>
  </si>
  <si>
    <t>Q314</t>
  </si>
  <si>
    <t>Q414</t>
  </si>
  <si>
    <t>Restaurant Margin</t>
  </si>
  <si>
    <t>Cost of Restaurant</t>
  </si>
  <si>
    <t>Cost of Food</t>
  </si>
  <si>
    <t>Labor</t>
  </si>
  <si>
    <t>Other Operating Costs</t>
  </si>
  <si>
    <t>G&amp;A</t>
  </si>
  <si>
    <t>Operating Income</t>
  </si>
  <si>
    <t>Preopening Costs</t>
  </si>
  <si>
    <t>Interest Income</t>
  </si>
  <si>
    <t>Net Income</t>
  </si>
  <si>
    <t>Taxes</t>
  </si>
  <si>
    <t>Pretax Income</t>
  </si>
  <si>
    <t>Revenue Y/Y</t>
  </si>
  <si>
    <t>EPS</t>
  </si>
  <si>
    <t>Net Cash</t>
  </si>
  <si>
    <t>A/R</t>
  </si>
  <si>
    <t>O/R</t>
  </si>
  <si>
    <t>Inventories</t>
  </si>
  <si>
    <t>Prepaid Expenses</t>
  </si>
  <si>
    <t>D/T</t>
  </si>
  <si>
    <t>Intangibles</t>
  </si>
  <si>
    <t>Prepaid Rent</t>
  </si>
  <si>
    <t>OLTL</t>
  </si>
  <si>
    <t>Assets</t>
  </si>
  <si>
    <t>A/P</t>
  </si>
  <si>
    <t>A/E</t>
  </si>
  <si>
    <t>Rent</t>
  </si>
  <si>
    <t>Landlord</t>
  </si>
  <si>
    <t>OLTA</t>
  </si>
  <si>
    <t>S/E</t>
  </si>
  <si>
    <t>L+S/E</t>
  </si>
  <si>
    <t>Model NI</t>
  </si>
  <si>
    <t>Reported NI</t>
  </si>
  <si>
    <t>D&amp;A</t>
  </si>
  <si>
    <t>SBC</t>
  </si>
  <si>
    <t>SBC Tax</t>
  </si>
  <si>
    <t>SBC Tax Benefit</t>
  </si>
  <si>
    <t>Other</t>
  </si>
  <si>
    <t>CFFO</t>
  </si>
  <si>
    <t>Other A/E</t>
  </si>
  <si>
    <t>O/A</t>
  </si>
  <si>
    <t>Prepaids</t>
  </si>
  <si>
    <t>CapEx</t>
  </si>
  <si>
    <t>FCF</t>
  </si>
  <si>
    <t>Impairment</t>
  </si>
  <si>
    <t>Restaurants</t>
  </si>
  <si>
    <t>Revenue/Restaurant</t>
  </si>
  <si>
    <t>SSS</t>
  </si>
  <si>
    <t>ETBIDA Y/Y</t>
  </si>
  <si>
    <t>Q113</t>
  </si>
  <si>
    <t>Q213</t>
  </si>
  <si>
    <t>Q313</t>
  </si>
  <si>
    <t>Q413</t>
  </si>
  <si>
    <t>Discount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</si>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</sst>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#,##0.0"/>
    <numFmt numFmtId="168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9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9" fontId="0" fillId="0" borderId="0" xfId="0" applyNumberFormat="1"/>
    <xf numFmtId="168" fontId="0" fillId="0" borderId="0" xfId="0" applyNumberFormat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0</xdr:row>
      <xdr:rowOff>85725</xdr:rowOff>
    </xdr:from>
    <xdr:to>
      <xdr:col>13</xdr:col>
      <xdr:colOff>19050</xdr:colOff>
      <xdr:row>71</xdr:row>
      <xdr:rowOff>85725</xdr:rowOff>
    </xdr:to>
    <xdr:cxnSp macro="">
      <xdr:nvCxnSpPr>
        <xdr:cNvPr id="3" name="Straight Connector 2"/>
        <xdr:cNvCxnSpPr/>
      </xdr:nvCxnSpPr>
      <xdr:spPr>
        <a:xfrm>
          <a:off x="6286500" y="85725"/>
          <a:ext cx="0" cy="11172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0</xdr:row>
      <xdr:rowOff>76200</xdr:rowOff>
    </xdr:from>
    <xdr:to>
      <xdr:col>22</xdr:col>
      <xdr:colOff>38100</xdr:colOff>
      <xdr:row>74</xdr:row>
      <xdr:rowOff>57150</xdr:rowOff>
    </xdr:to>
    <xdr:cxnSp macro="">
      <xdr:nvCxnSpPr>
        <xdr:cNvPr id="7" name="Straight Connector 6"/>
        <xdr:cNvCxnSpPr/>
      </xdr:nvCxnSpPr>
      <xdr:spPr>
        <a:xfrm>
          <a:off x="14725650" y="76200"/>
          <a:ext cx="0" cy="119681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L7"/>
  <sheetViews>
    <sheetView workbookViewId="0">
      <selection activeCell="J1" sqref="J1"/>
    </sheetView>
  </sheetViews>
  <sheetFormatPr defaultRowHeight="12.75" x14ac:dyDescent="0.35"/>
  <cols>
    <col min="12" max="12" width="7.6640625" customWidth="1"/>
  </cols>
  <sheetData>
    <row r="2" spans="10:12" x14ac:dyDescent="0.35">
      <c r="J2" t="s">
        <v>0</v>
      </c>
      <c r="K2" s="1">
        <v>45.93</v>
      </c>
    </row>
    <row r="3" spans="10:12" x14ac:dyDescent="0.35">
      <c r="J3" t="s">
        <v>1</v>
      </c>
      <c r="K3">
        <v>49</v>
      </c>
      <c r="L3" s="2" t="s">
        <v>6</v>
      </c>
    </row>
    <row r="4" spans="10:12" x14ac:dyDescent="0.35">
      <c r="J4" t="s">
        <v>2</v>
      </c>
      <c r="K4" s="3">
        <f>K3*K2</f>
        <v>2250.5700000000002</v>
      </c>
    </row>
    <row r="5" spans="10:12" x14ac:dyDescent="0.35">
      <c r="J5" t="s">
        <v>3</v>
      </c>
      <c r="K5" s="3">
        <f>29.607</f>
        <v>29.606999999999999</v>
      </c>
      <c r="L5" s="2" t="s">
        <v>6</v>
      </c>
    </row>
    <row r="6" spans="10:12" x14ac:dyDescent="0.35">
      <c r="J6" t="s">
        <v>4</v>
      </c>
      <c r="K6">
        <v>0</v>
      </c>
      <c r="L6" s="2" t="s">
        <v>6</v>
      </c>
    </row>
    <row r="7" spans="10:12" x14ac:dyDescent="0.35">
      <c r="J7" t="s">
        <v>5</v>
      </c>
      <c r="K7" s="3">
        <f>K4-K5+K6</f>
        <v>2220.9630000000002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75"/>
  <sheetViews>
    <sheetView tabSelected="1" workbookViewId="0">
      <pane xSplit="2" ySplit="2" topLeftCell="U57" activePane="bottomRight" state="frozen"/>
      <selection pane="topRight" activeCell="C1" sqref="C1"/>
      <selection pane="bottomLeft" activeCell="A3" sqref="A3"/>
      <selection pane="bottomRight" activeCell="Y74" sqref="Y74"/>
    </sheetView>
  </sheetViews>
  <sheetFormatPr defaultRowHeight="12.75" x14ac:dyDescent="0.35"/>
  <cols>
    <col min="1" max="1" width="4.6640625" bestFit="1" customWidth="1"/>
    <col min="2" max="2" width="19.59765625" customWidth="1"/>
    <col min="3" max="14" width="9.06640625" style="2"/>
    <col min="25" max="25" width="9.3984375" bestFit="1" customWidth="1"/>
  </cols>
  <sheetData>
    <row r="1" spans="1:40" x14ac:dyDescent="0.35">
      <c r="A1" s="6" t="s">
        <v>8</v>
      </c>
    </row>
    <row r="2" spans="1:40" x14ac:dyDescent="0.35">
      <c r="C2" s="2" t="s">
        <v>66</v>
      </c>
      <c r="D2" s="2" t="s">
        <v>67</v>
      </c>
      <c r="E2" s="2" t="s">
        <v>68</v>
      </c>
      <c r="F2" s="2" t="s">
        <v>69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10</v>
      </c>
      <c r="L2" s="2" t="s">
        <v>11</v>
      </c>
      <c r="M2" s="2" t="s">
        <v>6</v>
      </c>
      <c r="N2" s="2" t="s">
        <v>12</v>
      </c>
      <c r="R2">
        <v>2010</v>
      </c>
      <c r="S2">
        <f>R2+1</f>
        <v>2011</v>
      </c>
      <c r="T2">
        <f t="shared" ref="T2:AN2" si="0">S2+1</f>
        <v>2012</v>
      </c>
      <c r="U2">
        <f t="shared" si="0"/>
        <v>2013</v>
      </c>
      <c r="V2">
        <f t="shared" si="0"/>
        <v>2014</v>
      </c>
      <c r="W2">
        <f t="shared" si="0"/>
        <v>2015</v>
      </c>
      <c r="X2">
        <f t="shared" si="0"/>
        <v>2016</v>
      </c>
      <c r="Y2">
        <f t="shared" si="0"/>
        <v>2017</v>
      </c>
      <c r="Z2">
        <f t="shared" si="0"/>
        <v>2018</v>
      </c>
      <c r="AA2">
        <f t="shared" si="0"/>
        <v>2019</v>
      </c>
      <c r="AB2">
        <f t="shared" si="0"/>
        <v>2020</v>
      </c>
      <c r="AC2">
        <f t="shared" si="0"/>
        <v>2021</v>
      </c>
      <c r="AD2">
        <f t="shared" si="0"/>
        <v>2022</v>
      </c>
      <c r="AE2">
        <f t="shared" si="0"/>
        <v>2023</v>
      </c>
      <c r="AF2">
        <f t="shared" si="0"/>
        <v>2024</v>
      </c>
      <c r="AG2">
        <f t="shared" si="0"/>
        <v>2025</v>
      </c>
      <c r="AH2">
        <f t="shared" si="0"/>
        <v>2026</v>
      </c>
      <c r="AI2">
        <f t="shared" si="0"/>
        <v>2027</v>
      </c>
      <c r="AJ2">
        <f t="shared" si="0"/>
        <v>2028</v>
      </c>
      <c r="AK2">
        <f t="shared" si="0"/>
        <v>2029</v>
      </c>
      <c r="AL2">
        <f t="shared" si="0"/>
        <v>2030</v>
      </c>
      <c r="AM2">
        <f t="shared" si="0"/>
        <v>2031</v>
      </c>
      <c r="AN2">
        <f t="shared" si="0"/>
        <v>2032</v>
      </c>
    </row>
    <row r="3" spans="1:40" s="12" customFormat="1" ht="13.15" x14ac:dyDescent="0.4">
      <c r="B3" s="12" t="s">
        <v>9</v>
      </c>
      <c r="C3" s="13"/>
      <c r="D3" s="13"/>
      <c r="E3" s="13"/>
      <c r="F3" s="13"/>
      <c r="G3" s="13">
        <v>481.43099999999998</v>
      </c>
      <c r="H3" s="13">
        <v>496.40600000000001</v>
      </c>
      <c r="I3" s="13">
        <v>499.11399999999998</v>
      </c>
      <c r="J3" s="13">
        <f>V3-SUM(G3:I3)</f>
        <v>499.673</v>
      </c>
      <c r="K3" s="13">
        <v>517.97299999999996</v>
      </c>
      <c r="L3" s="13">
        <v>529.10699999999997</v>
      </c>
      <c r="M3" s="13">
        <v>526.68799999999999</v>
      </c>
      <c r="N3" s="13"/>
      <c r="R3" s="12">
        <v>1659.404</v>
      </c>
      <c r="S3" s="12">
        <v>1757.624</v>
      </c>
      <c r="T3" s="12">
        <v>1809.0170000000001</v>
      </c>
      <c r="U3" s="12">
        <v>1877.91</v>
      </c>
      <c r="V3" s="12">
        <v>1976.624</v>
      </c>
    </row>
    <row r="4" spans="1:40" s="3" customFormat="1" x14ac:dyDescent="0.35">
      <c r="B4" s="3" t="s">
        <v>19</v>
      </c>
      <c r="C4" s="5"/>
      <c r="D4" s="5"/>
      <c r="E4" s="5"/>
      <c r="F4" s="5"/>
      <c r="G4" s="5">
        <v>119.36199999999999</v>
      </c>
      <c r="H4" s="5">
        <v>120.667</v>
      </c>
      <c r="I4" s="5">
        <v>124.02800000000001</v>
      </c>
      <c r="J4" s="5">
        <f>490.306-I4-H4-G4</f>
        <v>126.24899999999997</v>
      </c>
      <c r="K4" s="5">
        <v>126.61199999999999</v>
      </c>
      <c r="L4" s="5">
        <v>126.623</v>
      </c>
      <c r="M4" s="5">
        <v>125.605</v>
      </c>
      <c r="N4" s="5"/>
      <c r="V4" s="3">
        <f>SUM(G4:J4)</f>
        <v>490.30599999999998</v>
      </c>
    </row>
    <row r="5" spans="1:40" s="3" customFormat="1" x14ac:dyDescent="0.35">
      <c r="B5" s="3" t="s">
        <v>20</v>
      </c>
      <c r="C5" s="5"/>
      <c r="D5" s="5"/>
      <c r="E5" s="5"/>
      <c r="F5" s="5"/>
      <c r="G5" s="5">
        <v>159.44999999999999</v>
      </c>
      <c r="H5" s="5">
        <v>160.77699999999999</v>
      </c>
      <c r="I5" s="5">
        <v>163.279</v>
      </c>
      <c r="J5" s="5">
        <f>646.102-I5-H5-G5</f>
        <v>162.596</v>
      </c>
      <c r="K5" s="5">
        <v>171.16900000000001</v>
      </c>
      <c r="L5" s="5">
        <v>168.495</v>
      </c>
      <c r="M5" s="5">
        <v>172.101</v>
      </c>
      <c r="N5" s="5"/>
      <c r="V5" s="3">
        <f>SUM(G5:J5)</f>
        <v>646.10199999999998</v>
      </c>
    </row>
    <row r="6" spans="1:40" s="3" customFormat="1" x14ac:dyDescent="0.35">
      <c r="B6" s="3" t="s">
        <v>21</v>
      </c>
      <c r="C6" s="5"/>
      <c r="D6" s="5"/>
      <c r="E6" s="5"/>
      <c r="F6" s="5"/>
      <c r="G6" s="5">
        <v>115.633</v>
      </c>
      <c r="H6" s="5">
        <v>119.577</v>
      </c>
      <c r="I6" s="5">
        <v>123.095</v>
      </c>
      <c r="J6" s="5">
        <f>478.504-I6-H6-G6</f>
        <v>120.199</v>
      </c>
      <c r="K6" s="5">
        <v>123.435</v>
      </c>
      <c r="L6" s="5">
        <v>123.675</v>
      </c>
      <c r="M6" s="5">
        <v>128.42699999999999</v>
      </c>
      <c r="N6" s="5"/>
      <c r="V6" s="3">
        <f>SUM(G6:J6)</f>
        <v>478.50399999999996</v>
      </c>
    </row>
    <row r="7" spans="1:40" s="3" customFormat="1" x14ac:dyDescent="0.35">
      <c r="B7" s="3" t="s">
        <v>18</v>
      </c>
      <c r="C7" s="5"/>
      <c r="D7" s="5"/>
      <c r="E7" s="5"/>
      <c r="F7" s="5"/>
      <c r="G7" s="5">
        <f>SUM(G4:G6)</f>
        <v>394.44499999999999</v>
      </c>
      <c r="H7" s="5">
        <f>SUM(H4:H6)</f>
        <v>401.02099999999996</v>
      </c>
      <c r="I7" s="5">
        <f>SUM(I4:I6)</f>
        <v>410.40200000000004</v>
      </c>
      <c r="J7" s="5">
        <f>SUM(J4:J6)</f>
        <v>409.04399999999998</v>
      </c>
      <c r="K7" s="5">
        <f>SUM(K4:K6)</f>
        <v>421.21600000000001</v>
      </c>
      <c r="L7" s="5">
        <f>SUM(L4:L6)</f>
        <v>418.79300000000001</v>
      </c>
      <c r="M7" s="5">
        <f>SUM(M4:M6)</f>
        <v>426.13300000000004</v>
      </c>
      <c r="N7" s="5"/>
      <c r="V7" s="3">
        <f>SUM(V4:V6)</f>
        <v>1614.9119999999998</v>
      </c>
    </row>
    <row r="8" spans="1:40" s="3" customFormat="1" x14ac:dyDescent="0.35">
      <c r="B8" s="3" t="s">
        <v>17</v>
      </c>
      <c r="C8" s="5"/>
      <c r="D8" s="5"/>
      <c r="E8" s="5"/>
      <c r="F8" s="5"/>
      <c r="G8" s="5">
        <f>G3-G7</f>
        <v>86.98599999999999</v>
      </c>
      <c r="H8" s="5">
        <f>H3-H7</f>
        <v>95.385000000000048</v>
      </c>
      <c r="I8" s="5">
        <f>I3-I7</f>
        <v>88.711999999999932</v>
      </c>
      <c r="J8" s="5">
        <f>J3-J7</f>
        <v>90.629000000000019</v>
      </c>
      <c r="K8" s="5">
        <f>K3-K7</f>
        <v>96.756999999999948</v>
      </c>
      <c r="L8" s="5">
        <f>L3-L7</f>
        <v>110.31399999999996</v>
      </c>
      <c r="M8" s="5">
        <f>M3-M7</f>
        <v>100.55499999999995</v>
      </c>
      <c r="N8" s="5"/>
      <c r="V8" s="3">
        <f>V3-V7</f>
        <v>361.71200000000022</v>
      </c>
    </row>
    <row r="9" spans="1:40" s="3" customFormat="1" x14ac:dyDescent="0.35">
      <c r="B9" s="3" t="s">
        <v>22</v>
      </c>
      <c r="C9" s="5"/>
      <c r="D9" s="5"/>
      <c r="E9" s="5"/>
      <c r="F9" s="5"/>
      <c r="G9" s="5">
        <v>31.242000000000001</v>
      </c>
      <c r="H9" s="5">
        <v>29.042000000000002</v>
      </c>
      <c r="I9" s="5">
        <v>29.640999999999998</v>
      </c>
      <c r="J9" s="5">
        <f>119.094-I9-H9-G9</f>
        <v>29.169</v>
      </c>
      <c r="K9" s="5">
        <v>33.075000000000003</v>
      </c>
      <c r="L9" s="5">
        <v>35.344999999999999</v>
      </c>
      <c r="M9" s="5">
        <v>33.277000000000001</v>
      </c>
      <c r="N9" s="5"/>
      <c r="V9" s="3">
        <f>SUM(G9:J9)</f>
        <v>119.09400000000001</v>
      </c>
    </row>
    <row r="10" spans="1:40" s="3" customFormat="1" x14ac:dyDescent="0.35">
      <c r="B10" s="3" t="s">
        <v>24</v>
      </c>
      <c r="C10" s="5"/>
      <c r="D10" s="5"/>
      <c r="E10" s="5"/>
      <c r="F10" s="5"/>
      <c r="G10" s="5">
        <v>2.234</v>
      </c>
      <c r="H10" s="5">
        <v>2.6080000000000001</v>
      </c>
      <c r="I10" s="5">
        <v>3.9660000000000002</v>
      </c>
      <c r="J10" s="5">
        <f>14.356-I10-H10-G10</f>
        <v>5.548</v>
      </c>
      <c r="K10" s="5">
        <v>1.4510000000000001</v>
      </c>
      <c r="L10" s="5">
        <v>4.0579999999999998</v>
      </c>
      <c r="M10" s="5">
        <v>4.306</v>
      </c>
      <c r="N10" s="5"/>
      <c r="V10" s="3">
        <f>SUM(G10:J10)</f>
        <v>14.356</v>
      </c>
    </row>
    <row r="11" spans="1:40" s="3" customFormat="1" x14ac:dyDescent="0.35">
      <c r="B11" s="3" t="s">
        <v>23</v>
      </c>
      <c r="C11" s="5"/>
      <c r="D11" s="5"/>
      <c r="E11" s="5"/>
      <c r="F11" s="5"/>
      <c r="G11" s="5">
        <f>G8-G9-G10</f>
        <v>53.509999999999984</v>
      </c>
      <c r="H11" s="5">
        <f>H8-H9-H10</f>
        <v>63.735000000000049</v>
      </c>
      <c r="I11" s="5">
        <f>I8-I9-I10</f>
        <v>55.104999999999933</v>
      </c>
      <c r="J11" s="5">
        <f>J8-J9-J10</f>
        <v>55.91200000000002</v>
      </c>
      <c r="K11" s="5">
        <f>K8-K9-K10</f>
        <v>62.230999999999945</v>
      </c>
      <c r="L11" s="5">
        <f>L8-L9-L10</f>
        <v>70.910999999999973</v>
      </c>
      <c r="M11" s="5">
        <f>M8-M9-M10</f>
        <v>62.971999999999952</v>
      </c>
      <c r="N11" s="5"/>
      <c r="V11" s="3">
        <f>V8-V9-V10</f>
        <v>228.26200000000023</v>
      </c>
    </row>
    <row r="12" spans="1:40" s="3" customFormat="1" x14ac:dyDescent="0.35">
      <c r="B12" s="3" t="s">
        <v>25</v>
      </c>
      <c r="C12" s="5"/>
      <c r="D12" s="5"/>
      <c r="E12" s="5"/>
      <c r="F12" s="5"/>
      <c r="G12" s="5">
        <v>-1.391</v>
      </c>
      <c r="H12" s="5">
        <v>-1.544</v>
      </c>
      <c r="I12" s="5">
        <v>-1.381</v>
      </c>
      <c r="J12" s="5">
        <f>-6.187-I12-H12-G12</f>
        <v>-1.871</v>
      </c>
      <c r="K12" s="5">
        <v>-1.895</v>
      </c>
      <c r="L12" s="5">
        <v>-1.4319999999999999</v>
      </c>
      <c r="M12" s="5">
        <v>-0.72199999999999998</v>
      </c>
      <c r="N12" s="5"/>
      <c r="V12" s="3">
        <f>SUM(G12:J12)</f>
        <v>-6.1869999999999994</v>
      </c>
    </row>
    <row r="13" spans="1:40" s="3" customFormat="1" x14ac:dyDescent="0.35">
      <c r="B13" s="3" t="s">
        <v>28</v>
      </c>
      <c r="C13" s="5"/>
      <c r="D13" s="5"/>
      <c r="E13" s="5"/>
      <c r="F13" s="5"/>
      <c r="G13" s="5">
        <f>G11+G12</f>
        <v>52.118999999999986</v>
      </c>
      <c r="H13" s="5">
        <f>H11+H12</f>
        <v>62.191000000000052</v>
      </c>
      <c r="I13" s="5">
        <f>I11+I12</f>
        <v>53.723999999999933</v>
      </c>
      <c r="J13" s="5">
        <f>J11+J12</f>
        <v>54.041000000000018</v>
      </c>
      <c r="K13" s="5">
        <f>K11+K12</f>
        <v>60.335999999999942</v>
      </c>
      <c r="L13" s="5">
        <f>L11+L12</f>
        <v>69.478999999999971</v>
      </c>
      <c r="M13" s="5">
        <f>M11+M12</f>
        <v>62.24999999999995</v>
      </c>
      <c r="N13" s="5"/>
      <c r="V13" s="3">
        <f>V11+V12</f>
        <v>222.07500000000022</v>
      </c>
    </row>
    <row r="14" spans="1:40" s="3" customFormat="1" x14ac:dyDescent="0.35">
      <c r="B14" s="3" t="s">
        <v>27</v>
      </c>
      <c r="C14" s="5"/>
      <c r="D14" s="5"/>
      <c r="E14" s="5"/>
      <c r="F14" s="5"/>
      <c r="G14" s="5">
        <v>9.1639999999999997</v>
      </c>
      <c r="H14" s="5">
        <v>11.098000000000001</v>
      </c>
      <c r="I14" s="5">
        <v>8.5709999999999997</v>
      </c>
      <c r="J14" s="5">
        <f>37.268-I14-H14-G14</f>
        <v>8.4350000000000041</v>
      </c>
      <c r="K14" s="5">
        <v>10.736000000000001</v>
      </c>
      <c r="L14" s="5">
        <v>13.597</v>
      </c>
      <c r="M14" s="5">
        <v>8.7460000000000004</v>
      </c>
      <c r="N14" s="5"/>
      <c r="V14" s="3">
        <f>SUM(G14:J14)</f>
        <v>37.268000000000001</v>
      </c>
    </row>
    <row r="15" spans="1:40" s="3" customFormat="1" x14ac:dyDescent="0.35">
      <c r="B15" s="3" t="s">
        <v>26</v>
      </c>
      <c r="C15" s="5"/>
      <c r="D15" s="5"/>
      <c r="E15" s="5"/>
      <c r="F15" s="5"/>
      <c r="G15" s="5">
        <f>G13-G14</f>
        <v>42.954999999999984</v>
      </c>
      <c r="H15" s="5">
        <f>H13-H14</f>
        <v>51.093000000000053</v>
      </c>
      <c r="I15" s="5">
        <f>I13-I14</f>
        <v>45.152999999999935</v>
      </c>
      <c r="J15" s="5">
        <f>J13-J14</f>
        <v>45.606000000000016</v>
      </c>
      <c r="K15" s="5">
        <f>K13-K14</f>
        <v>49.599999999999937</v>
      </c>
      <c r="L15" s="5">
        <f>L13-L14</f>
        <v>55.881999999999969</v>
      </c>
      <c r="M15" s="5">
        <f>M13-M14</f>
        <v>53.503999999999948</v>
      </c>
      <c r="N15" s="5"/>
      <c r="V15" s="3">
        <f>V13-V14</f>
        <v>184.80700000000022</v>
      </c>
    </row>
    <row r="16" spans="1:40" x14ac:dyDescent="0.35">
      <c r="B16" s="3" t="s">
        <v>30</v>
      </c>
      <c r="C16" s="7"/>
      <c r="D16" s="7"/>
      <c r="E16" s="7"/>
      <c r="F16" s="7"/>
      <c r="G16" s="7">
        <f>G15/G17</f>
        <v>0.8128642797668606</v>
      </c>
      <c r="H16" s="7">
        <f>H15/H17</f>
        <v>0.9948401417500693</v>
      </c>
      <c r="I16" s="7">
        <f>I15/I17</f>
        <v>0.88599572238682833</v>
      </c>
      <c r="J16" s="7">
        <f>J15/J17</f>
        <v>0.8841113523573203</v>
      </c>
      <c r="K16" s="7">
        <f>K15/K17</f>
        <v>0.97060780399984226</v>
      </c>
      <c r="L16" s="7">
        <f>L15/L17</f>
        <v>1.1118140941466708</v>
      </c>
      <c r="M16" s="7">
        <f>M15/M17</f>
        <v>1.056618678041747</v>
      </c>
      <c r="V16" s="1">
        <f>V15/V17</f>
        <v>3.5754852502309604</v>
      </c>
    </row>
    <row r="17" spans="2:22" s="3" customFormat="1" x14ac:dyDescent="0.35">
      <c r="B17" s="3" t="s">
        <v>1</v>
      </c>
      <c r="C17" s="5"/>
      <c r="D17" s="5"/>
      <c r="E17" s="5"/>
      <c r="F17" s="5"/>
      <c r="G17" s="5">
        <v>52.844000000000001</v>
      </c>
      <c r="H17" s="5">
        <v>51.357999999999997</v>
      </c>
      <c r="I17" s="5">
        <v>50.963000000000001</v>
      </c>
      <c r="J17" s="5">
        <f>51.584</f>
        <v>51.584000000000003</v>
      </c>
      <c r="K17" s="5">
        <v>51.101999999999997</v>
      </c>
      <c r="L17" s="5">
        <v>50.262</v>
      </c>
      <c r="M17" s="5">
        <v>50.637</v>
      </c>
      <c r="N17" s="5"/>
      <c r="V17" s="3">
        <f>AVERAGE(G17:J17)</f>
        <v>51.687249999999999</v>
      </c>
    </row>
    <row r="20" spans="2:22" x14ac:dyDescent="0.35">
      <c r="B20" t="s">
        <v>29</v>
      </c>
      <c r="K20" s="4">
        <f>K3/G3-1</f>
        <v>7.5902881202082995E-2</v>
      </c>
      <c r="L20" s="4">
        <f>L3/H3-1</f>
        <v>6.5875513188801138E-2</v>
      </c>
      <c r="M20" s="4">
        <f>M3/I3-1</f>
        <v>5.52458957272286E-2</v>
      </c>
    </row>
    <row r="21" spans="2:22" x14ac:dyDescent="0.35">
      <c r="B21" t="s">
        <v>64</v>
      </c>
      <c r="K21" s="4"/>
      <c r="L21" s="4"/>
      <c r="M21" s="4">
        <v>2.1999999999999999E-2</v>
      </c>
      <c r="R21" s="11">
        <v>0.02</v>
      </c>
      <c r="S21" s="11">
        <v>0.02</v>
      </c>
      <c r="T21" s="11">
        <v>2.1999999999999999E-2</v>
      </c>
      <c r="U21" s="11">
        <v>1.0999999999999999E-2</v>
      </c>
      <c r="V21" s="11">
        <v>1.4999999999999999E-2</v>
      </c>
    </row>
    <row r="22" spans="2:22" x14ac:dyDescent="0.35">
      <c r="B22" t="s">
        <v>65</v>
      </c>
      <c r="K22" s="4">
        <f>K11/G11-1</f>
        <v>0.16297888245187742</v>
      </c>
      <c r="L22" s="4">
        <f>L11/H11-1</f>
        <v>0.11259119792892314</v>
      </c>
      <c r="M22" s="4">
        <f>M11/I11-1</f>
        <v>0.14276381453588649</v>
      </c>
      <c r="R22" s="11"/>
      <c r="S22" s="11"/>
      <c r="T22" s="11"/>
      <c r="U22" s="11"/>
      <c r="V22" s="11"/>
    </row>
    <row r="24" spans="2:22" x14ac:dyDescent="0.35">
      <c r="B24" t="s">
        <v>31</v>
      </c>
    </row>
    <row r="25" spans="2:22" s="3" customFormat="1" x14ac:dyDescent="0.35">
      <c r="B25" s="3" t="s">
        <v>3</v>
      </c>
      <c r="C25" s="5"/>
      <c r="D25" s="5"/>
      <c r="E25" s="5"/>
      <c r="F25" s="5"/>
      <c r="G25" s="5"/>
      <c r="H25" s="5"/>
      <c r="I25" s="5"/>
      <c r="J25" s="5"/>
      <c r="K25" s="5">
        <v>39.478000000000002</v>
      </c>
      <c r="L25" s="5">
        <f>61.548</f>
        <v>61.548000000000002</v>
      </c>
      <c r="M25" s="5">
        <v>29.606999999999999</v>
      </c>
      <c r="N25" s="5"/>
    </row>
    <row r="26" spans="2:22" s="3" customFormat="1" x14ac:dyDescent="0.35">
      <c r="B26" s="3" t="s">
        <v>32</v>
      </c>
      <c r="C26" s="5"/>
      <c r="D26" s="5"/>
      <c r="E26" s="5"/>
      <c r="F26" s="5"/>
      <c r="G26" s="5"/>
      <c r="H26" s="5"/>
      <c r="I26" s="5"/>
      <c r="J26" s="5"/>
      <c r="K26" s="5">
        <v>12.643000000000001</v>
      </c>
      <c r="L26" s="5">
        <v>8.8109999999999999</v>
      </c>
      <c r="M26" s="5">
        <v>10.866</v>
      </c>
      <c r="N26" s="5"/>
    </row>
    <row r="27" spans="2:22" s="3" customFormat="1" x14ac:dyDescent="0.35">
      <c r="B27" s="3" t="s">
        <v>33</v>
      </c>
      <c r="C27" s="5"/>
      <c r="D27" s="5"/>
      <c r="E27" s="5"/>
      <c r="F27" s="5"/>
      <c r="G27" s="5"/>
      <c r="H27" s="5"/>
      <c r="I27" s="5"/>
      <c r="J27" s="5"/>
      <c r="K27" s="5">
        <f>12.783+29.692</f>
        <v>42.475000000000001</v>
      </c>
      <c r="L27" s="5">
        <f>5.917+33.413</f>
        <v>39.33</v>
      </c>
      <c r="M27" s="5">
        <f>16.031+35.004</f>
        <v>51.034999999999997</v>
      </c>
      <c r="N27" s="5"/>
    </row>
    <row r="28" spans="2:22" s="3" customFormat="1" x14ac:dyDescent="0.35">
      <c r="B28" s="3" t="s">
        <v>34</v>
      </c>
      <c r="C28" s="5"/>
      <c r="D28" s="5"/>
      <c r="E28" s="5"/>
      <c r="F28" s="5"/>
      <c r="G28" s="5"/>
      <c r="H28" s="5"/>
      <c r="I28" s="5"/>
      <c r="J28" s="5"/>
      <c r="K28" s="5">
        <v>32.524999999999999</v>
      </c>
      <c r="L28" s="5">
        <v>36.466000000000001</v>
      </c>
      <c r="M28" s="5">
        <v>36.741999999999997</v>
      </c>
      <c r="N28" s="5"/>
    </row>
    <row r="29" spans="2:22" s="3" customFormat="1" x14ac:dyDescent="0.35">
      <c r="B29" s="3" t="s">
        <v>35</v>
      </c>
      <c r="C29" s="5"/>
      <c r="D29" s="5"/>
      <c r="E29" s="5"/>
      <c r="F29" s="5"/>
      <c r="G29" s="5"/>
      <c r="H29" s="5"/>
      <c r="I29" s="5"/>
      <c r="J29" s="5"/>
      <c r="K29" s="5">
        <v>46.579000000000001</v>
      </c>
      <c r="L29" s="5">
        <v>46.622</v>
      </c>
      <c r="M29" s="5">
        <v>44.08</v>
      </c>
      <c r="N29" s="5"/>
    </row>
    <row r="30" spans="2:22" s="3" customFormat="1" x14ac:dyDescent="0.35">
      <c r="B30" s="3" t="s">
        <v>36</v>
      </c>
      <c r="C30" s="5"/>
      <c r="D30" s="5"/>
      <c r="E30" s="5"/>
      <c r="F30" s="5"/>
      <c r="G30" s="5"/>
      <c r="H30" s="5"/>
      <c r="I30" s="5"/>
      <c r="J30" s="5"/>
      <c r="K30" s="5">
        <v>15.076000000000001</v>
      </c>
      <c r="L30" s="5">
        <v>15.076000000000001</v>
      </c>
      <c r="M30" s="5">
        <v>15.076000000000001</v>
      </c>
      <c r="N30" s="5"/>
    </row>
    <row r="31" spans="2:22" s="3" customFormat="1" x14ac:dyDescent="0.35">
      <c r="B31" s="3" t="s">
        <v>7</v>
      </c>
      <c r="C31" s="5"/>
      <c r="D31" s="5"/>
      <c r="E31" s="5"/>
      <c r="F31" s="5"/>
      <c r="G31" s="5"/>
      <c r="H31" s="5"/>
      <c r="I31" s="5"/>
      <c r="J31" s="5"/>
      <c r="K31" s="5">
        <v>828.96600000000001</v>
      </c>
      <c r="L31" s="5">
        <v>851.47699999999998</v>
      </c>
      <c r="M31" s="5">
        <v>874.34</v>
      </c>
      <c r="N31" s="5"/>
    </row>
    <row r="32" spans="2:22" s="3" customFormat="1" x14ac:dyDescent="0.35">
      <c r="B32" s="3" t="s">
        <v>37</v>
      </c>
      <c r="C32" s="5"/>
      <c r="D32" s="5"/>
      <c r="E32" s="5"/>
      <c r="F32" s="5"/>
      <c r="G32" s="5"/>
      <c r="H32" s="5"/>
      <c r="I32" s="5"/>
      <c r="J32" s="5"/>
      <c r="K32" s="5">
        <v>21.215</v>
      </c>
      <c r="L32" s="5">
        <v>21.504000000000001</v>
      </c>
      <c r="M32" s="5">
        <v>21.606999999999999</v>
      </c>
      <c r="N32" s="5"/>
    </row>
    <row r="33" spans="2:14" s="3" customFormat="1" x14ac:dyDescent="0.35">
      <c r="B33" s="3" t="s">
        <v>38</v>
      </c>
      <c r="C33" s="5"/>
      <c r="D33" s="5"/>
      <c r="E33" s="5"/>
      <c r="F33" s="5"/>
      <c r="G33" s="5"/>
      <c r="H33" s="5"/>
      <c r="I33" s="5"/>
      <c r="J33" s="5"/>
      <c r="K33" s="5">
        <v>47.067</v>
      </c>
      <c r="L33" s="5">
        <v>46.109000000000002</v>
      </c>
      <c r="M33" s="5">
        <v>46.844000000000001</v>
      </c>
      <c r="N33" s="5"/>
    </row>
    <row r="34" spans="2:14" s="3" customFormat="1" x14ac:dyDescent="0.35">
      <c r="B34" s="3" t="s">
        <v>45</v>
      </c>
      <c r="C34" s="5"/>
      <c r="D34" s="5"/>
      <c r="E34" s="5"/>
      <c r="F34" s="5"/>
      <c r="G34" s="5"/>
      <c r="H34" s="5"/>
      <c r="I34" s="5"/>
      <c r="J34" s="5"/>
      <c r="K34" s="5">
        <v>42.701999999999998</v>
      </c>
      <c r="L34" s="5">
        <v>47.847000000000001</v>
      </c>
      <c r="M34" s="5">
        <v>45.658999999999999</v>
      </c>
      <c r="N34" s="5"/>
    </row>
    <row r="35" spans="2:14" s="3" customFormat="1" x14ac:dyDescent="0.35">
      <c r="B35" s="3" t="s">
        <v>40</v>
      </c>
      <c r="C35" s="5"/>
      <c r="D35" s="5"/>
      <c r="E35" s="5"/>
      <c r="F35" s="5"/>
      <c r="G35" s="5"/>
      <c r="H35" s="5"/>
      <c r="I35" s="5"/>
      <c r="J35" s="5"/>
      <c r="K35" s="5">
        <f>SUM(K25:K34)</f>
        <v>1128.7259999999999</v>
      </c>
      <c r="L35" s="5">
        <f>SUM(L25:L34)</f>
        <v>1174.7899999999997</v>
      </c>
      <c r="M35" s="5">
        <f>SUM(M25:M34)</f>
        <v>1175.8560000000002</v>
      </c>
      <c r="N35" s="5"/>
    </row>
    <row r="37" spans="2:14" s="3" customFormat="1" x14ac:dyDescent="0.35">
      <c r="B37" s="3" t="s">
        <v>41</v>
      </c>
      <c r="C37" s="5"/>
      <c r="D37" s="5"/>
      <c r="E37" s="5"/>
      <c r="F37" s="5"/>
      <c r="G37" s="5"/>
      <c r="H37" s="5"/>
      <c r="I37" s="5"/>
      <c r="J37" s="5"/>
      <c r="K37" s="5">
        <v>54.152000000000001</v>
      </c>
      <c r="L37" s="5">
        <v>52.170999999999999</v>
      </c>
      <c r="M37" s="5">
        <v>44.207999999999998</v>
      </c>
      <c r="N37" s="5"/>
    </row>
    <row r="38" spans="2:14" s="3" customFormat="1" x14ac:dyDescent="0.35">
      <c r="B38" s="3" t="s">
        <v>42</v>
      </c>
      <c r="C38" s="5"/>
      <c r="D38" s="5"/>
      <c r="E38" s="5"/>
      <c r="F38" s="5"/>
      <c r="G38" s="5"/>
      <c r="H38" s="5"/>
      <c r="I38" s="5"/>
      <c r="J38" s="5"/>
      <c r="K38" s="5">
        <v>243.62299999999999</v>
      </c>
      <c r="L38" s="5">
        <v>246.07</v>
      </c>
      <c r="M38" s="5">
        <v>246.428</v>
      </c>
      <c r="N38" s="5"/>
    </row>
    <row r="39" spans="2:14" s="3" customFormat="1" x14ac:dyDescent="0.35">
      <c r="B39" s="3" t="s">
        <v>36</v>
      </c>
      <c r="C39" s="5"/>
      <c r="D39" s="5"/>
      <c r="E39" s="5"/>
      <c r="F39" s="5"/>
      <c r="G39" s="5"/>
      <c r="H39" s="5"/>
      <c r="I39" s="5"/>
      <c r="J39" s="5"/>
      <c r="K39" s="5">
        <v>97.724000000000004</v>
      </c>
      <c r="L39" s="5">
        <v>97.655000000000001</v>
      </c>
      <c r="M39" s="5">
        <v>97.183999999999997</v>
      </c>
      <c r="N39" s="5"/>
    </row>
    <row r="40" spans="2:14" s="3" customFormat="1" x14ac:dyDescent="0.35">
      <c r="B40" s="3" t="s">
        <v>43</v>
      </c>
      <c r="C40" s="5"/>
      <c r="D40" s="5"/>
      <c r="E40" s="5"/>
      <c r="F40" s="5"/>
      <c r="G40" s="5"/>
      <c r="H40" s="5"/>
      <c r="I40" s="5"/>
      <c r="J40" s="5"/>
      <c r="K40" s="5">
        <v>73.450999999999993</v>
      </c>
      <c r="L40" s="5">
        <v>73.100999999999999</v>
      </c>
      <c r="M40" s="5">
        <v>72.858000000000004</v>
      </c>
      <c r="N40" s="5"/>
    </row>
    <row r="41" spans="2:14" s="3" customFormat="1" x14ac:dyDescent="0.35">
      <c r="B41" s="3" t="s">
        <v>44</v>
      </c>
      <c r="C41" s="5"/>
      <c r="D41" s="5"/>
      <c r="E41" s="5"/>
      <c r="F41" s="5"/>
      <c r="G41" s="5"/>
      <c r="H41" s="5"/>
      <c r="I41" s="5"/>
      <c r="J41" s="5"/>
      <c r="K41" s="5">
        <v>76.552000000000007</v>
      </c>
      <c r="L41" s="5">
        <v>79.221000000000004</v>
      </c>
      <c r="M41" s="5">
        <v>85.259</v>
      </c>
      <c r="N41" s="5"/>
    </row>
    <row r="42" spans="2:14" s="3" customFormat="1" x14ac:dyDescent="0.35">
      <c r="B42" s="3" t="s">
        <v>4</v>
      </c>
      <c r="C42" s="5"/>
      <c r="D42" s="5"/>
      <c r="E42" s="5"/>
      <c r="F42" s="5"/>
      <c r="G42" s="5"/>
      <c r="H42" s="5"/>
      <c r="I42" s="5"/>
      <c r="J42" s="5"/>
      <c r="K42" s="5">
        <v>25</v>
      </c>
      <c r="L42" s="5">
        <v>25</v>
      </c>
      <c r="M42" s="5">
        <v>0</v>
      </c>
      <c r="N42" s="5"/>
    </row>
    <row r="43" spans="2:14" s="3" customFormat="1" x14ac:dyDescent="0.35">
      <c r="B43" s="3" t="s">
        <v>39</v>
      </c>
      <c r="C43" s="5"/>
      <c r="D43" s="5"/>
      <c r="E43" s="5"/>
      <c r="F43" s="5"/>
      <c r="G43" s="5"/>
      <c r="H43" s="5"/>
      <c r="I43" s="5"/>
      <c r="J43" s="5"/>
      <c r="K43" s="5">
        <v>51.72</v>
      </c>
      <c r="L43" s="5">
        <v>52.453000000000003</v>
      </c>
      <c r="M43" s="5">
        <v>50.38</v>
      </c>
      <c r="N43" s="5"/>
    </row>
    <row r="44" spans="2:14" s="3" customFormat="1" x14ac:dyDescent="0.35">
      <c r="B44" s="3" t="s">
        <v>46</v>
      </c>
      <c r="C44" s="5"/>
      <c r="D44" s="5"/>
      <c r="E44" s="5"/>
      <c r="F44" s="5"/>
      <c r="G44" s="5"/>
      <c r="H44" s="5"/>
      <c r="I44" s="5"/>
      <c r="J44" s="5"/>
      <c r="K44" s="5">
        <v>506.50400000000002</v>
      </c>
      <c r="L44" s="5">
        <v>549.11900000000003</v>
      </c>
      <c r="M44" s="5">
        <v>579.53899999999999</v>
      </c>
      <c r="N44" s="5"/>
    </row>
    <row r="45" spans="2:14" s="3" customFormat="1" x14ac:dyDescent="0.35">
      <c r="B45" s="3" t="s">
        <v>47</v>
      </c>
      <c r="C45" s="5"/>
      <c r="D45" s="5"/>
      <c r="E45" s="5"/>
      <c r="F45" s="5"/>
      <c r="G45" s="5"/>
      <c r="H45" s="5"/>
      <c r="I45" s="5"/>
      <c r="J45" s="5"/>
      <c r="K45" s="5">
        <f>SUM(K37:K44)</f>
        <v>1128.7260000000001</v>
      </c>
      <c r="L45" s="5">
        <f>SUM(L37:L44)</f>
        <v>1174.79</v>
      </c>
      <c r="M45" s="5">
        <f>SUM(M37:M44)</f>
        <v>1175.8559999999998</v>
      </c>
      <c r="N45" s="5"/>
    </row>
    <row r="48" spans="2:14" s="3" customFormat="1" x14ac:dyDescent="0.35">
      <c r="B48" s="3" t="s">
        <v>48</v>
      </c>
      <c r="C48" s="5"/>
      <c r="D48" s="5"/>
      <c r="E48" s="5"/>
      <c r="F48" s="5"/>
      <c r="G48" s="5"/>
      <c r="H48" s="5"/>
      <c r="I48" s="5"/>
      <c r="J48" s="5"/>
      <c r="K48" s="5">
        <f>K15</f>
        <v>49.599999999999937</v>
      </c>
      <c r="L48" s="5">
        <f t="shared" ref="L48:M48" si="1">L15</f>
        <v>55.881999999999969</v>
      </c>
      <c r="M48" s="5">
        <f t="shared" si="1"/>
        <v>53.503999999999948</v>
      </c>
      <c r="N48" s="5"/>
    </row>
    <row r="49" spans="2:14" s="3" customFormat="1" x14ac:dyDescent="0.35">
      <c r="B49" s="3" t="s">
        <v>49</v>
      </c>
      <c r="C49" s="5"/>
      <c r="D49" s="5"/>
      <c r="E49" s="5"/>
      <c r="F49" s="5"/>
      <c r="G49" s="5"/>
      <c r="H49" s="5"/>
      <c r="I49" s="5"/>
      <c r="J49" s="5"/>
      <c r="K49" s="5">
        <v>28.422999999999998</v>
      </c>
      <c r="L49" s="5">
        <f>63.147-K49</f>
        <v>34.724000000000004</v>
      </c>
      <c r="M49" s="5">
        <f>89.323-L49-K49</f>
        <v>26.175999999999991</v>
      </c>
      <c r="N49" s="5"/>
    </row>
    <row r="50" spans="2:14" s="3" customFormat="1" x14ac:dyDescent="0.35">
      <c r="B50" s="3" t="s">
        <v>50</v>
      </c>
      <c r="C50" s="5"/>
      <c r="D50" s="5"/>
      <c r="E50" s="5"/>
      <c r="F50" s="5"/>
      <c r="G50" s="5"/>
      <c r="H50" s="5"/>
      <c r="I50" s="5"/>
      <c r="J50" s="5"/>
      <c r="K50" s="5">
        <v>21.177</v>
      </c>
      <c r="L50" s="5">
        <f>42.335-K50</f>
        <v>21.158000000000001</v>
      </c>
      <c r="M50" s="5">
        <f>63.652-L50-K50</f>
        <v>21.317</v>
      </c>
      <c r="N50" s="5"/>
    </row>
    <row r="51" spans="2:14" s="3" customFormat="1" x14ac:dyDescent="0.35">
      <c r="B51" s="3" t="s">
        <v>36</v>
      </c>
      <c r="C51" s="5"/>
      <c r="D51" s="5"/>
      <c r="E51" s="5"/>
      <c r="F51" s="5"/>
      <c r="G51" s="5"/>
      <c r="H51" s="5"/>
      <c r="I51" s="5"/>
      <c r="J51" s="5"/>
      <c r="K51" s="5">
        <v>1.2150000000000001</v>
      </c>
      <c r="L51" s="5">
        <f>1.146-K51</f>
        <v>-6.9000000000000172E-2</v>
      </c>
      <c r="M51" s="5">
        <f>0.675-L51-K51</f>
        <v>-0.47099999999999986</v>
      </c>
      <c r="N51" s="5"/>
    </row>
    <row r="52" spans="2:14" s="3" customFormat="1" x14ac:dyDescent="0.35">
      <c r="B52" s="3" t="s">
        <v>61</v>
      </c>
      <c r="C52" s="5"/>
      <c r="D52" s="5"/>
      <c r="E52" s="5"/>
      <c r="F52" s="5"/>
      <c r="G52" s="5"/>
      <c r="H52" s="5"/>
      <c r="I52" s="5"/>
      <c r="J52" s="5"/>
      <c r="K52" s="5">
        <v>0</v>
      </c>
      <c r="L52" s="5">
        <v>0</v>
      </c>
      <c r="M52" s="5">
        <f>6.011-L52-K52</f>
        <v>6.0110000000000001</v>
      </c>
      <c r="N52" s="5"/>
    </row>
    <row r="53" spans="2:14" s="3" customFormat="1" x14ac:dyDescent="0.35">
      <c r="B53" s="3" t="s">
        <v>51</v>
      </c>
      <c r="C53" s="5"/>
      <c r="D53" s="5"/>
      <c r="E53" s="5"/>
      <c r="F53" s="5"/>
      <c r="G53" s="5"/>
      <c r="H53" s="5"/>
      <c r="I53" s="5"/>
      <c r="J53" s="5"/>
      <c r="K53" s="5">
        <v>4.7309999999999999</v>
      </c>
      <c r="L53" s="5">
        <f>9.677-K53</f>
        <v>4.9459999999999997</v>
      </c>
      <c r="M53" s="5">
        <f>14.549-L53-K53</f>
        <v>4.8719999999999999</v>
      </c>
      <c r="N53" s="5"/>
    </row>
    <row r="54" spans="2:14" s="3" customFormat="1" x14ac:dyDescent="0.35">
      <c r="B54" s="3" t="s">
        <v>52</v>
      </c>
      <c r="C54" s="5"/>
      <c r="D54" s="5"/>
      <c r="E54" s="5"/>
      <c r="F54" s="5"/>
      <c r="G54" s="5"/>
      <c r="H54" s="5"/>
      <c r="I54" s="5"/>
      <c r="J54" s="5"/>
      <c r="K54" s="5">
        <v>4.34</v>
      </c>
      <c r="L54" s="5">
        <f>7.838-K54</f>
        <v>3.4980000000000002</v>
      </c>
      <c r="M54" s="5">
        <f>11.647-L54-K54</f>
        <v>3.8090000000000011</v>
      </c>
      <c r="N54" s="5"/>
    </row>
    <row r="55" spans="2:14" s="3" customFormat="1" x14ac:dyDescent="0.35">
      <c r="B55" s="3" t="s">
        <v>53</v>
      </c>
      <c r="C55" s="5"/>
      <c r="D55" s="5"/>
      <c r="E55" s="5"/>
      <c r="F55" s="5"/>
      <c r="G55" s="5"/>
      <c r="H55" s="5"/>
      <c r="I55" s="5"/>
      <c r="J55" s="5"/>
      <c r="K55" s="5">
        <v>-4.3170000000000002</v>
      </c>
      <c r="L55" s="5">
        <f>-7.826-K55</f>
        <v>-3.5089999999999995</v>
      </c>
      <c r="M55" s="5">
        <f>-11.66-L55-K55</f>
        <v>-3.8339999999999996</v>
      </c>
      <c r="N55" s="5"/>
    </row>
    <row r="56" spans="2:14" s="3" customFormat="1" x14ac:dyDescent="0.35">
      <c r="B56" s="3" t="s">
        <v>54</v>
      </c>
      <c r="C56" s="5"/>
      <c r="D56" s="5"/>
      <c r="E56" s="5"/>
      <c r="F56" s="5"/>
      <c r="G56" s="5"/>
      <c r="H56" s="5"/>
      <c r="I56" s="5"/>
      <c r="J56" s="5"/>
      <c r="K56" s="5">
        <v>0.81399999999999995</v>
      </c>
      <c r="L56" s="5">
        <f>1.346-K56</f>
        <v>0.53200000000000014</v>
      </c>
      <c r="M56" s="5">
        <f>2.072-L56-K56</f>
        <v>0.72600000000000009</v>
      </c>
      <c r="N56" s="5"/>
    </row>
    <row r="57" spans="2:14" s="3" customFormat="1" x14ac:dyDescent="0.35">
      <c r="B57" s="3" t="s">
        <v>32</v>
      </c>
      <c r="C57" s="5"/>
      <c r="D57" s="5"/>
      <c r="E57" s="5"/>
      <c r="F57" s="5"/>
      <c r="G57" s="5"/>
      <c r="H57" s="5"/>
      <c r="I57" s="5"/>
      <c r="J57" s="5"/>
      <c r="K57" s="5">
        <v>2.5270000000000001</v>
      </c>
      <c r="L57" s="5">
        <f>6.359-K57</f>
        <v>3.8319999999999999</v>
      </c>
      <c r="M57" s="5">
        <f>4.304-L57-K57</f>
        <v>-2.0549999999999997</v>
      </c>
      <c r="N57" s="5"/>
    </row>
    <row r="58" spans="2:14" s="3" customFormat="1" x14ac:dyDescent="0.35">
      <c r="B58" s="3" t="s">
        <v>33</v>
      </c>
      <c r="C58" s="5"/>
      <c r="D58" s="5"/>
      <c r="E58" s="5"/>
      <c r="F58" s="5"/>
      <c r="G58" s="5"/>
      <c r="H58" s="5"/>
      <c r="I58" s="5"/>
      <c r="J58" s="5"/>
      <c r="K58" s="5">
        <v>32.634999999999998</v>
      </c>
      <c r="L58" s="5">
        <f>28.914-K58</f>
        <v>-3.7209999999999965</v>
      </c>
      <c r="M58" s="5">
        <f>27.323-L58-K58</f>
        <v>-1.5910000000000011</v>
      </c>
      <c r="N58" s="5"/>
    </row>
    <row r="59" spans="2:14" s="3" customFormat="1" x14ac:dyDescent="0.35">
      <c r="B59" s="3" t="s">
        <v>34</v>
      </c>
      <c r="C59" s="5"/>
      <c r="D59" s="5"/>
      <c r="E59" s="5"/>
      <c r="F59" s="5"/>
      <c r="G59" s="5"/>
      <c r="H59" s="5"/>
      <c r="I59" s="5"/>
      <c r="J59" s="5"/>
      <c r="K59" s="5">
        <v>0.73</v>
      </c>
      <c r="L59" s="5">
        <f>-3.211-K59</f>
        <v>-3.9409999999999998</v>
      </c>
      <c r="M59" s="5">
        <f>-3.487-L59-K59</f>
        <v>-0.27600000000000025</v>
      </c>
      <c r="N59" s="5"/>
    </row>
    <row r="60" spans="2:14" s="3" customFormat="1" x14ac:dyDescent="0.35">
      <c r="B60" s="3" t="s">
        <v>58</v>
      </c>
      <c r="C60" s="5"/>
      <c r="D60" s="5"/>
      <c r="E60" s="5"/>
      <c r="F60" s="5"/>
      <c r="G60" s="5"/>
      <c r="H60" s="5"/>
      <c r="I60" s="5"/>
      <c r="J60" s="5"/>
      <c r="K60" s="5">
        <v>-8.3460000000000001</v>
      </c>
      <c r="L60" s="5">
        <f>-8.389-K60</f>
        <v>-4.2999999999999261E-2</v>
      </c>
      <c r="M60" s="5">
        <f>-5.847-L60-K60</f>
        <v>2.5419999999999989</v>
      </c>
      <c r="N60" s="5"/>
    </row>
    <row r="61" spans="2:14" s="3" customFormat="1" x14ac:dyDescent="0.35">
      <c r="B61" s="3" t="s">
        <v>57</v>
      </c>
      <c r="C61" s="5"/>
      <c r="D61" s="5"/>
      <c r="E61" s="5"/>
      <c r="F61" s="5"/>
      <c r="G61" s="5"/>
      <c r="H61" s="5"/>
      <c r="I61" s="5"/>
      <c r="J61" s="5"/>
      <c r="K61" s="5">
        <v>-1.847</v>
      </c>
      <c r="L61" s="5">
        <f>-6.01-K61</f>
        <v>-4.1630000000000003</v>
      </c>
      <c r="M61" s="5">
        <f>-4.537-L61-K61</f>
        <v>1.4730000000000003</v>
      </c>
      <c r="N61" s="5"/>
    </row>
    <row r="62" spans="2:14" s="3" customFormat="1" x14ac:dyDescent="0.35">
      <c r="B62" s="3" t="s">
        <v>41</v>
      </c>
      <c r="C62" s="5"/>
      <c r="D62" s="5"/>
      <c r="E62" s="5"/>
      <c r="F62" s="5"/>
      <c r="G62" s="5"/>
      <c r="H62" s="5"/>
      <c r="I62" s="5"/>
      <c r="J62" s="5"/>
      <c r="K62" s="5">
        <v>-1.3340000000000001</v>
      </c>
      <c r="L62" s="5">
        <f>-8.562-K62</f>
        <v>-7.2279999999999998</v>
      </c>
      <c r="M62" s="5">
        <f>-14.858-L62-K62</f>
        <v>-6.2960000000000012</v>
      </c>
      <c r="N62" s="5"/>
    </row>
    <row r="63" spans="2:14" s="3" customFormat="1" x14ac:dyDescent="0.35">
      <c r="B63" s="3" t="s">
        <v>27</v>
      </c>
      <c r="C63" s="5"/>
      <c r="D63" s="5"/>
      <c r="E63" s="5"/>
      <c r="F63" s="5"/>
      <c r="G63" s="5"/>
      <c r="H63" s="5"/>
      <c r="I63" s="5"/>
      <c r="J63" s="5"/>
      <c r="K63" s="5">
        <v>4.5999999999999996</v>
      </c>
      <c r="L63" s="5">
        <f>11.466-K63</f>
        <v>6.8659999999999997</v>
      </c>
      <c r="M63" s="5">
        <f>1.352-L63-K63</f>
        <v>-10.113999999999999</v>
      </c>
      <c r="N63" s="5"/>
    </row>
    <row r="64" spans="2:14" s="3" customFormat="1" x14ac:dyDescent="0.35">
      <c r="B64" s="3" t="s">
        <v>56</v>
      </c>
      <c r="C64" s="5"/>
      <c r="D64" s="5"/>
      <c r="E64" s="5"/>
      <c r="F64" s="5"/>
      <c r="G64" s="5"/>
      <c r="H64" s="5"/>
      <c r="I64" s="5"/>
      <c r="J64" s="5"/>
      <c r="K64" s="5">
        <v>-20</v>
      </c>
      <c r="L64" s="5">
        <f>-17.264-K64</f>
        <v>2.7360000000000007</v>
      </c>
      <c r="M64" s="5">
        <f>-19.433-L64-K64</f>
        <v>-2.1690000000000005</v>
      </c>
      <c r="N64" s="5"/>
    </row>
    <row r="65" spans="2:112" s="3" customFormat="1" x14ac:dyDescent="0.35">
      <c r="B65" s="3" t="s">
        <v>55</v>
      </c>
      <c r="C65" s="5"/>
      <c r="D65" s="5"/>
      <c r="E65" s="5"/>
      <c r="F65" s="5"/>
      <c r="G65" s="5"/>
      <c r="H65" s="5"/>
      <c r="I65" s="5"/>
      <c r="J65" s="5"/>
      <c r="K65" s="5">
        <f>SUM(K49:K64)</f>
        <v>65.347999999999985</v>
      </c>
      <c r="L65" s="5">
        <f>SUM(L49:L64)</f>
        <v>55.618000000000009</v>
      </c>
      <c r="M65" s="5">
        <f>SUM(M49:M64)</f>
        <v>40.11999999999999</v>
      </c>
      <c r="N65" s="5"/>
      <c r="T65" s="3">
        <v>195.37100000000001</v>
      </c>
      <c r="U65" s="3">
        <v>204.785</v>
      </c>
      <c r="V65" s="3">
        <v>239.649</v>
      </c>
    </row>
    <row r="66" spans="2:112" x14ac:dyDescent="0.35">
      <c r="T66" s="3"/>
      <c r="U66" s="3"/>
      <c r="V66" s="3"/>
    </row>
    <row r="67" spans="2:112" x14ac:dyDescent="0.35">
      <c r="B67" s="3" t="s">
        <v>59</v>
      </c>
      <c r="K67" s="5">
        <v>24.151</v>
      </c>
      <c r="L67" s="5">
        <f>59.473-K67</f>
        <v>35.322000000000003</v>
      </c>
      <c r="M67" s="5">
        <f>108.593-L67-K67</f>
        <v>49.120000000000005</v>
      </c>
      <c r="T67" s="3">
        <v>86.441999999999993</v>
      </c>
      <c r="U67" s="3">
        <v>106.289</v>
      </c>
      <c r="V67" s="3">
        <f>113.982</f>
        <v>113.982</v>
      </c>
    </row>
    <row r="68" spans="2:112" x14ac:dyDescent="0.35">
      <c r="B68" s="3" t="s">
        <v>60</v>
      </c>
      <c r="K68" s="5">
        <f>K65-K67</f>
        <v>41.196999999999989</v>
      </c>
      <c r="L68" s="5">
        <f>L48-L67</f>
        <v>20.559999999999967</v>
      </c>
      <c r="M68" s="5">
        <f>M48-M67</f>
        <v>4.3839999999999435</v>
      </c>
      <c r="T68" s="3">
        <f t="shared" ref="T68:U68" si="2">T65-T67</f>
        <v>108.92900000000002</v>
      </c>
      <c r="U68" s="3">
        <f t="shared" si="2"/>
        <v>98.495999999999995</v>
      </c>
      <c r="V68" s="3">
        <f>V65-V67</f>
        <v>125.667</v>
      </c>
      <c r="W68" s="3">
        <f>V68*1.05</f>
        <v>131.95035000000001</v>
      </c>
      <c r="X68" s="3">
        <f t="shared" ref="X68:AB68" si="3">W68*1.05</f>
        <v>138.54786750000002</v>
      </c>
      <c r="Y68" s="3">
        <f t="shared" si="3"/>
        <v>145.47526087500003</v>
      </c>
      <c r="Z68" s="3">
        <f t="shared" si="3"/>
        <v>152.74902391875003</v>
      </c>
      <c r="AA68" s="3">
        <f t="shared" si="3"/>
        <v>160.38647511468753</v>
      </c>
      <c r="AB68" s="3">
        <f t="shared" si="3"/>
        <v>168.4057988704219</v>
      </c>
      <c r="AC68" s="3">
        <f t="shared" ref="AB68:AE68" si="4">AB68*1.05</f>
        <v>176.82608881394302</v>
      </c>
      <c r="AD68" s="3">
        <f t="shared" si="4"/>
        <v>185.66739325464019</v>
      </c>
      <c r="AE68" s="3">
        <f>AD68*1.01</f>
        <v>187.5240671871866</v>
      </c>
      <c r="AF68" s="3">
        <f t="shared" ref="AF68:CQ68" si="5">AE68*1.01</f>
        <v>189.39930785905847</v>
      </c>
      <c r="AG68" s="3">
        <f t="shared" si="5"/>
        <v>191.29330093764906</v>
      </c>
      <c r="AH68" s="3">
        <f t="shared" si="5"/>
        <v>193.20623394702557</v>
      </c>
      <c r="AI68" s="3">
        <f t="shared" si="5"/>
        <v>195.13829628649583</v>
      </c>
      <c r="AJ68" s="3">
        <f t="shared" si="5"/>
        <v>197.08967924936078</v>
      </c>
      <c r="AK68" s="3">
        <f t="shared" si="5"/>
        <v>199.0605760418544</v>
      </c>
      <c r="AL68" s="3">
        <f t="shared" si="5"/>
        <v>201.05118180227294</v>
      </c>
      <c r="AM68" s="3">
        <f t="shared" si="5"/>
        <v>203.06169362029567</v>
      </c>
      <c r="AN68" s="3">
        <f t="shared" si="5"/>
        <v>205.09231055649863</v>
      </c>
      <c r="AO68" s="3">
        <f t="shared" si="5"/>
        <v>207.14323366206361</v>
      </c>
      <c r="AP68" s="3">
        <f t="shared" si="5"/>
        <v>209.21466599868424</v>
      </c>
      <c r="AQ68" s="3">
        <f t="shared" si="5"/>
        <v>211.30681265867108</v>
      </c>
      <c r="AR68" s="3">
        <f t="shared" si="5"/>
        <v>213.41988078525779</v>
      </c>
      <c r="AS68" s="3">
        <f t="shared" si="5"/>
        <v>215.55407959311037</v>
      </c>
      <c r="AT68" s="3">
        <f t="shared" si="5"/>
        <v>217.70962038904148</v>
      </c>
      <c r="AU68" s="3">
        <f t="shared" si="5"/>
        <v>219.88671659293189</v>
      </c>
      <c r="AV68" s="3">
        <f t="shared" si="5"/>
        <v>222.08558375886122</v>
      </c>
      <c r="AW68" s="3">
        <f t="shared" si="5"/>
        <v>224.30643959644982</v>
      </c>
      <c r="AX68" s="3">
        <f t="shared" si="5"/>
        <v>226.54950399241432</v>
      </c>
      <c r="AY68" s="3">
        <f t="shared" si="5"/>
        <v>228.81499903233845</v>
      </c>
      <c r="AZ68" s="3">
        <f t="shared" si="5"/>
        <v>231.10314902266182</v>
      </c>
      <c r="BA68" s="3">
        <f t="shared" si="5"/>
        <v>233.41418051288844</v>
      </c>
      <c r="BB68" s="3">
        <f t="shared" si="5"/>
        <v>235.74832231801733</v>
      </c>
      <c r="BC68" s="3">
        <f t="shared" si="5"/>
        <v>238.1058055411975</v>
      </c>
      <c r="BD68" s="3">
        <f t="shared" si="5"/>
        <v>240.48686359660948</v>
      </c>
      <c r="BE68" s="3">
        <f t="shared" si="5"/>
        <v>242.89173223257558</v>
      </c>
      <c r="BF68" s="3">
        <f t="shared" si="5"/>
        <v>245.32064955490134</v>
      </c>
      <c r="BG68" s="3">
        <f t="shared" si="5"/>
        <v>247.77385605045035</v>
      </c>
      <c r="BH68" s="3">
        <f t="shared" si="5"/>
        <v>250.25159461095487</v>
      </c>
      <c r="BI68" s="3">
        <f t="shared" si="5"/>
        <v>252.75411055706442</v>
      </c>
      <c r="BJ68" s="3">
        <f t="shared" si="5"/>
        <v>255.28165166263506</v>
      </c>
      <c r="BK68" s="3">
        <f t="shared" si="5"/>
        <v>257.83446817926142</v>
      </c>
      <c r="BL68" s="3">
        <f t="shared" si="5"/>
        <v>260.41281286105402</v>
      </c>
      <c r="BM68" s="3">
        <f t="shared" si="5"/>
        <v>263.01694098966459</v>
      </c>
      <c r="BN68" s="3">
        <f t="shared" si="5"/>
        <v>265.64711039956126</v>
      </c>
      <c r="BO68" s="3">
        <f t="shared" si="5"/>
        <v>268.30358150355687</v>
      </c>
      <c r="BP68" s="3">
        <f t="shared" si="5"/>
        <v>270.98661731859244</v>
      </c>
      <c r="BQ68" s="3">
        <f t="shared" si="5"/>
        <v>273.69648349177834</v>
      </c>
      <c r="BR68" s="3">
        <f t="shared" si="5"/>
        <v>276.43344832669612</v>
      </c>
      <c r="BS68" s="3">
        <f t="shared" si="5"/>
        <v>279.19778280996309</v>
      </c>
      <c r="BT68" s="3">
        <f t="shared" si="5"/>
        <v>281.98976063806271</v>
      </c>
      <c r="BU68" s="3">
        <f t="shared" si="5"/>
        <v>284.80965824444331</v>
      </c>
      <c r="BV68" s="3">
        <f t="shared" si="5"/>
        <v>287.65775482688775</v>
      </c>
      <c r="BW68" s="3">
        <f t="shared" si="5"/>
        <v>290.53433237515662</v>
      </c>
      <c r="BX68" s="3">
        <f t="shared" si="5"/>
        <v>293.43967569890822</v>
      </c>
      <c r="BY68" s="3">
        <f t="shared" si="5"/>
        <v>296.37407245589731</v>
      </c>
      <c r="BZ68" s="3">
        <f t="shared" si="5"/>
        <v>299.33781318045629</v>
      </c>
      <c r="CA68" s="3">
        <f t="shared" si="5"/>
        <v>302.33119131226084</v>
      </c>
      <c r="CB68" s="3">
        <f t="shared" si="5"/>
        <v>305.35450322538344</v>
      </c>
      <c r="CC68" s="3">
        <f t="shared" si="5"/>
        <v>308.40804825763729</v>
      </c>
      <c r="CD68" s="3">
        <f t="shared" si="5"/>
        <v>311.49212874021367</v>
      </c>
      <c r="CE68" s="3">
        <f t="shared" si="5"/>
        <v>314.6070500276158</v>
      </c>
      <c r="CF68" s="3">
        <f t="shared" si="5"/>
        <v>317.75312052789195</v>
      </c>
      <c r="CG68" s="3">
        <f t="shared" si="5"/>
        <v>320.93065173317086</v>
      </c>
      <c r="CH68" s="3">
        <f t="shared" si="5"/>
        <v>324.13995825050256</v>
      </c>
      <c r="CI68" s="3">
        <f t="shared" si="5"/>
        <v>327.3813578330076</v>
      </c>
      <c r="CJ68" s="3">
        <f t="shared" si="5"/>
        <v>330.65517141133768</v>
      </c>
      <c r="CK68" s="3">
        <f t="shared" si="5"/>
        <v>333.96172312545104</v>
      </c>
      <c r="CL68" s="3">
        <f t="shared" si="5"/>
        <v>337.30134035670557</v>
      </c>
      <c r="CM68" s="3">
        <f t="shared" si="5"/>
        <v>340.67435376027265</v>
      </c>
      <c r="CN68" s="3">
        <f t="shared" si="5"/>
        <v>344.08109729787537</v>
      </c>
      <c r="CO68" s="3">
        <f t="shared" si="5"/>
        <v>347.52190827085411</v>
      </c>
      <c r="CP68" s="3">
        <f t="shared" si="5"/>
        <v>350.99712735356263</v>
      </c>
      <c r="CQ68" s="3">
        <f t="shared" si="5"/>
        <v>354.50709862709829</v>
      </c>
      <c r="CR68" s="3">
        <f t="shared" ref="CR68:DH68" si="6">CQ68*1.01</f>
        <v>358.0521696133693</v>
      </c>
      <c r="CS68" s="3">
        <f t="shared" si="6"/>
        <v>361.632691309503</v>
      </c>
      <c r="CT68" s="3">
        <f t="shared" si="6"/>
        <v>365.24901822259801</v>
      </c>
      <c r="CU68" s="3">
        <f t="shared" si="6"/>
        <v>368.90150840482397</v>
      </c>
      <c r="CV68" s="3">
        <f t="shared" si="6"/>
        <v>372.59052348887224</v>
      </c>
      <c r="CW68" s="3">
        <f t="shared" si="6"/>
        <v>376.31642872376096</v>
      </c>
      <c r="CX68" s="3">
        <f t="shared" si="6"/>
        <v>380.07959301099856</v>
      </c>
      <c r="CY68" s="3">
        <f t="shared" si="6"/>
        <v>383.88038894110855</v>
      </c>
      <c r="CZ68" s="3">
        <f t="shared" si="6"/>
        <v>387.71919283051966</v>
      </c>
      <c r="DA68" s="3">
        <f t="shared" si="6"/>
        <v>391.59638475882485</v>
      </c>
      <c r="DB68" s="3">
        <f t="shared" si="6"/>
        <v>395.51234860641313</v>
      </c>
      <c r="DC68" s="3">
        <f t="shared" si="6"/>
        <v>399.46747209247724</v>
      </c>
      <c r="DD68" s="3">
        <f t="shared" si="6"/>
        <v>403.462146813402</v>
      </c>
      <c r="DE68" s="3">
        <f t="shared" si="6"/>
        <v>407.49676828153605</v>
      </c>
      <c r="DF68" s="3">
        <f t="shared" si="6"/>
        <v>411.57173596435143</v>
      </c>
      <c r="DG68" s="3">
        <f t="shared" si="6"/>
        <v>415.68745332399493</v>
      </c>
      <c r="DH68" s="3">
        <f t="shared" si="6"/>
        <v>419.84432785723487</v>
      </c>
    </row>
    <row r="70" spans="2:112" x14ac:dyDescent="0.35">
      <c r="S70" s="10">
        <f>S71/R71-1</f>
        <v>4.6979865771812124E-2</v>
      </c>
      <c r="T70" s="10">
        <f>T71/S71-1</f>
        <v>3.8461538461538547E-2</v>
      </c>
      <c r="U70" s="10">
        <f>U71/T71-1</f>
        <v>3.7037037037036979E-2</v>
      </c>
      <c r="V70" s="10">
        <f>V71/U71-1</f>
        <v>5.3571428571428603E-2</v>
      </c>
    </row>
    <row r="71" spans="2:112" x14ac:dyDescent="0.35">
      <c r="B71" t="s">
        <v>62</v>
      </c>
      <c r="J71" s="2">
        <v>189</v>
      </c>
      <c r="K71" s="2">
        <v>189</v>
      </c>
      <c r="R71">
        <v>149</v>
      </c>
      <c r="S71">
        <v>156</v>
      </c>
      <c r="T71">
        <v>162</v>
      </c>
      <c r="U71">
        <v>168</v>
      </c>
      <c r="V71">
        <v>177</v>
      </c>
    </row>
    <row r="72" spans="2:112" x14ac:dyDescent="0.35">
      <c r="B72" t="s">
        <v>63</v>
      </c>
      <c r="K72" s="8">
        <f>K3/K71</f>
        <v>2.7405978835978835</v>
      </c>
      <c r="R72" s="9">
        <f>R3/R71</f>
        <v>11.136939597315436</v>
      </c>
      <c r="S72" s="9">
        <f t="shared" ref="S72:V72" si="7">S3/S71</f>
        <v>11.266820512820512</v>
      </c>
      <c r="T72" s="9">
        <f t="shared" si="7"/>
        <v>11.166771604938273</v>
      </c>
      <c r="U72" s="9">
        <f t="shared" si="7"/>
        <v>11.178035714285715</v>
      </c>
      <c r="V72" s="9">
        <f t="shared" si="7"/>
        <v>11.167367231638417</v>
      </c>
    </row>
    <row r="74" spans="2:112" x14ac:dyDescent="0.35">
      <c r="X74" t="s">
        <v>70</v>
      </c>
      <c r="Y74" s="10">
        <v>0.05</v>
      </c>
    </row>
    <row r="75" spans="2:112" x14ac:dyDescent="0.35">
      <c r="X75" t="s">
        <v>71</v>
      </c>
      <c r="Y75" s="3">
        <f>NPV(Y74,X68:DH68)</f>
        <v>4117.5185396460311</v>
      </c>
    </row>
  </sheetData>
  <hyperlinks>
    <hyperlink ref="A1" location="Main!A1" display="Main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2015-12-13T02:58:52Z</dcterms:created>
  <dcterms:modified xsi:type="dcterms:W3CDTF">2015-12-13T05:03:26Z</dcterms:modified>
</cp:coreProperties>
</file>