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00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28" i="2"/>
  <c r="L27" i="2"/>
  <c r="L20" i="2"/>
  <c r="L15" i="2"/>
  <c r="L7" i="2"/>
  <c r="L3" i="1"/>
  <c r="L5" i="1"/>
  <c r="X5" i="2" l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K10" i="2"/>
  <c r="AJ10" i="2"/>
  <c r="AG10" i="2"/>
  <c r="AH10" i="2" s="1"/>
  <c r="AI10" i="2" s="1"/>
  <c r="AF10" i="2"/>
  <c r="AE10" i="2"/>
  <c r="X4" i="2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W25" i="2"/>
  <c r="X25" i="2" s="1"/>
  <c r="Y25" i="2" s="1"/>
  <c r="V25" i="2"/>
  <c r="V18" i="2"/>
  <c r="V22" i="2"/>
  <c r="W20" i="2"/>
  <c r="V20" i="2"/>
  <c r="W17" i="2"/>
  <c r="V17" i="2"/>
  <c r="V16" i="2"/>
  <c r="V14" i="2"/>
  <c r="W12" i="2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V12" i="2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V11" i="2"/>
  <c r="W9" i="2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V9" i="2"/>
  <c r="V8" i="2"/>
  <c r="V7" i="2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V6" i="2"/>
  <c r="W5" i="2"/>
  <c r="V5" i="2"/>
  <c r="V13" i="2" s="1"/>
  <c r="V15" i="2" s="1"/>
  <c r="W4" i="2"/>
  <c r="V4" i="2"/>
  <c r="W3" i="2"/>
  <c r="X3" i="2" s="1"/>
  <c r="Y3" i="2" s="1"/>
  <c r="Z3" i="2" s="1"/>
  <c r="AA3" i="2" s="1"/>
  <c r="AB3" i="2" s="1"/>
  <c r="AC3" i="2" s="1"/>
  <c r="AD3" i="2" s="1"/>
  <c r="AE3" i="2" s="1"/>
  <c r="AF3" i="2" s="1"/>
  <c r="V3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R2" i="2"/>
  <c r="M25" i="2"/>
  <c r="N25" i="2" s="1"/>
  <c r="M20" i="2"/>
  <c r="N20" i="2" s="1"/>
  <c r="N17" i="2"/>
  <c r="M17" i="2"/>
  <c r="M16" i="2"/>
  <c r="M18" i="2" s="1"/>
  <c r="L18" i="2"/>
  <c r="K30" i="2"/>
  <c r="N12" i="2"/>
  <c r="M12" i="2"/>
  <c r="N11" i="2"/>
  <c r="M11" i="2"/>
  <c r="N9" i="2"/>
  <c r="M9" i="2"/>
  <c r="N8" i="2"/>
  <c r="M8" i="2"/>
  <c r="W8" i="2" s="1"/>
  <c r="X8" i="2" s="1"/>
  <c r="Y8" i="2" s="1"/>
  <c r="N7" i="2"/>
  <c r="M7" i="2"/>
  <c r="W7" i="2" s="1"/>
  <c r="X7" i="2" s="1"/>
  <c r="Y7" i="2" s="1"/>
  <c r="Z7" i="2" s="1"/>
  <c r="N6" i="2"/>
  <c r="M6" i="2"/>
  <c r="N5" i="2"/>
  <c r="M5" i="2"/>
  <c r="N4" i="2"/>
  <c r="M4" i="2"/>
  <c r="N3" i="2"/>
  <c r="M3" i="2"/>
  <c r="J28" i="2"/>
  <c r="I28" i="2"/>
  <c r="H28" i="2"/>
  <c r="K28" i="2"/>
  <c r="D20" i="2"/>
  <c r="D18" i="2"/>
  <c r="D13" i="2"/>
  <c r="D15" i="2" s="1"/>
  <c r="H27" i="2"/>
  <c r="H20" i="2"/>
  <c r="H18" i="2"/>
  <c r="H13" i="2"/>
  <c r="H15" i="2" s="1"/>
  <c r="H19" i="2" s="1"/>
  <c r="D7" i="2"/>
  <c r="H7" i="2"/>
  <c r="J27" i="2"/>
  <c r="I27" i="2"/>
  <c r="K27" i="2"/>
  <c r="E20" i="2"/>
  <c r="E18" i="2"/>
  <c r="E15" i="2"/>
  <c r="E13" i="2"/>
  <c r="I20" i="2"/>
  <c r="I7" i="2"/>
  <c r="I18" i="2"/>
  <c r="I13" i="2"/>
  <c r="I15" i="2" s="1"/>
  <c r="I19" i="2" s="1"/>
  <c r="I21" i="2" s="1"/>
  <c r="I23" i="2" s="1"/>
  <c r="I24" i="2" s="1"/>
  <c r="E7" i="2"/>
  <c r="F20" i="2"/>
  <c r="F18" i="2"/>
  <c r="F15" i="2"/>
  <c r="F19" i="2" s="1"/>
  <c r="F21" i="2" s="1"/>
  <c r="F23" i="2" s="1"/>
  <c r="F24" i="2" s="1"/>
  <c r="J20" i="2"/>
  <c r="J18" i="2"/>
  <c r="J15" i="2"/>
  <c r="J19" i="2" s="1"/>
  <c r="J13" i="2"/>
  <c r="F13" i="2"/>
  <c r="F7" i="2"/>
  <c r="J7" i="2"/>
  <c r="G20" i="2"/>
  <c r="G18" i="2"/>
  <c r="G15" i="2"/>
  <c r="K20" i="2"/>
  <c r="K18" i="2"/>
  <c r="K15" i="2"/>
  <c r="K19" i="2" s="1"/>
  <c r="K21" i="2" s="1"/>
  <c r="K23" i="2" s="1"/>
  <c r="K24" i="2" s="1"/>
  <c r="K13" i="2"/>
  <c r="G13" i="2"/>
  <c r="G7" i="2"/>
  <c r="K7" i="2"/>
  <c r="L4" i="1"/>
  <c r="L7" i="1" s="1"/>
  <c r="Z25" i="2" l="1"/>
  <c r="Y13" i="2"/>
  <c r="AA7" i="2"/>
  <c r="Z8" i="2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X13" i="2"/>
  <c r="W13" i="2"/>
  <c r="W15" i="2" s="1"/>
  <c r="V19" i="2"/>
  <c r="V21" i="2" s="1"/>
  <c r="V23" i="2" s="1"/>
  <c r="V24" i="2" s="1"/>
  <c r="AG3" i="2"/>
  <c r="AH3" i="2" s="1"/>
  <c r="AI3" i="2" s="1"/>
  <c r="AJ3" i="2" s="1"/>
  <c r="AK3" i="2" s="1"/>
  <c r="N16" i="2"/>
  <c r="N18" i="2" s="1"/>
  <c r="N13" i="2"/>
  <c r="L13" i="2"/>
  <c r="M13" i="2"/>
  <c r="D19" i="2"/>
  <c r="D21" i="2" s="1"/>
  <c r="D23" i="2" s="1"/>
  <c r="D24" i="2" s="1"/>
  <c r="H21" i="2"/>
  <c r="H23" i="2" s="1"/>
  <c r="H24" i="2" s="1"/>
  <c r="E19" i="2"/>
  <c r="E21" i="2" s="1"/>
  <c r="E23" i="2" s="1"/>
  <c r="E24" i="2" s="1"/>
  <c r="J21" i="2"/>
  <c r="J23" i="2" s="1"/>
  <c r="J24" i="2" s="1"/>
  <c r="G19" i="2"/>
  <c r="G21" i="2" s="1"/>
  <c r="G23" i="2" s="1"/>
  <c r="G24" i="2" s="1"/>
  <c r="W16" i="2" l="1"/>
  <c r="W18" i="2" s="1"/>
  <c r="W19" i="2" s="1"/>
  <c r="W21" i="2" s="1"/>
  <c r="X15" i="2"/>
  <c r="X17" i="2"/>
  <c r="X18" i="2" s="1"/>
  <c r="L19" i="2"/>
  <c r="L21" i="2" s="1"/>
  <c r="Y17" i="2"/>
  <c r="Y18" i="2" s="1"/>
  <c r="Y15" i="2"/>
  <c r="Y14" i="2" s="1"/>
  <c r="AA25" i="2"/>
  <c r="Z13" i="2"/>
  <c r="AB7" i="2"/>
  <c r="AA13" i="2"/>
  <c r="M15" i="2"/>
  <c r="M19" i="2" s="1"/>
  <c r="M21" i="2" s="1"/>
  <c r="N15" i="2"/>
  <c r="N14" i="2" s="1"/>
  <c r="Z17" i="2" l="1"/>
  <c r="Z18" i="2" s="1"/>
  <c r="Z15" i="2"/>
  <c r="Z14" i="2" s="1"/>
  <c r="AA17" i="2"/>
  <c r="AA18" i="2" s="1"/>
  <c r="AA15" i="2"/>
  <c r="AA14" i="2" s="1"/>
  <c r="Y19" i="2"/>
  <c r="Y21" i="2" s="1"/>
  <c r="X19" i="2"/>
  <c r="X21" i="2" s="1"/>
  <c r="L23" i="2"/>
  <c r="L24" i="2" s="1"/>
  <c r="X14" i="2"/>
  <c r="AB25" i="2"/>
  <c r="AC7" i="2"/>
  <c r="AB13" i="2"/>
  <c r="M22" i="2"/>
  <c r="M14" i="2"/>
  <c r="W14" i="2" s="1"/>
  <c r="N19" i="2"/>
  <c r="N21" i="2" s="1"/>
  <c r="Z19" i="2" l="1"/>
  <c r="Z21" i="2" s="1"/>
  <c r="AB17" i="2"/>
  <c r="AB18" i="2" s="1"/>
  <c r="AB15" i="2"/>
  <c r="AB14" i="2" s="1"/>
  <c r="X22" i="2"/>
  <c r="X23" i="2"/>
  <c r="Y22" i="2"/>
  <c r="Y23" i="2" s="1"/>
  <c r="Y24" i="2" s="1"/>
  <c r="AA19" i="2"/>
  <c r="AA21" i="2" s="1"/>
  <c r="Z22" i="2"/>
  <c r="Z23" i="2" s="1"/>
  <c r="Z24" i="2" s="1"/>
  <c r="AC25" i="2"/>
  <c r="AD7" i="2"/>
  <c r="AC13" i="2"/>
  <c r="N22" i="2"/>
  <c r="N23" i="2" s="1"/>
  <c r="N24" i="2" s="1"/>
  <c r="M23" i="2"/>
  <c r="M24" i="2" s="1"/>
  <c r="AC17" i="2" l="1"/>
  <c r="AC18" i="2" s="1"/>
  <c r="AC15" i="2"/>
  <c r="AC14" i="2" s="1"/>
  <c r="AA22" i="2"/>
  <c r="AA23" i="2" s="1"/>
  <c r="X24" i="2"/>
  <c r="AB19" i="2"/>
  <c r="AB21" i="2" s="1"/>
  <c r="AD25" i="2"/>
  <c r="AE7" i="2"/>
  <c r="AD13" i="2"/>
  <c r="W22" i="2"/>
  <c r="W23" i="2" s="1"/>
  <c r="W24" i="2" s="1"/>
  <c r="AA24" i="2" l="1"/>
  <c r="AB22" i="2"/>
  <c r="AB23" i="2" s="1"/>
  <c r="AD17" i="2"/>
  <c r="AD18" i="2" s="1"/>
  <c r="AD15" i="2"/>
  <c r="AC19" i="2"/>
  <c r="AC21" i="2" s="1"/>
  <c r="AE25" i="2"/>
  <c r="AE13" i="2"/>
  <c r="AF7" i="2"/>
  <c r="AD19" i="2" l="1"/>
  <c r="AD21" i="2" s="1"/>
  <c r="AD22" i="2" s="1"/>
  <c r="AD23" i="2" s="1"/>
  <c r="AD24" i="2" s="1"/>
  <c r="AB24" i="2"/>
  <c r="AC22" i="2"/>
  <c r="AC23" i="2" s="1"/>
  <c r="AD14" i="2"/>
  <c r="AE17" i="2"/>
  <c r="AE18" i="2" s="1"/>
  <c r="AE15" i="2"/>
  <c r="AF25" i="2"/>
  <c r="AG7" i="2"/>
  <c r="AF13" i="2"/>
  <c r="AC24" i="2" l="1"/>
  <c r="AE19" i="2"/>
  <c r="AE21" i="2" s="1"/>
  <c r="AF15" i="2"/>
  <c r="AF14" i="2" s="1"/>
  <c r="AF17" i="2"/>
  <c r="AF18" i="2" s="1"/>
  <c r="AF19" i="2" s="1"/>
  <c r="AF21" i="2" s="1"/>
  <c r="AE14" i="2"/>
  <c r="AG25" i="2"/>
  <c r="AG13" i="2"/>
  <c r="AH7" i="2"/>
  <c r="AG17" i="2" l="1"/>
  <c r="AG18" i="2" s="1"/>
  <c r="AG15" i="2"/>
  <c r="AG14" i="2" s="1"/>
  <c r="AF22" i="2"/>
  <c r="AF23" i="2" s="1"/>
  <c r="AF24" i="2" s="1"/>
  <c r="AE22" i="2"/>
  <c r="AE23" i="2" s="1"/>
  <c r="AH25" i="2"/>
  <c r="AI7" i="2"/>
  <c r="AH13" i="2"/>
  <c r="AH15" i="2" l="1"/>
  <c r="AH14" i="2" s="1"/>
  <c r="AH17" i="2"/>
  <c r="AH18" i="2" s="1"/>
  <c r="AH19" i="2" s="1"/>
  <c r="AH21" i="2" s="1"/>
  <c r="AE24" i="2"/>
  <c r="AG19" i="2"/>
  <c r="AG21" i="2" s="1"/>
  <c r="AI25" i="2"/>
  <c r="AJ7" i="2"/>
  <c r="AI13" i="2"/>
  <c r="AG22" i="2" l="1"/>
  <c r="AG23" i="2" s="1"/>
  <c r="AG24" i="2" s="1"/>
  <c r="AI17" i="2"/>
  <c r="AI18" i="2" s="1"/>
  <c r="AI15" i="2"/>
  <c r="AI14" i="2" s="1"/>
  <c r="AH22" i="2"/>
  <c r="AH23" i="2" s="1"/>
  <c r="AH24" i="2" s="1"/>
  <c r="AJ25" i="2"/>
  <c r="AJ13" i="2"/>
  <c r="AK7" i="2"/>
  <c r="AK13" i="2" s="1"/>
  <c r="AI19" i="2" l="1"/>
  <c r="AI21" i="2" s="1"/>
  <c r="AK17" i="2"/>
  <c r="AK18" i="2" s="1"/>
  <c r="AK15" i="2"/>
  <c r="AK14" i="2" s="1"/>
  <c r="AI22" i="2"/>
  <c r="AI23" i="2" s="1"/>
  <c r="AI24" i="2" s="1"/>
  <c r="AJ17" i="2"/>
  <c r="AJ18" i="2" s="1"/>
  <c r="AJ15" i="2"/>
  <c r="AJ14" i="2" s="1"/>
  <c r="AK25" i="2"/>
  <c r="AJ19" i="2" l="1"/>
  <c r="AJ21" i="2" s="1"/>
  <c r="AJ22" i="2" s="1"/>
  <c r="AJ23" i="2" s="1"/>
  <c r="AJ24" i="2" s="1"/>
  <c r="AK19" i="2"/>
  <c r="AK21" i="2" s="1"/>
  <c r="AK22" i="2" l="1"/>
  <c r="AK23" i="2" s="1"/>
  <c r="AL23" i="2" l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AN27" i="2" s="1"/>
  <c r="AN28" i="2" s="1"/>
  <c r="AK24" i="2"/>
</calcChain>
</file>

<file path=xl/sharedStrings.xml><?xml version="1.0" encoding="utf-8"?>
<sst xmlns="http://schemas.openxmlformats.org/spreadsheetml/2006/main" count="71" uniqueCount="62">
  <si>
    <t>Price</t>
  </si>
  <si>
    <t>Shares</t>
  </si>
  <si>
    <t>MC</t>
  </si>
  <si>
    <t>Cash</t>
  </si>
  <si>
    <t>Debt</t>
  </si>
  <si>
    <t>EV</t>
  </si>
  <si>
    <t>Q116</t>
  </si>
  <si>
    <t>Main</t>
  </si>
  <si>
    <t>Revlimid</t>
  </si>
  <si>
    <t>lenalidomide</t>
  </si>
  <si>
    <t>Multiple Myeloma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</si>
  <si>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</si>
  <si>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</si>
  <si>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</si>
  <si>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</si>
  <si>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</si>
  <si>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</si>
  <si>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</si>
  <si>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</si>
  <si>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</si>
  <si>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</si>
  <si>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</si>
  <si>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Pomalyst</t>
  </si>
  <si>
    <t>Abraxane</t>
  </si>
  <si>
    <t>Otezla</t>
  </si>
  <si>
    <t>Vidaza</t>
  </si>
  <si>
    <t>Thalomid</t>
  </si>
  <si>
    <t>Istodax</t>
  </si>
  <si>
    <t>Other Products</t>
  </si>
  <si>
    <t>Other Revenue</t>
  </si>
  <si>
    <t>Revenue</t>
  </si>
  <si>
    <t>COGS</t>
  </si>
  <si>
    <t>Gross Margin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</si>
  <si>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</si>
  <si>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</si>
  <si>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</si>
  <si>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</si>
  <si>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</si>
  <si>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</si>
  <si>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</si>
  <si>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</si>
  <si>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</si>
  <si>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IP</t>
  </si>
  <si>
    <t>ANDA</t>
  </si>
  <si>
    <t>apremilast</t>
  </si>
  <si>
    <t>Psoriasis</t>
  </si>
  <si>
    <t>ozanimod</t>
  </si>
  <si>
    <t>Ulcerative Colitis, Multiple Sclerosis</t>
  </si>
  <si>
    <t>Economics</t>
  </si>
  <si>
    <t>Approved</t>
  </si>
  <si>
    <t>Phase</t>
  </si>
  <si>
    <t>III</t>
  </si>
  <si>
    <t>Brand</t>
  </si>
  <si>
    <t>Generic</t>
  </si>
  <si>
    <t>Indication</t>
  </si>
  <si>
    <t>2026 Natco</t>
  </si>
  <si>
    <t>Revlimid Growth</t>
  </si>
  <si>
    <t>Revenue Growth</t>
  </si>
  <si>
    <t>Discount</t>
  </si>
  <si>
    <t>NPV</t>
  </si>
  <si>
    <t>Maturity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</si>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</sst>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12</xdr:col>
      <xdr:colOff>47625</xdr:colOff>
      <xdr:row>44</xdr:row>
      <xdr:rowOff>57150</xdr:rowOff>
    </xdr:to>
    <xdr:cxnSp macro="">
      <xdr:nvCxnSpPr>
        <xdr:cNvPr id="3" name="Straight Connector 2"/>
        <xdr:cNvCxnSpPr/>
      </xdr:nvCxnSpPr>
      <xdr:spPr>
        <a:xfrm>
          <a:off x="7686675" y="0"/>
          <a:ext cx="0" cy="7181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44</xdr:row>
      <xdr:rowOff>57150</xdr:rowOff>
    </xdr:to>
    <xdr:cxnSp macro="">
      <xdr:nvCxnSpPr>
        <xdr:cNvPr id="4" name="Straight Connector 3"/>
        <xdr:cNvCxnSpPr/>
      </xdr:nvCxnSpPr>
      <xdr:spPr>
        <a:xfrm>
          <a:off x="13773150" y="0"/>
          <a:ext cx="0" cy="7019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workbookViewId="0">
      <selection activeCell="L4" sqref="L4"/>
    </sheetView>
  </sheetViews>
  <sheetFormatPr defaultRowHeight="12.75" x14ac:dyDescent="0.2"/>
  <cols>
    <col min="3" max="3" width="11.28515625" bestFit="1" customWidth="1"/>
    <col min="4" max="4" width="31.28515625" bestFit="1" customWidth="1"/>
    <col min="6" max="6" width="11.85546875" customWidth="1"/>
    <col min="7" max="7" width="10.42578125" bestFit="1" customWidth="1"/>
  </cols>
  <sheetData>
    <row r="1" spans="2:13" x14ac:dyDescent="0.2">
      <c r="D1" s="17"/>
      <c r="E1" s="17"/>
      <c r="F1" s="17"/>
      <c r="G1" s="17"/>
      <c r="H1" s="17"/>
    </row>
    <row r="2" spans="2:13" x14ac:dyDescent="0.2">
      <c r="B2" s="4" t="s">
        <v>52</v>
      </c>
      <c r="C2" s="5" t="s">
        <v>53</v>
      </c>
      <c r="D2" s="18" t="s">
        <v>54</v>
      </c>
      <c r="E2" s="18" t="s">
        <v>49</v>
      </c>
      <c r="F2" s="18" t="s">
        <v>48</v>
      </c>
      <c r="G2" s="18" t="s">
        <v>42</v>
      </c>
      <c r="H2" s="19"/>
      <c r="K2" t="s">
        <v>0</v>
      </c>
      <c r="L2" s="1">
        <v>98.5</v>
      </c>
    </row>
    <row r="3" spans="2:13" x14ac:dyDescent="0.2">
      <c r="B3" s="6" t="s">
        <v>8</v>
      </c>
      <c r="C3" s="7" t="s">
        <v>9</v>
      </c>
      <c r="D3" s="20" t="s">
        <v>10</v>
      </c>
      <c r="E3" s="20"/>
      <c r="F3" s="20"/>
      <c r="G3" s="20" t="s">
        <v>55</v>
      </c>
      <c r="H3" s="21"/>
      <c r="K3" t="s">
        <v>1</v>
      </c>
      <c r="L3" s="2">
        <f>946.4-171.4</f>
        <v>775</v>
      </c>
      <c r="M3" s="3" t="s">
        <v>19</v>
      </c>
    </row>
    <row r="4" spans="2:13" x14ac:dyDescent="0.2">
      <c r="B4" s="6" t="s">
        <v>23</v>
      </c>
      <c r="C4" s="7"/>
      <c r="D4" s="20"/>
      <c r="E4" s="20"/>
      <c r="F4" s="20"/>
      <c r="G4" s="20" t="s">
        <v>43</v>
      </c>
      <c r="H4" s="21"/>
      <c r="K4" t="s">
        <v>2</v>
      </c>
      <c r="L4" s="2">
        <f>+L3*L2</f>
        <v>76337.5</v>
      </c>
      <c r="M4" s="3"/>
    </row>
    <row r="5" spans="2:13" x14ac:dyDescent="0.2">
      <c r="B5" s="6" t="s">
        <v>24</v>
      </c>
      <c r="C5" s="7" t="s">
        <v>44</v>
      </c>
      <c r="D5" s="20" t="s">
        <v>45</v>
      </c>
      <c r="E5" s="20"/>
      <c r="F5" s="20"/>
      <c r="G5" s="20"/>
      <c r="H5" s="21"/>
      <c r="K5" t="s">
        <v>3</v>
      </c>
      <c r="L5" s="2">
        <f>5063.7+1340</f>
        <v>6403.7</v>
      </c>
      <c r="M5" s="3" t="s">
        <v>19</v>
      </c>
    </row>
    <row r="6" spans="2:13" x14ac:dyDescent="0.2">
      <c r="B6" s="6"/>
      <c r="C6" s="7"/>
      <c r="D6" s="20"/>
      <c r="E6" s="20"/>
      <c r="F6" s="20"/>
      <c r="G6" s="20"/>
      <c r="H6" s="21"/>
      <c r="K6" t="s">
        <v>4</v>
      </c>
      <c r="L6" s="2">
        <v>14312.1</v>
      </c>
      <c r="M6" s="3" t="s">
        <v>19</v>
      </c>
    </row>
    <row r="7" spans="2:13" x14ac:dyDescent="0.2">
      <c r="B7" s="6"/>
      <c r="C7" s="7"/>
      <c r="D7" s="20"/>
      <c r="E7" s="20"/>
      <c r="F7" s="20"/>
      <c r="G7" s="20"/>
      <c r="H7" s="21"/>
      <c r="K7" t="s">
        <v>5</v>
      </c>
      <c r="L7" s="2">
        <f>+L4-L5+L6</f>
        <v>84245.900000000009</v>
      </c>
    </row>
    <row r="8" spans="2:13" x14ac:dyDescent="0.2">
      <c r="B8" s="6"/>
      <c r="C8" s="7"/>
      <c r="D8" s="20"/>
      <c r="E8" s="20"/>
      <c r="F8" s="20"/>
      <c r="G8" s="20"/>
      <c r="H8" s="21"/>
    </row>
    <row r="9" spans="2:13" x14ac:dyDescent="0.2">
      <c r="B9" s="6"/>
      <c r="C9" s="7"/>
      <c r="D9" s="20"/>
      <c r="E9" s="20"/>
      <c r="F9" s="20"/>
      <c r="G9" s="20"/>
      <c r="H9" s="21"/>
    </row>
    <row r="10" spans="2:13" x14ac:dyDescent="0.2">
      <c r="B10" s="6"/>
      <c r="C10" s="7"/>
      <c r="D10" s="20"/>
      <c r="E10" s="20"/>
      <c r="F10" s="20"/>
      <c r="G10" s="20"/>
      <c r="H10" s="21"/>
    </row>
    <row r="11" spans="2:13" x14ac:dyDescent="0.2">
      <c r="B11" s="6"/>
      <c r="C11" s="7"/>
      <c r="D11" s="20"/>
      <c r="E11" s="20"/>
      <c r="F11" s="20"/>
      <c r="G11" s="20"/>
      <c r="H11" s="21"/>
    </row>
    <row r="12" spans="2:13" x14ac:dyDescent="0.2">
      <c r="B12" s="6"/>
      <c r="C12" s="7"/>
      <c r="D12" s="20"/>
      <c r="E12" s="20"/>
      <c r="F12" s="20"/>
      <c r="G12" s="20"/>
      <c r="H12" s="21"/>
    </row>
    <row r="13" spans="2:13" x14ac:dyDescent="0.2">
      <c r="B13" s="6"/>
      <c r="C13" s="7"/>
      <c r="D13" s="20"/>
      <c r="E13" s="20"/>
      <c r="F13" s="20"/>
      <c r="G13" s="20"/>
      <c r="H13" s="21"/>
    </row>
    <row r="14" spans="2:13" x14ac:dyDescent="0.2">
      <c r="B14" s="6"/>
      <c r="C14" s="7"/>
      <c r="D14" s="20"/>
      <c r="E14" s="20"/>
      <c r="F14" s="20"/>
      <c r="G14" s="20"/>
      <c r="H14" s="21"/>
    </row>
    <row r="15" spans="2:13" x14ac:dyDescent="0.2">
      <c r="B15" s="6"/>
      <c r="C15" s="7"/>
      <c r="D15" s="20"/>
      <c r="E15" s="20"/>
      <c r="F15" s="20"/>
      <c r="G15" s="20"/>
      <c r="H15" s="21"/>
    </row>
    <row r="16" spans="2:13" x14ac:dyDescent="0.2">
      <c r="B16" s="4"/>
      <c r="C16" s="5"/>
      <c r="D16" s="18"/>
      <c r="E16" s="18" t="s">
        <v>50</v>
      </c>
      <c r="F16" s="18"/>
      <c r="G16" s="18"/>
      <c r="H16" s="19"/>
    </row>
    <row r="17" spans="2:8" x14ac:dyDescent="0.2">
      <c r="B17" s="6"/>
      <c r="C17" s="7" t="s">
        <v>46</v>
      </c>
      <c r="D17" s="20" t="s">
        <v>47</v>
      </c>
      <c r="E17" s="20" t="s">
        <v>51</v>
      </c>
      <c r="F17" s="20"/>
      <c r="G17" s="20"/>
      <c r="H17" s="21"/>
    </row>
    <row r="18" spans="2:8" x14ac:dyDescent="0.2">
      <c r="B18" s="6"/>
      <c r="C18" s="7"/>
      <c r="D18" s="20"/>
      <c r="E18" s="20"/>
      <c r="F18" s="20"/>
      <c r="G18" s="20"/>
      <c r="H18" s="21"/>
    </row>
    <row r="19" spans="2:8" x14ac:dyDescent="0.2">
      <c r="B19" s="6"/>
      <c r="C19" s="7"/>
      <c r="D19" s="20"/>
      <c r="E19" s="20"/>
      <c r="F19" s="20"/>
      <c r="G19" s="20"/>
      <c r="H19" s="21"/>
    </row>
    <row r="20" spans="2:8" x14ac:dyDescent="0.2">
      <c r="B20" s="6"/>
      <c r="C20" s="7"/>
      <c r="D20" s="20"/>
      <c r="E20" s="20"/>
      <c r="F20" s="20"/>
      <c r="G20" s="20"/>
      <c r="H20" s="21"/>
    </row>
    <row r="21" spans="2:8" x14ac:dyDescent="0.2">
      <c r="B21" s="6"/>
      <c r="C21" s="7"/>
      <c r="D21" s="20"/>
      <c r="E21" s="20"/>
      <c r="F21" s="20"/>
      <c r="G21" s="20"/>
      <c r="H21" s="21"/>
    </row>
    <row r="22" spans="2:8" x14ac:dyDescent="0.2">
      <c r="B22" s="6"/>
      <c r="C22" s="7"/>
      <c r="D22" s="20"/>
      <c r="E22" s="20"/>
      <c r="F22" s="20"/>
      <c r="G22" s="20"/>
      <c r="H22" s="21"/>
    </row>
    <row r="23" spans="2:8" x14ac:dyDescent="0.2">
      <c r="B23" s="6"/>
      <c r="C23" s="7"/>
      <c r="D23" s="20"/>
      <c r="E23" s="20"/>
      <c r="F23" s="20"/>
      <c r="G23" s="20"/>
      <c r="H23" s="21"/>
    </row>
    <row r="24" spans="2:8" x14ac:dyDescent="0.2">
      <c r="B24" s="6"/>
      <c r="C24" s="7"/>
      <c r="D24" s="20"/>
      <c r="E24" s="20"/>
      <c r="F24" s="20"/>
      <c r="G24" s="20"/>
      <c r="H24" s="21"/>
    </row>
    <row r="25" spans="2:8" x14ac:dyDescent="0.2">
      <c r="B25" s="6"/>
      <c r="C25" s="7"/>
      <c r="D25" s="20"/>
      <c r="E25" s="20"/>
      <c r="F25" s="20"/>
      <c r="G25" s="20"/>
      <c r="H25" s="21"/>
    </row>
    <row r="26" spans="2:8" x14ac:dyDescent="0.2">
      <c r="B26" s="6"/>
      <c r="C26" s="7"/>
      <c r="D26" s="20"/>
      <c r="E26" s="20"/>
      <c r="F26" s="20"/>
      <c r="G26" s="20"/>
      <c r="H26" s="21"/>
    </row>
    <row r="27" spans="2:8" x14ac:dyDescent="0.2">
      <c r="B27" s="6"/>
      <c r="C27" s="7"/>
      <c r="D27" s="20"/>
      <c r="E27" s="20"/>
      <c r="F27" s="20"/>
      <c r="G27" s="20"/>
      <c r="H27" s="21"/>
    </row>
    <row r="28" spans="2:8" x14ac:dyDescent="0.2">
      <c r="B28" s="6"/>
      <c r="C28" s="7"/>
      <c r="D28" s="20"/>
      <c r="E28" s="20"/>
      <c r="F28" s="20"/>
      <c r="G28" s="20"/>
      <c r="H28" s="21"/>
    </row>
    <row r="29" spans="2:8" x14ac:dyDescent="0.2">
      <c r="B29" s="6"/>
      <c r="C29" s="7"/>
      <c r="D29" s="20"/>
      <c r="E29" s="20"/>
      <c r="F29" s="20"/>
      <c r="G29" s="20"/>
      <c r="H29" s="21"/>
    </row>
    <row r="30" spans="2:8" x14ac:dyDescent="0.2">
      <c r="B30" s="6"/>
      <c r="C30" s="7"/>
      <c r="D30" s="20"/>
      <c r="E30" s="20"/>
      <c r="F30" s="20"/>
      <c r="G30" s="20"/>
      <c r="H30" s="21"/>
    </row>
    <row r="31" spans="2:8" x14ac:dyDescent="0.2">
      <c r="B31" s="6"/>
      <c r="C31" s="7"/>
      <c r="D31" s="20"/>
      <c r="E31" s="20"/>
      <c r="F31" s="20"/>
      <c r="G31" s="20"/>
      <c r="H31" s="21"/>
    </row>
    <row r="32" spans="2:8" x14ac:dyDescent="0.2">
      <c r="B32" s="6"/>
      <c r="C32" s="7"/>
      <c r="D32" s="20"/>
      <c r="E32" s="20"/>
      <c r="F32" s="20"/>
      <c r="G32" s="20"/>
      <c r="H32" s="21"/>
    </row>
    <row r="33" spans="2:8" x14ac:dyDescent="0.2">
      <c r="B33" s="6"/>
      <c r="C33" s="7"/>
      <c r="D33" s="20"/>
      <c r="E33" s="20"/>
      <c r="F33" s="20"/>
      <c r="G33" s="20"/>
      <c r="H33" s="21"/>
    </row>
    <row r="34" spans="2:8" x14ac:dyDescent="0.2">
      <c r="B34" s="6"/>
      <c r="C34" s="7"/>
      <c r="D34" s="20"/>
      <c r="E34" s="20"/>
      <c r="F34" s="20"/>
      <c r="G34" s="20"/>
      <c r="H34" s="21"/>
    </row>
    <row r="35" spans="2:8" x14ac:dyDescent="0.2">
      <c r="B35" s="6"/>
      <c r="C35" s="7"/>
      <c r="D35" s="20"/>
      <c r="E35" s="20"/>
      <c r="F35" s="20"/>
      <c r="G35" s="20"/>
      <c r="H35" s="21"/>
    </row>
    <row r="36" spans="2:8" x14ac:dyDescent="0.2">
      <c r="B36" s="6"/>
      <c r="C36" s="7"/>
      <c r="D36" s="7"/>
      <c r="E36" s="7"/>
      <c r="F36" s="7"/>
      <c r="G36" s="7"/>
      <c r="H36" s="8"/>
    </row>
    <row r="37" spans="2:8" x14ac:dyDescent="0.2">
      <c r="B37" s="9"/>
      <c r="C37" s="10"/>
      <c r="D37" s="10"/>
      <c r="E37" s="10"/>
      <c r="F37" s="10"/>
      <c r="G37" s="10"/>
      <c r="H3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8" sqref="K28"/>
    </sheetView>
  </sheetViews>
  <sheetFormatPr defaultRowHeight="12.75" x14ac:dyDescent="0.2"/>
  <cols>
    <col min="1" max="1" width="5" bestFit="1" customWidth="1"/>
    <col min="2" max="2" width="18.140625" bestFit="1" customWidth="1"/>
    <col min="3" max="20" width="9.140625" style="3"/>
    <col min="40" max="40" width="9.140625" customWidth="1"/>
  </cols>
  <sheetData>
    <row r="1" spans="1:45" x14ac:dyDescent="0.2">
      <c r="A1" s="16" t="s">
        <v>7</v>
      </c>
    </row>
    <row r="2" spans="1:45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6</v>
      </c>
      <c r="L2" s="3" t="s">
        <v>19</v>
      </c>
      <c r="M2" s="3" t="s">
        <v>20</v>
      </c>
      <c r="N2" s="3" t="s">
        <v>21</v>
      </c>
      <c r="Q2" s="3">
        <v>2010</v>
      </c>
      <c r="R2" s="3">
        <f>+Q2+1</f>
        <v>2011</v>
      </c>
      <c r="S2" s="3">
        <f t="shared" ref="S2:AS2" si="0">+R2+1</f>
        <v>2012</v>
      </c>
      <c r="T2" s="3">
        <f t="shared" si="0"/>
        <v>2013</v>
      </c>
      <c r="U2" s="3">
        <f t="shared" si="0"/>
        <v>2014</v>
      </c>
      <c r="V2" s="3">
        <f t="shared" si="0"/>
        <v>2015</v>
      </c>
      <c r="W2" s="3">
        <f t="shared" si="0"/>
        <v>2016</v>
      </c>
      <c r="X2" s="3">
        <f t="shared" si="0"/>
        <v>2017</v>
      </c>
      <c r="Y2" s="3">
        <f t="shared" si="0"/>
        <v>2018</v>
      </c>
      <c r="Z2" s="3">
        <f t="shared" si="0"/>
        <v>2019</v>
      </c>
      <c r="AA2" s="3">
        <f t="shared" si="0"/>
        <v>2020</v>
      </c>
      <c r="AB2" s="3">
        <f t="shared" si="0"/>
        <v>2021</v>
      </c>
      <c r="AC2" s="3">
        <f t="shared" si="0"/>
        <v>2022</v>
      </c>
      <c r="AD2" s="3">
        <f t="shared" si="0"/>
        <v>2023</v>
      </c>
      <c r="AE2" s="3">
        <f t="shared" si="0"/>
        <v>2024</v>
      </c>
      <c r="AF2" s="3">
        <f t="shared" si="0"/>
        <v>2025</v>
      </c>
      <c r="AG2" s="3">
        <f t="shared" si="0"/>
        <v>2026</v>
      </c>
      <c r="AH2" s="3">
        <f t="shared" si="0"/>
        <v>2027</v>
      </c>
      <c r="AI2" s="3">
        <f t="shared" si="0"/>
        <v>2028</v>
      </c>
      <c r="AJ2" s="3">
        <f t="shared" si="0"/>
        <v>2029</v>
      </c>
      <c r="AK2" s="3">
        <f t="shared" si="0"/>
        <v>2030</v>
      </c>
      <c r="AL2" s="3">
        <f t="shared" si="0"/>
        <v>2031</v>
      </c>
      <c r="AM2" s="3">
        <f t="shared" si="0"/>
        <v>2032</v>
      </c>
      <c r="AN2" s="3">
        <f t="shared" si="0"/>
        <v>2033</v>
      </c>
      <c r="AO2" s="3">
        <f t="shared" si="0"/>
        <v>2034</v>
      </c>
      <c r="AP2" s="3">
        <f t="shared" si="0"/>
        <v>2035</v>
      </c>
      <c r="AQ2" s="3">
        <f t="shared" si="0"/>
        <v>2036</v>
      </c>
      <c r="AR2" s="3">
        <f t="shared" si="0"/>
        <v>2037</v>
      </c>
      <c r="AS2" s="3">
        <f t="shared" si="0"/>
        <v>2038</v>
      </c>
    </row>
    <row r="3" spans="1:45" s="2" customFormat="1" x14ac:dyDescent="0.2">
      <c r="B3" s="2" t="s">
        <v>8</v>
      </c>
      <c r="C3" s="12"/>
      <c r="D3" s="12">
        <v>1213.7</v>
      </c>
      <c r="E3" s="12">
        <v>1300</v>
      </c>
      <c r="F3" s="12">
        <v>1322.5</v>
      </c>
      <c r="G3" s="12">
        <v>1342.9</v>
      </c>
      <c r="H3" s="12">
        <v>1444</v>
      </c>
      <c r="I3" s="12">
        <v>1453.5</v>
      </c>
      <c r="J3" s="12">
        <v>1560.7</v>
      </c>
      <c r="K3" s="12">
        <v>1573.6</v>
      </c>
      <c r="L3" s="12">
        <v>1700.8</v>
      </c>
      <c r="M3" s="12">
        <f t="shared" ref="M3:N3" si="1">+I3*1.12</f>
        <v>1627.92</v>
      </c>
      <c r="N3" s="12">
        <f t="shared" si="1"/>
        <v>1747.9840000000002</v>
      </c>
      <c r="O3" s="12"/>
      <c r="P3" s="12"/>
      <c r="Q3" s="12"/>
      <c r="R3" s="12"/>
      <c r="S3" s="12"/>
      <c r="T3" s="12"/>
      <c r="V3" s="2">
        <f>SUM(G3:J3)</f>
        <v>5801.0999999999995</v>
      </c>
      <c r="W3" s="2">
        <f>SUM(K3:N3)</f>
        <v>6650.3040000000001</v>
      </c>
      <c r="X3" s="2">
        <f>+W3*1.01</f>
        <v>6716.8070400000006</v>
      </c>
      <c r="Y3" s="2">
        <f t="shared" ref="Y3:Z3" si="2">+X3*1.01</f>
        <v>6783.9751104000006</v>
      </c>
      <c r="Z3" s="2">
        <f t="shared" si="2"/>
        <v>6851.8148615040009</v>
      </c>
      <c r="AA3" s="2">
        <f>+Z3*0.95</f>
        <v>6509.2241184288005</v>
      </c>
      <c r="AB3" s="2">
        <f t="shared" ref="AB3:AF3" si="3">+AA3*0.95</f>
        <v>6183.7629125073599</v>
      </c>
      <c r="AC3" s="2">
        <f t="shared" si="3"/>
        <v>5874.5747668819913</v>
      </c>
      <c r="AD3" s="2">
        <f t="shared" si="3"/>
        <v>5580.8460285378915</v>
      </c>
      <c r="AE3" s="2">
        <f t="shared" si="3"/>
        <v>5301.803727110997</v>
      </c>
      <c r="AF3" s="2">
        <f t="shared" si="3"/>
        <v>5036.713540755447</v>
      </c>
      <c r="AG3" s="2">
        <f>+AF3*0.1</f>
        <v>503.67135407554474</v>
      </c>
      <c r="AH3" s="2">
        <f t="shared" ref="AH3:AK3" si="4">+AG3*0.1</f>
        <v>50.367135407554478</v>
      </c>
      <c r="AI3" s="2">
        <f t="shared" si="4"/>
        <v>5.0367135407554482</v>
      </c>
      <c r="AJ3" s="2">
        <f t="shared" si="4"/>
        <v>0.50367135407554486</v>
      </c>
      <c r="AK3" s="2">
        <f t="shared" si="4"/>
        <v>5.0367135407554491E-2</v>
      </c>
    </row>
    <row r="4" spans="1:45" s="2" customFormat="1" x14ac:dyDescent="0.2">
      <c r="B4" s="2" t="s">
        <v>22</v>
      </c>
      <c r="C4" s="12"/>
      <c r="D4" s="12">
        <v>160.9</v>
      </c>
      <c r="E4" s="12">
        <v>181.1</v>
      </c>
      <c r="F4" s="12">
        <v>202.1</v>
      </c>
      <c r="G4" s="12">
        <v>198.5</v>
      </c>
      <c r="H4" s="12">
        <v>234.5</v>
      </c>
      <c r="I4" s="12">
        <v>256.5</v>
      </c>
      <c r="J4" s="12">
        <v>293.8</v>
      </c>
      <c r="K4" s="12">
        <v>274</v>
      </c>
      <c r="L4" s="12">
        <v>317.7</v>
      </c>
      <c r="M4" s="12">
        <f>+H4*1.4</f>
        <v>328.29999999999995</v>
      </c>
      <c r="N4" s="12">
        <f>+I4*1.3</f>
        <v>333.45</v>
      </c>
      <c r="O4" s="12"/>
      <c r="P4" s="12"/>
      <c r="Q4" s="12"/>
      <c r="R4" s="12"/>
      <c r="S4" s="12"/>
      <c r="T4" s="12"/>
      <c r="V4" s="2">
        <f t="shared" ref="V4:V12" si="5">SUM(G4:J4)</f>
        <v>983.3</v>
      </c>
      <c r="W4" s="2">
        <f t="shared" ref="W4:W12" si="6">SUM(K4:N4)</f>
        <v>1253.45</v>
      </c>
      <c r="X4" s="2">
        <f>+W4*1.5</f>
        <v>1880.1750000000002</v>
      </c>
      <c r="Y4" s="2">
        <f t="shared" ref="Y4:Z4" si="7">+X4*1.5</f>
        <v>2820.2625000000003</v>
      </c>
      <c r="Z4" s="2">
        <f t="shared" si="7"/>
        <v>4230.3937500000002</v>
      </c>
      <c r="AA4" s="2">
        <f>+Z4*1.05</f>
        <v>4441.9134375000003</v>
      </c>
      <c r="AB4" s="2">
        <f t="shared" ref="AB4:AG4" si="8">+AA4*1.05</f>
        <v>4664.0091093750007</v>
      </c>
      <c r="AC4" s="2">
        <f t="shared" si="8"/>
        <v>4897.2095648437507</v>
      </c>
      <c r="AD4" s="2">
        <f t="shared" si="8"/>
        <v>5142.0700430859388</v>
      </c>
      <c r="AE4" s="2">
        <f t="shared" si="8"/>
        <v>5399.1735452402363</v>
      </c>
      <c r="AF4" s="2">
        <f t="shared" si="8"/>
        <v>5669.1322225022486</v>
      </c>
      <c r="AG4" s="2">
        <f t="shared" si="8"/>
        <v>5952.5888336273611</v>
      </c>
      <c r="AH4" s="2">
        <f>+AG4*0.1</f>
        <v>595.25888336273613</v>
      </c>
      <c r="AI4" s="2">
        <f t="shared" ref="AI4:AK4" si="9">+AH4*0.1</f>
        <v>59.525888336273617</v>
      </c>
      <c r="AJ4" s="2">
        <f t="shared" si="9"/>
        <v>5.9525888336273622</v>
      </c>
      <c r="AK4" s="2">
        <f t="shared" si="9"/>
        <v>0.59525888336273625</v>
      </c>
    </row>
    <row r="5" spans="1:45" s="2" customFormat="1" x14ac:dyDescent="0.2">
      <c r="B5" s="2" t="s">
        <v>23</v>
      </c>
      <c r="C5" s="12"/>
      <c r="D5" s="12">
        <v>215.3</v>
      </c>
      <c r="E5" s="12">
        <v>212.2</v>
      </c>
      <c r="F5" s="12">
        <v>235.9</v>
      </c>
      <c r="G5" s="12">
        <v>223.4</v>
      </c>
      <c r="H5" s="12">
        <v>244.2</v>
      </c>
      <c r="I5" s="12">
        <v>229.9</v>
      </c>
      <c r="J5" s="12">
        <v>270</v>
      </c>
      <c r="K5" s="12">
        <v>224.9</v>
      </c>
      <c r="L5" s="12">
        <v>249.1</v>
      </c>
      <c r="M5" s="12">
        <f t="shared" ref="M5:N5" si="10">+I5*1.01</f>
        <v>232.19900000000001</v>
      </c>
      <c r="N5" s="12">
        <f t="shared" si="10"/>
        <v>272.7</v>
      </c>
      <c r="O5" s="12"/>
      <c r="P5" s="12"/>
      <c r="Q5" s="12"/>
      <c r="R5" s="12"/>
      <c r="S5" s="12"/>
      <c r="T5" s="12"/>
      <c r="V5" s="2">
        <f t="shared" si="5"/>
        <v>967.5</v>
      </c>
      <c r="W5" s="2">
        <f t="shared" si="6"/>
        <v>978.89900000000011</v>
      </c>
      <c r="X5" s="2">
        <f>+W5*0.9</f>
        <v>881.0091000000001</v>
      </c>
      <c r="Y5" s="2">
        <f t="shared" ref="Y5:AK5" si="11">+X5*0.9</f>
        <v>792.9081900000001</v>
      </c>
      <c r="Z5" s="2">
        <f t="shared" si="11"/>
        <v>713.61737100000016</v>
      </c>
      <c r="AA5" s="2">
        <f t="shared" si="11"/>
        <v>642.25563390000013</v>
      </c>
      <c r="AB5" s="2">
        <f t="shared" si="11"/>
        <v>578.03007051000009</v>
      </c>
      <c r="AC5" s="2">
        <f t="shared" si="11"/>
        <v>520.22706345900008</v>
      </c>
      <c r="AD5" s="2">
        <f t="shared" si="11"/>
        <v>468.20435711310006</v>
      </c>
      <c r="AE5" s="2">
        <f t="shared" si="11"/>
        <v>421.38392140179008</v>
      </c>
      <c r="AF5" s="2">
        <f t="shared" si="11"/>
        <v>379.24552926161107</v>
      </c>
      <c r="AG5" s="2">
        <f t="shared" si="11"/>
        <v>341.32097633544998</v>
      </c>
      <c r="AH5" s="2">
        <f t="shared" si="11"/>
        <v>307.18887870190497</v>
      </c>
      <c r="AI5" s="2">
        <f t="shared" si="11"/>
        <v>276.46999083171448</v>
      </c>
      <c r="AJ5" s="2">
        <f t="shared" si="11"/>
        <v>248.82299174854305</v>
      </c>
      <c r="AK5" s="2">
        <f t="shared" si="11"/>
        <v>223.94069257368875</v>
      </c>
    </row>
    <row r="6" spans="1:45" s="2" customFormat="1" x14ac:dyDescent="0.2">
      <c r="B6" s="2" t="s">
        <v>24</v>
      </c>
      <c r="C6" s="12"/>
      <c r="D6" s="12">
        <v>4.5999999999999996</v>
      </c>
      <c r="E6" s="12">
        <v>17.600000000000001</v>
      </c>
      <c r="F6" s="12">
        <v>47.6</v>
      </c>
      <c r="G6" s="12">
        <v>60.3</v>
      </c>
      <c r="H6" s="12">
        <v>89.7</v>
      </c>
      <c r="I6" s="12">
        <v>138.69999999999999</v>
      </c>
      <c r="J6" s="12">
        <v>183</v>
      </c>
      <c r="K6" s="12">
        <v>195.6</v>
      </c>
      <c r="L6" s="12">
        <v>241.9</v>
      </c>
      <c r="M6" s="12">
        <f>+I6*1.8</f>
        <v>249.66</v>
      </c>
      <c r="N6" s="12">
        <f>+J6*1.7</f>
        <v>311.09999999999997</v>
      </c>
      <c r="O6" s="12"/>
      <c r="P6" s="12"/>
      <c r="Q6" s="12"/>
      <c r="R6" s="12"/>
      <c r="S6" s="12"/>
      <c r="T6" s="12"/>
      <c r="V6" s="2">
        <f t="shared" si="5"/>
        <v>471.7</v>
      </c>
      <c r="W6" s="2">
        <f t="shared" si="6"/>
        <v>998.26</v>
      </c>
      <c r="X6" s="2">
        <f>+W6*1.5</f>
        <v>1497.3899999999999</v>
      </c>
      <c r="Y6" s="2">
        <f>+X6*1.2</f>
        <v>1796.8679999999997</v>
      </c>
      <c r="Z6" s="2">
        <f>+Y6*1.1</f>
        <v>1976.5547999999999</v>
      </c>
      <c r="AA6" s="2">
        <f t="shared" ref="AA6:AB6" si="12">+Z6*1.1</f>
        <v>2174.2102800000002</v>
      </c>
      <c r="AB6" s="2">
        <f t="shared" si="12"/>
        <v>2391.6313080000004</v>
      </c>
      <c r="AC6" s="2">
        <f>+AB6*1.01</f>
        <v>2415.5476210800007</v>
      </c>
      <c r="AD6" s="2">
        <f t="shared" ref="AD6:AF6" si="13">+AC6*1.01</f>
        <v>2439.7030972908005</v>
      </c>
      <c r="AE6" s="2">
        <f t="shared" si="13"/>
        <v>2464.1001282637085</v>
      </c>
      <c r="AF6" s="2">
        <f t="shared" si="13"/>
        <v>2488.7411295463457</v>
      </c>
      <c r="AG6" s="2">
        <f>+AF6*0.1</f>
        <v>248.8741129546346</v>
      </c>
      <c r="AH6" s="2">
        <f t="shared" ref="AH6:AK6" si="14">+AG6*0.1</f>
        <v>24.887411295463462</v>
      </c>
      <c r="AI6" s="2">
        <f t="shared" si="14"/>
        <v>2.4887411295463462</v>
      </c>
      <c r="AJ6" s="2">
        <f t="shared" si="14"/>
        <v>0.24887411295463463</v>
      </c>
      <c r="AK6" s="2">
        <f t="shared" si="14"/>
        <v>2.4887411295463464E-2</v>
      </c>
    </row>
    <row r="7" spans="1:45" s="2" customFormat="1" x14ac:dyDescent="0.2">
      <c r="B7" s="2" t="s">
        <v>25</v>
      </c>
      <c r="C7" s="12"/>
      <c r="D7" s="12">
        <f>152+24.4</f>
        <v>176.4</v>
      </c>
      <c r="E7" s="12">
        <f>157.8+19.9</f>
        <v>177.70000000000002</v>
      </c>
      <c r="F7" s="12">
        <f>153.7+15.5</f>
        <v>169.2</v>
      </c>
      <c r="G7" s="12">
        <f>143.6+20.6</f>
        <v>164.2</v>
      </c>
      <c r="H7" s="12">
        <f>152.1+22.3</f>
        <v>174.4</v>
      </c>
      <c r="I7" s="12">
        <f>147.6+21.3</f>
        <v>168.9</v>
      </c>
      <c r="J7" s="12">
        <f>147.4+19.7</f>
        <v>167.1</v>
      </c>
      <c r="K7" s="12">
        <f>146.7+18.5</f>
        <v>165.2</v>
      </c>
      <c r="L7" s="12">
        <f>154.1+21.7</f>
        <v>175.79999999999998</v>
      </c>
      <c r="M7" s="12">
        <f t="shared" ref="M7:M8" si="15">+I7*0.9</f>
        <v>152.01000000000002</v>
      </c>
      <c r="N7" s="12">
        <f t="shared" ref="N7:N8" si="16">+J7*0.9</f>
        <v>150.38999999999999</v>
      </c>
      <c r="O7" s="12"/>
      <c r="P7" s="12"/>
      <c r="Q7" s="12"/>
      <c r="R7" s="12"/>
      <c r="S7" s="12"/>
      <c r="T7" s="12"/>
      <c r="V7" s="2">
        <f t="shared" si="5"/>
        <v>674.6</v>
      </c>
      <c r="W7" s="2">
        <f t="shared" si="6"/>
        <v>643.4</v>
      </c>
      <c r="X7" s="2">
        <f>+W7*0.9</f>
        <v>579.05999999999995</v>
      </c>
      <c r="Y7" s="2">
        <f t="shared" ref="Y7:AK7" si="17">+X7*0.9</f>
        <v>521.154</v>
      </c>
      <c r="Z7" s="2">
        <f t="shared" si="17"/>
        <v>469.03860000000003</v>
      </c>
      <c r="AA7" s="2">
        <f t="shared" si="17"/>
        <v>422.13474000000002</v>
      </c>
      <c r="AB7" s="2">
        <f t="shared" si="17"/>
        <v>379.921266</v>
      </c>
      <c r="AC7" s="2">
        <f t="shared" si="17"/>
        <v>341.9291394</v>
      </c>
      <c r="AD7" s="2">
        <f t="shared" si="17"/>
        <v>307.73622546000001</v>
      </c>
      <c r="AE7" s="2">
        <f t="shared" si="17"/>
        <v>276.962602914</v>
      </c>
      <c r="AF7" s="2">
        <f t="shared" si="17"/>
        <v>249.26634262260001</v>
      </c>
      <c r="AG7" s="2">
        <f t="shared" si="17"/>
        <v>224.33970836034001</v>
      </c>
      <c r="AH7" s="2">
        <f t="shared" si="17"/>
        <v>201.90573752430601</v>
      </c>
      <c r="AI7" s="2">
        <f t="shared" si="17"/>
        <v>181.71516377187541</v>
      </c>
      <c r="AJ7" s="2">
        <f t="shared" si="17"/>
        <v>163.54364739468787</v>
      </c>
      <c r="AK7" s="2">
        <f t="shared" si="17"/>
        <v>147.18928265521907</v>
      </c>
    </row>
    <row r="8" spans="1:45" s="2" customFormat="1" x14ac:dyDescent="0.2">
      <c r="B8" s="2" t="s">
        <v>26</v>
      </c>
      <c r="C8" s="12"/>
      <c r="D8" s="12">
        <v>54.3</v>
      </c>
      <c r="E8" s="12">
        <v>51.9</v>
      </c>
      <c r="F8" s="12">
        <v>57</v>
      </c>
      <c r="G8" s="12">
        <v>46.9</v>
      </c>
      <c r="H8" s="12">
        <v>47.9</v>
      </c>
      <c r="I8" s="12">
        <v>45.1</v>
      </c>
      <c r="J8" s="12">
        <v>45.5</v>
      </c>
      <c r="K8" s="12">
        <v>41</v>
      </c>
      <c r="L8" s="12">
        <v>37.700000000000003</v>
      </c>
      <c r="M8" s="12">
        <f t="shared" si="15"/>
        <v>40.590000000000003</v>
      </c>
      <c r="N8" s="12">
        <f t="shared" si="16"/>
        <v>40.950000000000003</v>
      </c>
      <c r="O8" s="12"/>
      <c r="P8" s="12"/>
      <c r="Q8" s="12"/>
      <c r="R8" s="12"/>
      <c r="S8" s="12"/>
      <c r="T8" s="12"/>
      <c r="V8" s="2">
        <f t="shared" si="5"/>
        <v>185.4</v>
      </c>
      <c r="W8" s="2">
        <f t="shared" si="6"/>
        <v>160.24</v>
      </c>
      <c r="X8" s="2">
        <f t="shared" ref="X8:AK9" si="18">+W8*0.9</f>
        <v>144.21600000000001</v>
      </c>
      <c r="Y8" s="2">
        <f t="shared" si="18"/>
        <v>129.79440000000002</v>
      </c>
      <c r="Z8" s="2">
        <f t="shared" si="18"/>
        <v>116.81496000000003</v>
      </c>
      <c r="AA8" s="2">
        <f t="shared" si="18"/>
        <v>105.13346400000003</v>
      </c>
      <c r="AB8" s="2">
        <f t="shared" si="18"/>
        <v>94.620117600000029</v>
      </c>
      <c r="AC8" s="2">
        <f t="shared" si="18"/>
        <v>85.158105840000033</v>
      </c>
      <c r="AD8" s="2">
        <f t="shared" si="18"/>
        <v>76.642295256000025</v>
      </c>
      <c r="AE8" s="2">
        <f t="shared" si="18"/>
        <v>68.978065730400019</v>
      </c>
      <c r="AF8" s="2">
        <f t="shared" si="18"/>
        <v>62.080259157360018</v>
      </c>
      <c r="AG8" s="2">
        <f t="shared" si="18"/>
        <v>55.872233241624016</v>
      </c>
      <c r="AH8" s="2">
        <f t="shared" si="18"/>
        <v>50.285009917461615</v>
      </c>
      <c r="AI8" s="2">
        <f t="shared" si="18"/>
        <v>45.256508925715451</v>
      </c>
      <c r="AJ8" s="2">
        <f t="shared" si="18"/>
        <v>40.73085803314391</v>
      </c>
      <c r="AK8" s="2">
        <f t="shared" si="18"/>
        <v>36.657772229829519</v>
      </c>
    </row>
    <row r="9" spans="1:45" s="2" customFormat="1" x14ac:dyDescent="0.2">
      <c r="B9" s="2" t="s">
        <v>27</v>
      </c>
      <c r="C9" s="12"/>
      <c r="D9" s="12">
        <v>17.100000000000001</v>
      </c>
      <c r="E9" s="12">
        <v>15.7</v>
      </c>
      <c r="F9" s="12">
        <v>16.7</v>
      </c>
      <c r="G9" s="12">
        <v>16.5</v>
      </c>
      <c r="H9" s="12">
        <v>17.899999999999999</v>
      </c>
      <c r="I9" s="12">
        <v>17.3</v>
      </c>
      <c r="J9" s="12">
        <v>17.399999999999999</v>
      </c>
      <c r="K9" s="12">
        <v>18.5</v>
      </c>
      <c r="L9" s="12">
        <v>20.7</v>
      </c>
      <c r="M9" s="12">
        <f t="shared" ref="M9:M12" si="19">+I9</f>
        <v>17.3</v>
      </c>
      <c r="N9" s="12">
        <f t="shared" ref="N9:N12" si="20">+J9</f>
        <v>17.399999999999999</v>
      </c>
      <c r="O9" s="12"/>
      <c r="P9" s="12"/>
      <c r="Q9" s="12"/>
      <c r="R9" s="12"/>
      <c r="S9" s="12"/>
      <c r="T9" s="12"/>
      <c r="V9" s="2">
        <f t="shared" si="5"/>
        <v>69.099999999999994</v>
      </c>
      <c r="W9" s="2">
        <f t="shared" si="6"/>
        <v>73.900000000000006</v>
      </c>
      <c r="X9" s="2">
        <f t="shared" si="18"/>
        <v>66.510000000000005</v>
      </c>
      <c r="Y9" s="2">
        <f t="shared" si="18"/>
        <v>59.859000000000009</v>
      </c>
      <c r="Z9" s="2">
        <f t="shared" si="18"/>
        <v>53.873100000000008</v>
      </c>
      <c r="AA9" s="2">
        <f t="shared" si="18"/>
        <v>48.485790000000009</v>
      </c>
      <c r="AB9" s="2">
        <f t="shared" si="18"/>
        <v>43.637211000000008</v>
      </c>
      <c r="AC9" s="2">
        <f t="shared" si="18"/>
        <v>39.273489900000008</v>
      </c>
      <c r="AD9" s="2">
        <f t="shared" si="18"/>
        <v>35.34614091000001</v>
      </c>
      <c r="AE9" s="2">
        <f t="shared" si="18"/>
        <v>31.811526819000008</v>
      </c>
      <c r="AF9" s="2">
        <f t="shared" si="18"/>
        <v>28.630374137100009</v>
      </c>
      <c r="AG9" s="2">
        <f t="shared" si="18"/>
        <v>25.767336723390009</v>
      </c>
      <c r="AH9" s="2">
        <f t="shared" si="18"/>
        <v>23.19060305105101</v>
      </c>
      <c r="AI9" s="2">
        <f t="shared" si="18"/>
        <v>20.871542745945909</v>
      </c>
      <c r="AJ9" s="2">
        <f t="shared" si="18"/>
        <v>18.784388471351321</v>
      </c>
      <c r="AK9" s="2">
        <f t="shared" si="18"/>
        <v>16.905949624216188</v>
      </c>
    </row>
    <row r="10" spans="1:45" s="2" customFormat="1" x14ac:dyDescent="0.2">
      <c r="B10" s="2" t="s">
        <v>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Y10" s="2">
        <v>500</v>
      </c>
      <c r="Z10" s="2">
        <v>1000</v>
      </c>
      <c r="AA10" s="2">
        <v>1500</v>
      </c>
      <c r="AB10" s="2">
        <v>2000</v>
      </c>
      <c r="AC10" s="2">
        <v>2500</v>
      </c>
      <c r="AD10" s="2">
        <v>3000</v>
      </c>
      <c r="AE10" s="2">
        <f>+AD10*1.01</f>
        <v>3030</v>
      </c>
      <c r="AF10" s="2">
        <f t="shared" ref="AF10:AJ10" si="21">+AE10*1.01</f>
        <v>3060.3</v>
      </c>
      <c r="AG10" s="2">
        <f t="shared" si="21"/>
        <v>3090.9030000000002</v>
      </c>
      <c r="AH10" s="2">
        <f t="shared" si="21"/>
        <v>3121.8120300000005</v>
      </c>
      <c r="AI10" s="2">
        <f t="shared" si="21"/>
        <v>3153.0301503000005</v>
      </c>
      <c r="AJ10" s="2">
        <f t="shared" si="21"/>
        <v>3184.5604518030004</v>
      </c>
      <c r="AK10" s="2">
        <f>+AJ10*0.05</f>
        <v>159.22802259015003</v>
      </c>
    </row>
    <row r="11" spans="1:45" s="2" customFormat="1" x14ac:dyDescent="0.2">
      <c r="B11" s="2" t="s">
        <v>28</v>
      </c>
      <c r="C11" s="12"/>
      <c r="D11" s="12">
        <v>2.2999999999999998</v>
      </c>
      <c r="E11" s="12">
        <v>0.6</v>
      </c>
      <c r="F11" s="12">
        <v>3.9</v>
      </c>
      <c r="G11" s="12">
        <v>2.5</v>
      </c>
      <c r="H11" s="12">
        <v>1.5</v>
      </c>
      <c r="I11" s="12">
        <v>2.7</v>
      </c>
      <c r="J11" s="12">
        <v>1.7</v>
      </c>
      <c r="K11" s="12">
        <v>1.9</v>
      </c>
      <c r="L11" s="12">
        <v>0.8</v>
      </c>
      <c r="M11" s="12">
        <f t="shared" si="19"/>
        <v>2.7</v>
      </c>
      <c r="N11" s="12">
        <f t="shared" si="20"/>
        <v>1.7</v>
      </c>
      <c r="O11" s="12"/>
      <c r="P11" s="12"/>
      <c r="Q11" s="12"/>
      <c r="R11" s="12"/>
      <c r="S11" s="12"/>
      <c r="T11" s="12"/>
      <c r="V11" s="2">
        <f t="shared" si="5"/>
        <v>8.4</v>
      </c>
      <c r="W11" s="2">
        <f t="shared" si="6"/>
        <v>7.1000000000000005</v>
      </c>
      <c r="X11" s="2">
        <f>+W11*0.9</f>
        <v>6.3900000000000006</v>
      </c>
      <c r="Y11" s="2">
        <f t="shared" ref="Y11:AK11" si="22">+X11*0.9</f>
        <v>5.7510000000000003</v>
      </c>
      <c r="Z11" s="2">
        <f t="shared" si="22"/>
        <v>5.1759000000000004</v>
      </c>
      <c r="AA11" s="2">
        <f t="shared" si="22"/>
        <v>4.6583100000000002</v>
      </c>
      <c r="AB11" s="2">
        <f t="shared" si="22"/>
        <v>4.1924790000000005</v>
      </c>
      <c r="AC11" s="2">
        <f t="shared" si="22"/>
        <v>3.7732311000000007</v>
      </c>
      <c r="AD11" s="2">
        <f t="shared" si="22"/>
        <v>3.3959079900000009</v>
      </c>
      <c r="AE11" s="2">
        <f t="shared" si="22"/>
        <v>3.0563171910000007</v>
      </c>
      <c r="AF11" s="2">
        <f t="shared" si="22"/>
        <v>2.7506854719000007</v>
      </c>
      <c r="AG11" s="2">
        <f t="shared" si="22"/>
        <v>2.4756169247100006</v>
      </c>
      <c r="AH11" s="2">
        <f t="shared" si="22"/>
        <v>2.2280552322390008</v>
      </c>
      <c r="AI11" s="2">
        <f t="shared" si="22"/>
        <v>2.0052497090151009</v>
      </c>
      <c r="AJ11" s="2">
        <f t="shared" si="22"/>
        <v>1.8047247381135909</v>
      </c>
      <c r="AK11" s="2">
        <f t="shared" si="22"/>
        <v>1.6242522643022319</v>
      </c>
    </row>
    <row r="12" spans="1:45" s="2" customFormat="1" x14ac:dyDescent="0.2">
      <c r="B12" s="2" t="s">
        <v>29</v>
      </c>
      <c r="C12" s="12"/>
      <c r="D12" s="12">
        <v>28.1</v>
      </c>
      <c r="E12" s="12">
        <v>25.4</v>
      </c>
      <c r="F12" s="12">
        <v>30.6</v>
      </c>
      <c r="G12" s="12">
        <v>25.6</v>
      </c>
      <c r="H12" s="12">
        <v>23.7</v>
      </c>
      <c r="I12" s="12">
        <v>21.5</v>
      </c>
      <c r="J12" s="12">
        <v>24.1</v>
      </c>
      <c r="K12" s="12">
        <v>16.899999999999999</v>
      </c>
      <c r="L12" s="12">
        <v>9.8000000000000007</v>
      </c>
      <c r="M12" s="12">
        <f t="shared" si="19"/>
        <v>21.5</v>
      </c>
      <c r="N12" s="12">
        <f t="shared" si="20"/>
        <v>24.1</v>
      </c>
      <c r="O12" s="12"/>
      <c r="P12" s="12"/>
      <c r="Q12" s="12"/>
      <c r="R12" s="12"/>
      <c r="S12" s="12"/>
      <c r="T12" s="12"/>
      <c r="V12" s="2">
        <f t="shared" si="5"/>
        <v>94.9</v>
      </c>
      <c r="W12" s="2">
        <f t="shared" si="6"/>
        <v>72.300000000000011</v>
      </c>
      <c r="X12" s="2">
        <f t="shared" ref="X12:AK12" si="23">+W12*0.9</f>
        <v>65.070000000000007</v>
      </c>
      <c r="Y12" s="2">
        <f t="shared" si="23"/>
        <v>58.563000000000009</v>
      </c>
      <c r="Z12" s="2">
        <f t="shared" si="23"/>
        <v>52.706700000000012</v>
      </c>
      <c r="AA12" s="2">
        <f t="shared" si="23"/>
        <v>47.436030000000009</v>
      </c>
      <c r="AB12" s="2">
        <f t="shared" si="23"/>
        <v>42.692427000000009</v>
      </c>
      <c r="AC12" s="2">
        <f t="shared" si="23"/>
        <v>38.42318430000001</v>
      </c>
      <c r="AD12" s="2">
        <f t="shared" si="23"/>
        <v>34.580865870000011</v>
      </c>
      <c r="AE12" s="2">
        <f t="shared" si="23"/>
        <v>31.122779283000011</v>
      </c>
      <c r="AF12" s="2">
        <f t="shared" si="23"/>
        <v>28.010501354700011</v>
      </c>
      <c r="AG12" s="2">
        <f t="shared" si="23"/>
        <v>25.209451219230012</v>
      </c>
      <c r="AH12" s="2">
        <f t="shared" si="23"/>
        <v>22.688506097307013</v>
      </c>
      <c r="AI12" s="2">
        <f t="shared" si="23"/>
        <v>20.419655487576311</v>
      </c>
      <c r="AJ12" s="2">
        <f t="shared" si="23"/>
        <v>18.37768993881868</v>
      </c>
      <c r="AK12" s="2">
        <f t="shared" si="23"/>
        <v>16.539920944936814</v>
      </c>
    </row>
    <row r="13" spans="1:45" s="13" customFormat="1" x14ac:dyDescent="0.2">
      <c r="B13" s="13" t="s">
        <v>30</v>
      </c>
      <c r="C13" s="14"/>
      <c r="D13" s="14">
        <f t="shared" ref="D13" si="24">SUM(D3:D12)</f>
        <v>1872.6999999999998</v>
      </c>
      <c r="E13" s="14">
        <f t="shared" ref="E13" si="25">SUM(E3:E12)</f>
        <v>1982.2</v>
      </c>
      <c r="F13" s="14">
        <f t="shared" ref="F13" si="26">SUM(F3:F12)</f>
        <v>2085.5</v>
      </c>
      <c r="G13" s="14">
        <f>SUM(G3:G12)</f>
        <v>2080.8000000000002</v>
      </c>
      <c r="H13" s="14">
        <f t="shared" ref="H13:J13" si="27">SUM(H3:H12)</f>
        <v>2277.8000000000002</v>
      </c>
      <c r="I13" s="14">
        <f t="shared" si="27"/>
        <v>2334.1</v>
      </c>
      <c r="J13" s="14">
        <f t="shared" si="27"/>
        <v>2563.2999999999997</v>
      </c>
      <c r="K13" s="14">
        <f>SUM(K3:K12)</f>
        <v>2511.6</v>
      </c>
      <c r="L13" s="14">
        <f t="shared" ref="L13:N13" si="28">SUM(L3:L12)</f>
        <v>2754.3</v>
      </c>
      <c r="M13" s="14">
        <f t="shared" si="28"/>
        <v>2672.1790000000001</v>
      </c>
      <c r="N13" s="14">
        <f t="shared" si="28"/>
        <v>2899.7739999999994</v>
      </c>
      <c r="O13" s="14"/>
      <c r="P13" s="14"/>
      <c r="Q13" s="14"/>
      <c r="R13" s="14"/>
      <c r="S13" s="14"/>
      <c r="T13" s="14"/>
      <c r="V13" s="14">
        <f t="shared" ref="V13" si="29">SUM(V3:V12)</f>
        <v>9256</v>
      </c>
      <c r="W13" s="14">
        <f t="shared" ref="W13" si="30">SUM(W3:W12)</f>
        <v>10837.852999999999</v>
      </c>
      <c r="X13" s="14">
        <f t="shared" ref="X13" si="31">SUM(X3:X12)</f>
        <v>11836.627139999999</v>
      </c>
      <c r="Y13" s="14">
        <f t="shared" ref="Y13" si="32">SUM(Y3:Y12)</f>
        <v>13469.135200400004</v>
      </c>
      <c r="Z13" s="14">
        <f t="shared" ref="Z13" si="33">SUM(Z3:Z12)</f>
        <v>15469.990042504001</v>
      </c>
      <c r="AA13" s="14">
        <f t="shared" ref="AA13" si="34">SUM(AA3:AA12)</f>
        <v>15895.451803828804</v>
      </c>
      <c r="AB13" s="14">
        <f t="shared" ref="AB13" si="35">SUM(AB3:AB12)</f>
        <v>16382.496900992357</v>
      </c>
      <c r="AC13" s="14">
        <f t="shared" ref="AC13" si="36">SUM(AC3:AC12)</f>
        <v>16716.116166804746</v>
      </c>
      <c r="AD13" s="14">
        <f t="shared" ref="AD13" si="37">SUM(AD3:AD12)</f>
        <v>17088.524961513733</v>
      </c>
      <c r="AE13" s="14">
        <f t="shared" ref="AE13" si="38">SUM(AE3:AE12)</f>
        <v>17028.392613954129</v>
      </c>
      <c r="AF13" s="14">
        <f t="shared" ref="AF13" si="39">SUM(AF3:AF12)</f>
        <v>17004.870584809312</v>
      </c>
      <c r="AG13" s="14">
        <f t="shared" ref="AG13" si="40">SUM(AG3:AG12)</f>
        <v>10471.022623462284</v>
      </c>
      <c r="AH13" s="14">
        <f t="shared" ref="AH13" si="41">SUM(AH3:AH12)</f>
        <v>4399.8122505900246</v>
      </c>
      <c r="AI13" s="14">
        <f t="shared" ref="AI13" si="42">SUM(AI3:AI12)</f>
        <v>3766.8196047784186</v>
      </c>
      <c r="AJ13" s="14">
        <f t="shared" ref="AJ13" si="43">SUM(AJ3:AJ12)</f>
        <v>3683.3298864283165</v>
      </c>
      <c r="AK13" s="14">
        <f t="shared" ref="AK13" si="44">SUM(AK3:AK12)</f>
        <v>602.75640631240833</v>
      </c>
    </row>
    <row r="14" spans="1:45" s="2" customFormat="1" x14ac:dyDescent="0.2">
      <c r="B14" s="2" t="s">
        <v>31</v>
      </c>
      <c r="C14" s="12"/>
      <c r="D14" s="12">
        <v>98.9</v>
      </c>
      <c r="E14" s="12">
        <v>97.7</v>
      </c>
      <c r="F14" s="12">
        <v>103.2</v>
      </c>
      <c r="G14" s="12">
        <v>104</v>
      </c>
      <c r="H14" s="12">
        <v>100.8</v>
      </c>
      <c r="I14" s="12">
        <v>109.9</v>
      </c>
      <c r="J14" s="12">
        <v>105.4</v>
      </c>
      <c r="K14" s="12">
        <v>105.9</v>
      </c>
      <c r="L14" s="12">
        <v>110.9</v>
      </c>
      <c r="M14" s="12">
        <f t="shared" ref="M14:N14" si="45">+M13-M15</f>
        <v>106.88716000000022</v>
      </c>
      <c r="N14" s="12">
        <f t="shared" si="45"/>
        <v>115.99096000000009</v>
      </c>
      <c r="O14" s="12"/>
      <c r="P14" s="12"/>
      <c r="Q14" s="12"/>
      <c r="R14" s="12"/>
      <c r="S14" s="12"/>
      <c r="T14" s="12"/>
      <c r="V14" s="2">
        <f t="shared" ref="V14" si="46">SUM(G14:J14)</f>
        <v>420.1</v>
      </c>
      <c r="W14" s="2">
        <f t="shared" ref="W14" si="47">SUM(K14:N14)</f>
        <v>439.67812000000032</v>
      </c>
      <c r="X14" s="2">
        <f>+X13-X15</f>
        <v>591.83135700000093</v>
      </c>
      <c r="Y14" s="2">
        <f t="shared" ref="Y14:AK14" si="48">+Y13-Y15</f>
        <v>673.45676002000073</v>
      </c>
      <c r="Z14" s="2">
        <f t="shared" si="48"/>
        <v>773.49950212520162</v>
      </c>
      <c r="AA14" s="2">
        <f t="shared" si="48"/>
        <v>794.77259019144003</v>
      </c>
      <c r="AB14" s="2">
        <f t="shared" si="48"/>
        <v>819.12484504961867</v>
      </c>
      <c r="AC14" s="2">
        <f t="shared" si="48"/>
        <v>835.80580834023749</v>
      </c>
      <c r="AD14" s="2">
        <f t="shared" si="48"/>
        <v>854.42624807568791</v>
      </c>
      <c r="AE14" s="2">
        <f t="shared" si="48"/>
        <v>851.41963069770645</v>
      </c>
      <c r="AF14" s="2">
        <f t="shared" si="48"/>
        <v>850.24352924046616</v>
      </c>
      <c r="AG14" s="2">
        <f t="shared" si="48"/>
        <v>523.55113117311521</v>
      </c>
      <c r="AH14" s="2">
        <f t="shared" si="48"/>
        <v>219.99061252950105</v>
      </c>
      <c r="AI14" s="2">
        <f t="shared" si="48"/>
        <v>188.34098023892102</v>
      </c>
      <c r="AJ14" s="2">
        <f t="shared" si="48"/>
        <v>184.16649432141594</v>
      </c>
      <c r="AK14" s="2">
        <f t="shared" si="48"/>
        <v>30.137820315620388</v>
      </c>
    </row>
    <row r="15" spans="1:45" s="2" customFormat="1" x14ac:dyDescent="0.2">
      <c r="B15" s="2" t="s">
        <v>32</v>
      </c>
      <c r="C15" s="12"/>
      <c r="D15" s="12">
        <f t="shared" ref="D15" si="49">+D13-D14</f>
        <v>1773.7999999999997</v>
      </c>
      <c r="E15" s="12">
        <f t="shared" ref="E15:L15" si="50">+E13-E14</f>
        <v>1884.5</v>
      </c>
      <c r="F15" s="12">
        <f t="shared" si="50"/>
        <v>1982.3</v>
      </c>
      <c r="G15" s="12">
        <f t="shared" si="50"/>
        <v>1976.8000000000002</v>
      </c>
      <c r="H15" s="12">
        <f t="shared" si="50"/>
        <v>2177</v>
      </c>
      <c r="I15" s="12">
        <f t="shared" si="50"/>
        <v>2224.1999999999998</v>
      </c>
      <c r="J15" s="12">
        <f t="shared" si="50"/>
        <v>2457.8999999999996</v>
      </c>
      <c r="K15" s="12">
        <f t="shared" si="50"/>
        <v>2405.6999999999998</v>
      </c>
      <c r="L15" s="12">
        <f t="shared" si="50"/>
        <v>2643.4</v>
      </c>
      <c r="M15" s="12">
        <f t="shared" ref="M15:N15" si="51">+M13*0.96</f>
        <v>2565.2918399999999</v>
      </c>
      <c r="N15" s="12">
        <f t="shared" si="51"/>
        <v>2783.7830399999993</v>
      </c>
      <c r="O15" s="12"/>
      <c r="P15" s="12"/>
      <c r="Q15" s="12"/>
      <c r="R15" s="12"/>
      <c r="S15" s="12"/>
      <c r="T15" s="12"/>
      <c r="V15" s="12">
        <f t="shared" ref="V15:W15" si="52">+V13*0.96</f>
        <v>8885.76</v>
      </c>
      <c r="W15" s="12">
        <f t="shared" si="52"/>
        <v>10404.338879999999</v>
      </c>
      <c r="X15" s="2">
        <f>+X13*0.95</f>
        <v>11244.795782999998</v>
      </c>
      <c r="Y15" s="2">
        <f t="shared" ref="Y15:AK15" si="53">+Y13*0.95</f>
        <v>12795.678440380003</v>
      </c>
      <c r="Z15" s="2">
        <f t="shared" si="53"/>
        <v>14696.4905403788</v>
      </c>
      <c r="AA15" s="2">
        <f t="shared" si="53"/>
        <v>15100.679213637364</v>
      </c>
      <c r="AB15" s="2">
        <f t="shared" si="53"/>
        <v>15563.372055942738</v>
      </c>
      <c r="AC15" s="2">
        <f t="shared" si="53"/>
        <v>15880.310358464509</v>
      </c>
      <c r="AD15" s="2">
        <f t="shared" si="53"/>
        <v>16234.098713438045</v>
      </c>
      <c r="AE15" s="2">
        <f t="shared" si="53"/>
        <v>16176.972983256423</v>
      </c>
      <c r="AF15" s="2">
        <f t="shared" si="53"/>
        <v>16154.627055568846</v>
      </c>
      <c r="AG15" s="2">
        <f t="shared" si="53"/>
        <v>9947.471492289169</v>
      </c>
      <c r="AH15" s="2">
        <f t="shared" si="53"/>
        <v>4179.8216380605236</v>
      </c>
      <c r="AI15" s="2">
        <f t="shared" si="53"/>
        <v>3578.4786245394976</v>
      </c>
      <c r="AJ15" s="2">
        <f t="shared" si="53"/>
        <v>3499.1633921069006</v>
      </c>
      <c r="AK15" s="2">
        <f t="shared" si="53"/>
        <v>572.61858599678794</v>
      </c>
    </row>
    <row r="16" spans="1:45" s="2" customFormat="1" x14ac:dyDescent="0.2">
      <c r="B16" s="2" t="s">
        <v>33</v>
      </c>
      <c r="C16" s="12"/>
      <c r="D16" s="12">
        <v>456.9</v>
      </c>
      <c r="E16" s="12">
        <v>675.1</v>
      </c>
      <c r="F16" s="12">
        <v>584.9</v>
      </c>
      <c r="G16" s="12">
        <v>506</v>
      </c>
      <c r="H16" s="12">
        <v>1110</v>
      </c>
      <c r="I16" s="12">
        <v>1304.5</v>
      </c>
      <c r="J16" s="12">
        <v>776.8</v>
      </c>
      <c r="K16" s="12">
        <v>733.2</v>
      </c>
      <c r="L16" s="12">
        <v>948.7</v>
      </c>
      <c r="M16" s="12">
        <f t="shared" ref="M16:N16" si="54">+L16</f>
        <v>948.7</v>
      </c>
      <c r="N16" s="12">
        <f t="shared" si="54"/>
        <v>948.7</v>
      </c>
      <c r="O16" s="12"/>
      <c r="P16" s="12"/>
      <c r="Q16" s="12"/>
      <c r="R16" s="12"/>
      <c r="S16" s="12"/>
      <c r="T16" s="12"/>
      <c r="V16" s="2">
        <f t="shared" ref="V16:V17" si="55">SUM(G16:J16)</f>
        <v>3697.3</v>
      </c>
      <c r="W16" s="2">
        <f t="shared" ref="W16:W17" si="56">SUM(K16:N16)</f>
        <v>3579.3</v>
      </c>
    </row>
    <row r="17" spans="2:106" s="2" customFormat="1" x14ac:dyDescent="0.2">
      <c r="B17" s="2" t="s">
        <v>34</v>
      </c>
      <c r="C17" s="12"/>
      <c r="D17" s="12">
        <v>491.8</v>
      </c>
      <c r="E17" s="12">
        <v>497.6</v>
      </c>
      <c r="F17" s="12">
        <v>544.4</v>
      </c>
      <c r="G17" s="12">
        <v>529.20000000000005</v>
      </c>
      <c r="H17" s="12">
        <v>616.79999999999995</v>
      </c>
      <c r="I17" s="12">
        <v>550.29999999999995</v>
      </c>
      <c r="J17" s="12">
        <v>609.1</v>
      </c>
      <c r="K17" s="12">
        <v>543</v>
      </c>
      <c r="L17" s="12">
        <v>732.1</v>
      </c>
      <c r="M17" s="12">
        <f t="shared" ref="M17:N17" si="57">+I17</f>
        <v>550.29999999999995</v>
      </c>
      <c r="N17" s="12">
        <f t="shared" si="57"/>
        <v>609.1</v>
      </c>
      <c r="O17" s="12"/>
      <c r="P17" s="12"/>
      <c r="Q17" s="12"/>
      <c r="R17" s="12"/>
      <c r="S17" s="12"/>
      <c r="T17" s="12"/>
      <c r="V17" s="2">
        <f t="shared" si="55"/>
        <v>2305.4</v>
      </c>
      <c r="W17" s="2">
        <f t="shared" si="56"/>
        <v>2434.5</v>
      </c>
      <c r="X17" s="2">
        <f>+X13*0.2</f>
        <v>2367.3254279999996</v>
      </c>
      <c r="Y17" s="2">
        <f t="shared" ref="Y17:AK17" si="58">+Y13*0.2</f>
        <v>2693.8270400800011</v>
      </c>
      <c r="Z17" s="2">
        <f t="shared" si="58"/>
        <v>3093.9980085008006</v>
      </c>
      <c r="AA17" s="2">
        <f t="shared" si="58"/>
        <v>3179.090360765761</v>
      </c>
      <c r="AB17" s="2">
        <f t="shared" si="58"/>
        <v>3276.4993801984715</v>
      </c>
      <c r="AC17" s="2">
        <f t="shared" si="58"/>
        <v>3343.2232333609495</v>
      </c>
      <c r="AD17" s="2">
        <f t="shared" si="58"/>
        <v>3417.7049923027466</v>
      </c>
      <c r="AE17" s="2">
        <f t="shared" si="58"/>
        <v>3405.6785227908258</v>
      </c>
      <c r="AF17" s="2">
        <f t="shared" si="58"/>
        <v>3400.9741169618628</v>
      </c>
      <c r="AG17" s="2">
        <f t="shared" si="58"/>
        <v>2094.2045246924567</v>
      </c>
      <c r="AH17" s="2">
        <f t="shared" si="58"/>
        <v>879.96245011800499</v>
      </c>
      <c r="AI17" s="2">
        <f t="shared" si="58"/>
        <v>753.36392095568374</v>
      </c>
      <c r="AJ17" s="2">
        <f t="shared" si="58"/>
        <v>736.6659772856633</v>
      </c>
      <c r="AK17" s="2">
        <f t="shared" si="58"/>
        <v>120.55128126248167</v>
      </c>
    </row>
    <row r="18" spans="2:106" s="2" customFormat="1" x14ac:dyDescent="0.2">
      <c r="B18" s="2" t="s">
        <v>35</v>
      </c>
      <c r="C18" s="12"/>
      <c r="D18" s="12">
        <f t="shared" ref="D18" si="59">+D17+D16</f>
        <v>948.7</v>
      </c>
      <c r="E18" s="12">
        <f t="shared" ref="E18:K18" si="60">+E17+E16</f>
        <v>1172.7</v>
      </c>
      <c r="F18" s="12">
        <f t="shared" si="60"/>
        <v>1129.3</v>
      </c>
      <c r="G18" s="12">
        <f t="shared" si="60"/>
        <v>1035.2</v>
      </c>
      <c r="H18" s="12">
        <f t="shared" si="60"/>
        <v>1726.8</v>
      </c>
      <c r="I18" s="12">
        <f t="shared" si="60"/>
        <v>1854.8</v>
      </c>
      <c r="J18" s="12">
        <f t="shared" si="60"/>
        <v>1385.9</v>
      </c>
      <c r="K18" s="12">
        <f t="shared" si="60"/>
        <v>1276.2</v>
      </c>
      <c r="L18" s="12">
        <f t="shared" ref="L18:N18" si="61">+L17+L16</f>
        <v>1680.8000000000002</v>
      </c>
      <c r="M18" s="12">
        <f t="shared" si="61"/>
        <v>1499</v>
      </c>
      <c r="N18" s="12">
        <f t="shared" si="61"/>
        <v>1557.8000000000002</v>
      </c>
      <c r="O18" s="12"/>
      <c r="P18" s="12"/>
      <c r="Q18" s="12"/>
      <c r="R18" s="12"/>
      <c r="S18" s="12"/>
      <c r="T18" s="12"/>
      <c r="V18" s="12">
        <f t="shared" ref="V18:W18" si="62">+V17+V16</f>
        <v>6002.7000000000007</v>
      </c>
      <c r="W18" s="12">
        <f t="shared" si="62"/>
        <v>6013.8</v>
      </c>
      <c r="X18" s="12">
        <f t="shared" ref="X18" si="63">+X17+X16</f>
        <v>2367.3254279999996</v>
      </c>
      <c r="Y18" s="12">
        <f t="shared" ref="Y18" si="64">+Y17+Y16</f>
        <v>2693.8270400800011</v>
      </c>
      <c r="Z18" s="12">
        <f t="shared" ref="Z18" si="65">+Z17+Z16</f>
        <v>3093.9980085008006</v>
      </c>
      <c r="AA18" s="12">
        <f t="shared" ref="AA18" si="66">+AA17+AA16</f>
        <v>3179.090360765761</v>
      </c>
      <c r="AB18" s="12">
        <f t="shared" ref="AB18" si="67">+AB17+AB16</f>
        <v>3276.4993801984715</v>
      </c>
      <c r="AC18" s="12">
        <f t="shared" ref="AC18" si="68">+AC17+AC16</f>
        <v>3343.2232333609495</v>
      </c>
      <c r="AD18" s="12">
        <f t="shared" ref="AD18" si="69">+AD17+AD16</f>
        <v>3417.7049923027466</v>
      </c>
      <c r="AE18" s="12">
        <f t="shared" ref="AE18" si="70">+AE17+AE16</f>
        <v>3405.6785227908258</v>
      </c>
      <c r="AF18" s="12">
        <f t="shared" ref="AF18" si="71">+AF17+AF16</f>
        <v>3400.9741169618628</v>
      </c>
      <c r="AG18" s="12">
        <f t="shared" ref="AG18" si="72">+AG17+AG16</f>
        <v>2094.2045246924567</v>
      </c>
      <c r="AH18" s="12">
        <f t="shared" ref="AH18" si="73">+AH17+AH16</f>
        <v>879.96245011800499</v>
      </c>
      <c r="AI18" s="12">
        <f t="shared" ref="AI18" si="74">+AI17+AI16</f>
        <v>753.36392095568374</v>
      </c>
      <c r="AJ18" s="12">
        <f t="shared" ref="AJ18" si="75">+AJ17+AJ16</f>
        <v>736.6659772856633</v>
      </c>
      <c r="AK18" s="12">
        <f t="shared" ref="AK18" si="76">+AK17+AK16</f>
        <v>120.55128126248167</v>
      </c>
    </row>
    <row r="19" spans="2:106" s="2" customFormat="1" x14ac:dyDescent="0.2">
      <c r="B19" s="2" t="s">
        <v>36</v>
      </c>
      <c r="C19" s="12"/>
      <c r="D19" s="12">
        <f t="shared" ref="D19" si="77">+D15-D18</f>
        <v>825.09999999999968</v>
      </c>
      <c r="E19" s="12">
        <f t="shared" ref="E19:K19" si="78">+E15-E18</f>
        <v>711.8</v>
      </c>
      <c r="F19" s="12">
        <f t="shared" si="78"/>
        <v>853</v>
      </c>
      <c r="G19" s="12">
        <f t="shared" si="78"/>
        <v>941.60000000000014</v>
      </c>
      <c r="H19" s="12">
        <f t="shared" si="78"/>
        <v>450.20000000000005</v>
      </c>
      <c r="I19" s="12">
        <f t="shared" si="78"/>
        <v>369.39999999999986</v>
      </c>
      <c r="J19" s="12">
        <f t="shared" si="78"/>
        <v>1071.9999999999995</v>
      </c>
      <c r="K19" s="12">
        <f t="shared" si="78"/>
        <v>1129.4999999999998</v>
      </c>
      <c r="L19" s="12">
        <f t="shared" ref="L19:N19" si="79">+L15-L18</f>
        <v>962.59999999999991</v>
      </c>
      <c r="M19" s="12">
        <f t="shared" si="79"/>
        <v>1066.2918399999999</v>
      </c>
      <c r="N19" s="12">
        <f t="shared" si="79"/>
        <v>1225.9830399999992</v>
      </c>
      <c r="O19" s="12"/>
      <c r="P19" s="12"/>
      <c r="Q19" s="12"/>
      <c r="R19" s="12"/>
      <c r="S19" s="12"/>
      <c r="T19" s="12"/>
      <c r="V19" s="12">
        <f t="shared" ref="V19:W19" si="80">+V15-V18</f>
        <v>2883.0599999999995</v>
      </c>
      <c r="W19" s="12">
        <f t="shared" si="80"/>
        <v>4390.5388799999992</v>
      </c>
      <c r="X19" s="12">
        <f t="shared" ref="X19" si="81">+X15-X18</f>
        <v>8877.4703549999977</v>
      </c>
      <c r="Y19" s="12">
        <f t="shared" ref="Y19" si="82">+Y15-Y18</f>
        <v>10101.851400300002</v>
      </c>
      <c r="Z19" s="12">
        <f t="shared" ref="Z19" si="83">+Z15-Z18</f>
        <v>11602.492531877999</v>
      </c>
      <c r="AA19" s="12">
        <f t="shared" ref="AA19" si="84">+AA15-AA18</f>
        <v>11921.588852871602</v>
      </c>
      <c r="AB19" s="12">
        <f t="shared" ref="AB19" si="85">+AB15-AB18</f>
        <v>12286.872675744267</v>
      </c>
      <c r="AC19" s="12">
        <f t="shared" ref="AC19" si="86">+AC15-AC18</f>
        <v>12537.087125103559</v>
      </c>
      <c r="AD19" s="12">
        <f t="shared" ref="AD19" si="87">+AD15-AD18</f>
        <v>12816.393721135299</v>
      </c>
      <c r="AE19" s="12">
        <f t="shared" ref="AE19" si="88">+AE15-AE18</f>
        <v>12771.294460465597</v>
      </c>
      <c r="AF19" s="12">
        <f t="shared" ref="AF19" si="89">+AF15-AF18</f>
        <v>12753.652938606983</v>
      </c>
      <c r="AG19" s="12">
        <f t="shared" ref="AG19" si="90">+AG15-AG18</f>
        <v>7853.2669675967118</v>
      </c>
      <c r="AH19" s="12">
        <f t="shared" ref="AH19" si="91">+AH15-AH18</f>
        <v>3299.8591879425185</v>
      </c>
      <c r="AI19" s="12">
        <f t="shared" ref="AI19" si="92">+AI15-AI18</f>
        <v>2825.1147035838139</v>
      </c>
      <c r="AJ19" s="12">
        <f t="shared" ref="AJ19" si="93">+AJ15-AJ18</f>
        <v>2762.4974148212373</v>
      </c>
      <c r="AK19" s="12">
        <f t="shared" ref="AK19" si="94">+AK15-AK18</f>
        <v>452.06730473430628</v>
      </c>
    </row>
    <row r="20" spans="2:106" s="2" customFormat="1" x14ac:dyDescent="0.2">
      <c r="B20" s="2" t="s">
        <v>37</v>
      </c>
      <c r="C20" s="12"/>
      <c r="D20" s="12">
        <f>7.3-41.6-17.8</f>
        <v>-52.100000000000009</v>
      </c>
      <c r="E20" s="12">
        <f>6.9-53.5-22.5</f>
        <v>-69.099999999999994</v>
      </c>
      <c r="F20" s="12">
        <f>7.6-51.7+3.2</f>
        <v>-40.9</v>
      </c>
      <c r="G20" s="12">
        <f>-49.2+9+8.3</f>
        <v>-31.900000000000002</v>
      </c>
      <c r="H20" s="12">
        <f>8.8-48.3+94.5</f>
        <v>55</v>
      </c>
      <c r="I20" s="12">
        <f>8.6-88.5-19.6</f>
        <v>-99.5</v>
      </c>
      <c r="J20" s="12">
        <f>4.7-124.6-34.8</f>
        <v>-154.69999999999999</v>
      </c>
      <c r="K20" s="12">
        <f>6.8-121.9+35.2</f>
        <v>-79.900000000000006</v>
      </c>
      <c r="L20" s="12">
        <f>7.2-123.3-12.5</f>
        <v>-128.6</v>
      </c>
      <c r="M20" s="12">
        <f t="shared" ref="M20:N20" si="95">+L20</f>
        <v>-128.6</v>
      </c>
      <c r="N20" s="12">
        <f t="shared" si="95"/>
        <v>-128.6</v>
      </c>
      <c r="O20" s="12"/>
      <c r="P20" s="12"/>
      <c r="Q20" s="12"/>
      <c r="R20" s="12"/>
      <c r="S20" s="12"/>
      <c r="T20" s="12"/>
      <c r="V20" s="2">
        <f t="shared" ref="V20" si="96">SUM(G20:J20)</f>
        <v>-231.1</v>
      </c>
      <c r="W20" s="2">
        <f t="shared" ref="W20" si="97">SUM(K20:N20)</f>
        <v>-465.70000000000005</v>
      </c>
    </row>
    <row r="21" spans="2:106" s="2" customFormat="1" x14ac:dyDescent="0.2">
      <c r="B21" s="2" t="s">
        <v>38</v>
      </c>
      <c r="C21" s="12"/>
      <c r="D21" s="12">
        <f t="shared" ref="D21" si="98">+D19+D20</f>
        <v>772.99999999999966</v>
      </c>
      <c r="E21" s="12">
        <f t="shared" ref="E21:K21" si="99">+E19+E20</f>
        <v>642.69999999999993</v>
      </c>
      <c r="F21" s="12">
        <f t="shared" si="99"/>
        <v>812.1</v>
      </c>
      <c r="G21" s="12">
        <f t="shared" si="99"/>
        <v>909.70000000000016</v>
      </c>
      <c r="H21" s="12">
        <f t="shared" si="99"/>
        <v>505.20000000000005</v>
      </c>
      <c r="I21" s="12">
        <f t="shared" si="99"/>
        <v>269.89999999999986</v>
      </c>
      <c r="J21" s="12">
        <f t="shared" si="99"/>
        <v>917.2999999999995</v>
      </c>
      <c r="K21" s="12">
        <f t="shared" si="99"/>
        <v>1049.5999999999997</v>
      </c>
      <c r="L21" s="12">
        <f t="shared" ref="L21:N21" si="100">+L19+L20</f>
        <v>833.99999999999989</v>
      </c>
      <c r="M21" s="12">
        <f t="shared" si="100"/>
        <v>937.69183999999984</v>
      </c>
      <c r="N21" s="12">
        <f t="shared" si="100"/>
        <v>1097.3830399999993</v>
      </c>
      <c r="O21" s="12"/>
      <c r="P21" s="12"/>
      <c r="Q21" s="12"/>
      <c r="R21" s="12"/>
      <c r="S21" s="12"/>
      <c r="T21" s="12"/>
      <c r="V21" s="12">
        <f t="shared" ref="V21" si="101">+V19+V20</f>
        <v>2651.9599999999996</v>
      </c>
      <c r="W21" s="12">
        <f t="shared" ref="W21" si="102">+W19+W20</f>
        <v>3924.8388799999993</v>
      </c>
      <c r="X21" s="12">
        <f t="shared" ref="X21" si="103">+X19+X20</f>
        <v>8877.4703549999977</v>
      </c>
      <c r="Y21" s="12">
        <f t="shared" ref="Y21" si="104">+Y19+Y20</f>
        <v>10101.851400300002</v>
      </c>
      <c r="Z21" s="12">
        <f t="shared" ref="Z21" si="105">+Z19+Z20</f>
        <v>11602.492531877999</v>
      </c>
      <c r="AA21" s="12">
        <f t="shared" ref="AA21" si="106">+AA19+AA20</f>
        <v>11921.588852871602</v>
      </c>
      <c r="AB21" s="12">
        <f t="shared" ref="AB21" si="107">+AB19+AB20</f>
        <v>12286.872675744267</v>
      </c>
      <c r="AC21" s="12">
        <f t="shared" ref="AC21" si="108">+AC19+AC20</f>
        <v>12537.087125103559</v>
      </c>
      <c r="AD21" s="12">
        <f t="shared" ref="AD21" si="109">+AD19+AD20</f>
        <v>12816.393721135299</v>
      </c>
      <c r="AE21" s="12">
        <f t="shared" ref="AE21" si="110">+AE19+AE20</f>
        <v>12771.294460465597</v>
      </c>
      <c r="AF21" s="12">
        <f t="shared" ref="AF21" si="111">+AF19+AF20</f>
        <v>12753.652938606983</v>
      </c>
      <c r="AG21" s="12">
        <f t="shared" ref="AG21" si="112">+AG19+AG20</f>
        <v>7853.2669675967118</v>
      </c>
      <c r="AH21" s="12">
        <f t="shared" ref="AH21" si="113">+AH19+AH20</f>
        <v>3299.8591879425185</v>
      </c>
      <c r="AI21" s="12">
        <f t="shared" ref="AI21" si="114">+AI19+AI20</f>
        <v>2825.1147035838139</v>
      </c>
      <c r="AJ21" s="12">
        <f t="shared" ref="AJ21" si="115">+AJ19+AJ20</f>
        <v>2762.4974148212373</v>
      </c>
      <c r="AK21" s="12">
        <f t="shared" ref="AK21" si="116">+AK19+AK20</f>
        <v>452.06730473430628</v>
      </c>
    </row>
    <row r="22" spans="2:106" s="2" customFormat="1" x14ac:dyDescent="0.2">
      <c r="B22" s="2" t="s">
        <v>39</v>
      </c>
      <c r="C22" s="12"/>
      <c r="D22" s="12">
        <v>109</v>
      </c>
      <c r="E22" s="12">
        <v>69</v>
      </c>
      <c r="F22" s="12">
        <v>96.9</v>
      </c>
      <c r="G22" s="12">
        <v>108.2</v>
      </c>
      <c r="H22" s="12">
        <v>114.6</v>
      </c>
      <c r="I22" s="12">
        <v>14.2</v>
      </c>
      <c r="J22" s="12">
        <v>184.5</v>
      </c>
      <c r="K22" s="12">
        <v>120.9</v>
      </c>
      <c r="L22" s="12">
        <v>96.9</v>
      </c>
      <c r="M22" s="12">
        <f t="shared" ref="M22:N22" si="117">+M21*0.1</f>
        <v>93.769183999999996</v>
      </c>
      <c r="N22" s="12">
        <f t="shared" si="117"/>
        <v>109.73830399999993</v>
      </c>
      <c r="O22" s="12"/>
      <c r="P22" s="12"/>
      <c r="Q22" s="12"/>
      <c r="R22" s="12"/>
      <c r="S22" s="12"/>
      <c r="T22" s="12"/>
      <c r="V22" s="2">
        <f t="shared" ref="V22" si="118">SUM(G22:J22)</f>
        <v>421.5</v>
      </c>
      <c r="W22" s="2">
        <f t="shared" ref="W22" si="119">SUM(K22:N22)</f>
        <v>421.30748799999992</v>
      </c>
      <c r="X22" s="2">
        <f>+X21*0.1</f>
        <v>887.74703549999981</v>
      </c>
      <c r="Y22" s="2">
        <f t="shared" ref="Y22:AK22" si="120">+Y21*0.1</f>
        <v>1010.1851400300002</v>
      </c>
      <c r="Z22" s="2">
        <f t="shared" si="120"/>
        <v>1160.2492531877999</v>
      </c>
      <c r="AA22" s="2">
        <f t="shared" si="120"/>
        <v>1192.1588852871603</v>
      </c>
      <c r="AB22" s="2">
        <f t="shared" si="120"/>
        <v>1228.6872675744269</v>
      </c>
      <c r="AC22" s="2">
        <f t="shared" si="120"/>
        <v>1253.708712510356</v>
      </c>
      <c r="AD22" s="2">
        <f t="shared" si="120"/>
        <v>1281.63937211353</v>
      </c>
      <c r="AE22" s="2">
        <f t="shared" si="120"/>
        <v>1277.1294460465597</v>
      </c>
      <c r="AF22" s="2">
        <f t="shared" si="120"/>
        <v>1275.3652938606983</v>
      </c>
      <c r="AG22" s="2">
        <f t="shared" si="120"/>
        <v>785.32669675967122</v>
      </c>
      <c r="AH22" s="2">
        <f t="shared" si="120"/>
        <v>329.98591879425186</v>
      </c>
      <c r="AI22" s="2">
        <f t="shared" si="120"/>
        <v>282.51147035838142</v>
      </c>
      <c r="AJ22" s="2">
        <f t="shared" si="120"/>
        <v>276.24974148212374</v>
      </c>
      <c r="AK22" s="2">
        <f t="shared" si="120"/>
        <v>45.206730473430632</v>
      </c>
    </row>
    <row r="23" spans="2:106" s="2" customFormat="1" x14ac:dyDescent="0.2">
      <c r="B23" s="2" t="s">
        <v>40</v>
      </c>
      <c r="C23" s="12"/>
      <c r="D23" s="12">
        <f t="shared" ref="D23" si="121">+D21-D22</f>
        <v>663.99999999999966</v>
      </c>
      <c r="E23" s="12">
        <f t="shared" ref="E23:K23" si="122">+E21-E22</f>
        <v>573.69999999999993</v>
      </c>
      <c r="F23" s="12">
        <f t="shared" si="122"/>
        <v>715.2</v>
      </c>
      <c r="G23" s="12">
        <f t="shared" si="122"/>
        <v>801.50000000000011</v>
      </c>
      <c r="H23" s="12">
        <f t="shared" si="122"/>
        <v>390.6</v>
      </c>
      <c r="I23" s="12">
        <f t="shared" si="122"/>
        <v>255.69999999999987</v>
      </c>
      <c r="J23" s="12">
        <f t="shared" si="122"/>
        <v>732.7999999999995</v>
      </c>
      <c r="K23" s="12">
        <f t="shared" si="122"/>
        <v>928.6999999999997</v>
      </c>
      <c r="L23" s="12">
        <f t="shared" ref="L23:N23" si="123">+L21-L22</f>
        <v>737.09999999999991</v>
      </c>
      <c r="M23" s="12">
        <f t="shared" si="123"/>
        <v>843.92265599999985</v>
      </c>
      <c r="N23" s="12">
        <f t="shared" si="123"/>
        <v>987.64473599999928</v>
      </c>
      <c r="O23" s="12"/>
      <c r="P23" s="12"/>
      <c r="Q23" s="12"/>
      <c r="R23" s="12"/>
      <c r="S23" s="12"/>
      <c r="T23" s="12"/>
      <c r="V23" s="12">
        <f t="shared" ref="V23:W23" si="124">+V21-V22</f>
        <v>2230.4599999999996</v>
      </c>
      <c r="W23" s="12">
        <f t="shared" si="124"/>
        <v>3503.5313919999994</v>
      </c>
      <c r="X23" s="12">
        <f t="shared" ref="X23" si="125">+X21-X22</f>
        <v>7989.7233194999981</v>
      </c>
      <c r="Y23" s="12">
        <f t="shared" ref="Y23" si="126">+Y21-Y22</f>
        <v>9091.6662602700017</v>
      </c>
      <c r="Z23" s="12">
        <f t="shared" ref="Z23" si="127">+Z21-Z22</f>
        <v>10442.243278690199</v>
      </c>
      <c r="AA23" s="12">
        <f t="shared" ref="AA23" si="128">+AA21-AA22</f>
        <v>10729.429967584441</v>
      </c>
      <c r="AB23" s="12">
        <f t="shared" ref="AB23" si="129">+AB21-AB22</f>
        <v>11058.18540816984</v>
      </c>
      <c r="AC23" s="12">
        <f t="shared" ref="AC23" si="130">+AC21-AC22</f>
        <v>11283.378412593203</v>
      </c>
      <c r="AD23" s="12">
        <f t="shared" ref="AD23" si="131">+AD21-AD22</f>
        <v>11534.754349021769</v>
      </c>
      <c r="AE23" s="12">
        <f t="shared" ref="AE23" si="132">+AE21-AE22</f>
        <v>11494.165014419037</v>
      </c>
      <c r="AF23" s="12">
        <f t="shared" ref="AF23" si="133">+AF21-AF22</f>
        <v>11478.287644746284</v>
      </c>
      <c r="AG23" s="12">
        <f t="shared" ref="AG23" si="134">+AG21-AG22</f>
        <v>7067.9402708370408</v>
      </c>
      <c r="AH23" s="12">
        <f t="shared" ref="AH23" si="135">+AH21-AH22</f>
        <v>2969.8732691482664</v>
      </c>
      <c r="AI23" s="12">
        <f t="shared" ref="AI23" si="136">+AI21-AI22</f>
        <v>2542.6032332254326</v>
      </c>
      <c r="AJ23" s="12">
        <f t="shared" ref="AJ23" si="137">+AJ21-AJ22</f>
        <v>2486.2476733391136</v>
      </c>
      <c r="AK23" s="12">
        <f t="shared" ref="AK23" si="138">+AK21-AK22</f>
        <v>406.86057426087564</v>
      </c>
      <c r="AL23" s="2">
        <f>+AK23*(1+$AN$25)</f>
        <v>402.79196851826686</v>
      </c>
      <c r="AM23" s="2">
        <f t="shared" ref="AM23:CX23" si="139">+AL23*(1+$AN$25)</f>
        <v>398.76404883308419</v>
      </c>
      <c r="AN23" s="2">
        <f t="shared" si="139"/>
        <v>394.77640834475335</v>
      </c>
      <c r="AO23" s="2">
        <f t="shared" si="139"/>
        <v>390.82864426130584</v>
      </c>
      <c r="AP23" s="2">
        <f t="shared" si="139"/>
        <v>386.92035781869276</v>
      </c>
      <c r="AQ23" s="2">
        <f t="shared" si="139"/>
        <v>383.05115424050581</v>
      </c>
      <c r="AR23" s="2">
        <f t="shared" si="139"/>
        <v>379.22064269810073</v>
      </c>
      <c r="AS23" s="2">
        <f t="shared" si="139"/>
        <v>375.42843627111972</v>
      </c>
      <c r="AT23" s="2">
        <f t="shared" si="139"/>
        <v>371.67415190840853</v>
      </c>
      <c r="AU23" s="2">
        <f t="shared" si="139"/>
        <v>367.95741038932442</v>
      </c>
      <c r="AV23" s="2">
        <f t="shared" si="139"/>
        <v>364.27783628543119</v>
      </c>
      <c r="AW23" s="2">
        <f t="shared" si="139"/>
        <v>360.63505792257689</v>
      </c>
      <c r="AX23" s="2">
        <f t="shared" si="139"/>
        <v>357.02870734335113</v>
      </c>
      <c r="AY23" s="2">
        <f t="shared" si="139"/>
        <v>353.45842026991761</v>
      </c>
      <c r="AZ23" s="2">
        <f t="shared" si="139"/>
        <v>349.92383606721842</v>
      </c>
      <c r="BA23" s="2">
        <f t="shared" si="139"/>
        <v>346.42459770654625</v>
      </c>
      <c r="BB23" s="2">
        <f t="shared" si="139"/>
        <v>342.96035172948081</v>
      </c>
      <c r="BC23" s="2">
        <f t="shared" si="139"/>
        <v>339.53074821218598</v>
      </c>
      <c r="BD23" s="2">
        <f t="shared" si="139"/>
        <v>336.13544073006415</v>
      </c>
      <c r="BE23" s="2">
        <f t="shared" si="139"/>
        <v>332.77408632276348</v>
      </c>
      <c r="BF23" s="2">
        <f t="shared" si="139"/>
        <v>329.44634545953585</v>
      </c>
      <c r="BG23" s="2">
        <f t="shared" si="139"/>
        <v>326.15188200494049</v>
      </c>
      <c r="BH23" s="2">
        <f t="shared" si="139"/>
        <v>322.8903631848911</v>
      </c>
      <c r="BI23" s="2">
        <f t="shared" si="139"/>
        <v>319.66145955304216</v>
      </c>
      <c r="BJ23" s="2">
        <f t="shared" si="139"/>
        <v>316.46484495751173</v>
      </c>
      <c r="BK23" s="2">
        <f t="shared" si="139"/>
        <v>313.30019650793662</v>
      </c>
      <c r="BL23" s="2">
        <f t="shared" si="139"/>
        <v>310.16719454285726</v>
      </c>
      <c r="BM23" s="2">
        <f t="shared" si="139"/>
        <v>307.0655225974287</v>
      </c>
      <c r="BN23" s="2">
        <f t="shared" si="139"/>
        <v>303.9948673714544</v>
      </c>
      <c r="BO23" s="2">
        <f t="shared" si="139"/>
        <v>300.95491869773986</v>
      </c>
      <c r="BP23" s="2">
        <f t="shared" si="139"/>
        <v>297.94536951076248</v>
      </c>
      <c r="BQ23" s="2">
        <f t="shared" si="139"/>
        <v>294.96591581565485</v>
      </c>
      <c r="BR23" s="2">
        <f t="shared" si="139"/>
        <v>292.01625665749827</v>
      </c>
      <c r="BS23" s="2">
        <f t="shared" si="139"/>
        <v>289.09609409092332</v>
      </c>
      <c r="BT23" s="2">
        <f t="shared" si="139"/>
        <v>286.20513315001409</v>
      </c>
      <c r="BU23" s="2">
        <f t="shared" si="139"/>
        <v>283.34308181851395</v>
      </c>
      <c r="BV23" s="2">
        <f t="shared" si="139"/>
        <v>280.5096510003288</v>
      </c>
      <c r="BW23" s="2">
        <f t="shared" si="139"/>
        <v>277.70455449032551</v>
      </c>
      <c r="BX23" s="2">
        <f t="shared" si="139"/>
        <v>274.92750894542223</v>
      </c>
      <c r="BY23" s="2">
        <f t="shared" si="139"/>
        <v>272.17823385596802</v>
      </c>
      <c r="BZ23" s="2">
        <f t="shared" si="139"/>
        <v>269.45645151740831</v>
      </c>
      <c r="CA23" s="2">
        <f t="shared" si="139"/>
        <v>266.76188700223423</v>
      </c>
      <c r="CB23" s="2">
        <f t="shared" si="139"/>
        <v>264.09426813221188</v>
      </c>
      <c r="CC23" s="2">
        <f t="shared" si="139"/>
        <v>261.45332545088974</v>
      </c>
      <c r="CD23" s="2">
        <f t="shared" si="139"/>
        <v>258.83879219638084</v>
      </c>
      <c r="CE23" s="2">
        <f t="shared" si="139"/>
        <v>256.25040427441701</v>
      </c>
      <c r="CF23" s="2">
        <f t="shared" si="139"/>
        <v>253.68790023167284</v>
      </c>
      <c r="CG23" s="2">
        <f t="shared" si="139"/>
        <v>251.1510212293561</v>
      </c>
      <c r="CH23" s="2">
        <f t="shared" si="139"/>
        <v>248.63951101706255</v>
      </c>
      <c r="CI23" s="2">
        <f t="shared" si="139"/>
        <v>246.15311590689191</v>
      </c>
      <c r="CJ23" s="2">
        <f t="shared" si="139"/>
        <v>243.69158474782299</v>
      </c>
      <c r="CK23" s="2">
        <f t="shared" si="139"/>
        <v>241.25466890034477</v>
      </c>
      <c r="CL23" s="2">
        <f t="shared" si="139"/>
        <v>238.84212221134132</v>
      </c>
      <c r="CM23" s="2">
        <f t="shared" si="139"/>
        <v>236.45370098922791</v>
      </c>
      <c r="CN23" s="2">
        <f t="shared" si="139"/>
        <v>234.08916397933564</v>
      </c>
      <c r="CO23" s="2">
        <f t="shared" si="139"/>
        <v>231.74827233954227</v>
      </c>
      <c r="CP23" s="2">
        <f t="shared" si="139"/>
        <v>229.43078961614685</v>
      </c>
      <c r="CQ23" s="2">
        <f t="shared" si="139"/>
        <v>227.13648171998537</v>
      </c>
      <c r="CR23" s="2">
        <f t="shared" si="139"/>
        <v>224.8651169027855</v>
      </c>
      <c r="CS23" s="2">
        <f t="shared" si="139"/>
        <v>222.61646573375765</v>
      </c>
      <c r="CT23" s="2">
        <f t="shared" si="139"/>
        <v>220.39030107642006</v>
      </c>
      <c r="CU23" s="2">
        <f t="shared" si="139"/>
        <v>218.18639806565585</v>
      </c>
      <c r="CV23" s="2">
        <f t="shared" si="139"/>
        <v>216.00453408499928</v>
      </c>
      <c r="CW23" s="2">
        <f t="shared" si="139"/>
        <v>213.84448874414929</v>
      </c>
      <c r="CX23" s="2">
        <f t="shared" si="139"/>
        <v>211.70604385670779</v>
      </c>
      <c r="CY23" s="2">
        <f t="shared" ref="CY23:DB23" si="140">+CX23*(1+$AN$25)</f>
        <v>209.58898341814071</v>
      </c>
      <c r="CZ23" s="2">
        <f t="shared" si="140"/>
        <v>207.49309358395931</v>
      </c>
      <c r="DA23" s="2">
        <f t="shared" si="140"/>
        <v>205.4181626481197</v>
      </c>
      <c r="DB23" s="2">
        <f t="shared" si="140"/>
        <v>203.36398102163849</v>
      </c>
    </row>
    <row r="24" spans="2:106" x14ac:dyDescent="0.2">
      <c r="B24" s="2" t="s">
        <v>41</v>
      </c>
      <c r="D24" s="15">
        <f t="shared" ref="D24" si="141">D23/D25</f>
        <v>0.79903730445246646</v>
      </c>
      <c r="E24" s="15">
        <f t="shared" ref="E24:K24" si="142">E23/E25</f>
        <v>0.68888088376560996</v>
      </c>
      <c r="F24" s="15">
        <f t="shared" si="142"/>
        <v>0.85693745506829622</v>
      </c>
      <c r="G24" s="15">
        <f t="shared" si="142"/>
        <v>0.96091595731926638</v>
      </c>
      <c r="H24" s="15">
        <f t="shared" si="142"/>
        <v>0.47328244274809167</v>
      </c>
      <c r="I24" s="15">
        <f t="shared" si="142"/>
        <v>0.32322083175325478</v>
      </c>
      <c r="J24" s="15">
        <f t="shared" si="142"/>
        <v>0.89748928352724988</v>
      </c>
      <c r="K24" s="15">
        <f t="shared" si="142"/>
        <v>1.1498080970657418</v>
      </c>
      <c r="L24" s="15">
        <f t="shared" ref="L24:N24" si="143">L23/L25</f>
        <v>0.91965065502183396</v>
      </c>
      <c r="M24" s="15">
        <f t="shared" si="143"/>
        <v>1.0529290779787897</v>
      </c>
      <c r="N24" s="15">
        <f t="shared" si="143"/>
        <v>1.2322454597629435</v>
      </c>
      <c r="V24" s="15">
        <f t="shared" ref="V24:X24" si="144">V23/V25</f>
        <v>2.7308968472604831</v>
      </c>
      <c r="W24" s="15">
        <f t="shared" si="144"/>
        <v>4.3627811369155092</v>
      </c>
      <c r="X24" s="15">
        <f t="shared" si="144"/>
        <v>9.949222737687565</v>
      </c>
      <c r="Y24" s="15">
        <f t="shared" ref="Y24" si="145">Y23/Y25</f>
        <v>11.321419911923295</v>
      </c>
      <c r="Z24" s="15">
        <f t="shared" ref="Z24" si="146">Z23/Z25</f>
        <v>13.003229286707178</v>
      </c>
      <c r="AA24" s="15">
        <f t="shared" ref="AA24" si="147">AA23/AA25</f>
        <v>13.360849221822354</v>
      </c>
      <c r="AB24" s="15">
        <f t="shared" ref="AB24" si="148">AB23/AB25</f>
        <v>13.770232747861082</v>
      </c>
      <c r="AC24" s="15">
        <f t="shared" ref="AC24" si="149">AC23/AC25</f>
        <v>14.050654893958288</v>
      </c>
      <c r="AD24" s="15">
        <f t="shared" ref="AD24" si="150">AD23/AD25</f>
        <v>14.363681400936143</v>
      </c>
      <c r="AE24" s="15">
        <f t="shared" ref="AE24" si="151">AE23/AE25</f>
        <v>14.313137431565952</v>
      </c>
      <c r="AF24" s="15">
        <f t="shared" ref="AF24" si="152">AF23/AF25</f>
        <v>14.29336609768543</v>
      </c>
      <c r="AG24" s="15">
        <f t="shared" ref="AG24" si="153">AG23/AG25</f>
        <v>8.8013701149829284</v>
      </c>
      <c r="AH24" s="15">
        <f t="shared" ref="AH24" si="154">AH23/AH25</f>
        <v>3.6982420386629307</v>
      </c>
      <c r="AI24" s="15">
        <f t="shared" ref="AI24" si="155">AI23/AI25</f>
        <v>3.1661829689626209</v>
      </c>
      <c r="AJ24" s="15">
        <f t="shared" ref="AJ24" si="156">AJ23/AJ25</f>
        <v>3.0960060685375925</v>
      </c>
      <c r="AK24" s="15">
        <f t="shared" ref="AK24" si="157">AK23/AK25</f>
        <v>0.5066441370535778</v>
      </c>
    </row>
    <row r="25" spans="2:106" s="2" customFormat="1" x14ac:dyDescent="0.2">
      <c r="B25" s="2" t="s">
        <v>1</v>
      </c>
      <c r="C25" s="12"/>
      <c r="D25" s="12">
        <v>831</v>
      </c>
      <c r="E25" s="12">
        <v>832.8</v>
      </c>
      <c r="F25" s="12">
        <v>834.6</v>
      </c>
      <c r="G25" s="12">
        <v>834.1</v>
      </c>
      <c r="H25" s="12">
        <v>825.3</v>
      </c>
      <c r="I25" s="12">
        <v>791.1</v>
      </c>
      <c r="J25" s="12">
        <v>816.5</v>
      </c>
      <c r="K25" s="12">
        <v>807.7</v>
      </c>
      <c r="L25" s="12">
        <v>801.5</v>
      </c>
      <c r="M25" s="12">
        <f t="shared" ref="M25:N25" si="158">+L25</f>
        <v>801.5</v>
      </c>
      <c r="N25" s="12">
        <f t="shared" si="158"/>
        <v>801.5</v>
      </c>
      <c r="O25" s="12"/>
      <c r="P25" s="12"/>
      <c r="Q25" s="12"/>
      <c r="R25" s="12"/>
      <c r="S25" s="12"/>
      <c r="T25" s="12"/>
      <c r="V25" s="2">
        <f>AVERAGE(G25:J25)</f>
        <v>816.75</v>
      </c>
      <c r="W25" s="2">
        <f>AVERAGE(K25:N25)</f>
        <v>803.05</v>
      </c>
      <c r="X25" s="2">
        <f>+W25</f>
        <v>803.05</v>
      </c>
      <c r="Y25" s="2">
        <f t="shared" ref="Y25:AK25" si="159">+X25</f>
        <v>803.05</v>
      </c>
      <c r="Z25" s="2">
        <f t="shared" si="159"/>
        <v>803.05</v>
      </c>
      <c r="AA25" s="2">
        <f t="shared" si="159"/>
        <v>803.05</v>
      </c>
      <c r="AB25" s="2">
        <f t="shared" si="159"/>
        <v>803.05</v>
      </c>
      <c r="AC25" s="2">
        <f t="shared" si="159"/>
        <v>803.05</v>
      </c>
      <c r="AD25" s="2">
        <f t="shared" si="159"/>
        <v>803.05</v>
      </c>
      <c r="AE25" s="2">
        <f t="shared" si="159"/>
        <v>803.05</v>
      </c>
      <c r="AF25" s="2">
        <f t="shared" si="159"/>
        <v>803.05</v>
      </c>
      <c r="AG25" s="2">
        <f t="shared" si="159"/>
        <v>803.05</v>
      </c>
      <c r="AH25" s="2">
        <f t="shared" si="159"/>
        <v>803.05</v>
      </c>
      <c r="AI25" s="2">
        <f t="shared" si="159"/>
        <v>803.05</v>
      </c>
      <c r="AJ25" s="2">
        <f t="shared" si="159"/>
        <v>803.05</v>
      </c>
      <c r="AK25" s="2">
        <f t="shared" si="159"/>
        <v>803.05</v>
      </c>
      <c r="AM25" s="2" t="s">
        <v>60</v>
      </c>
      <c r="AN25" s="26">
        <v>-0.01</v>
      </c>
    </row>
    <row r="26" spans="2:106" x14ac:dyDescent="0.2">
      <c r="AM26" t="s">
        <v>58</v>
      </c>
      <c r="AN26" s="26">
        <v>0.06</v>
      </c>
    </row>
    <row r="27" spans="2:106" x14ac:dyDescent="0.2">
      <c r="B27" s="2" t="s">
        <v>56</v>
      </c>
      <c r="H27" s="22">
        <f t="shared" ref="H27:J27" si="160">H3/D3-1</f>
        <v>0.18975035016890485</v>
      </c>
      <c r="I27" s="22">
        <f t="shared" si="160"/>
        <v>0.11807692307692297</v>
      </c>
      <c r="J27" s="22">
        <f t="shared" si="160"/>
        <v>0.18011342155009458</v>
      </c>
      <c r="K27" s="22">
        <f>K3/G3-1</f>
        <v>0.17179238960458698</v>
      </c>
      <c r="L27" s="22">
        <f t="shared" ref="L27" si="161">L3/H3-1</f>
        <v>0.17783933518005535</v>
      </c>
      <c r="AM27" s="2" t="s">
        <v>59</v>
      </c>
      <c r="AN27" s="2">
        <f>NPV(AN26,X23:XAK23)+Main!L5-Main!L6</f>
        <v>73523.979730736231</v>
      </c>
    </row>
    <row r="28" spans="2:106" s="25" customFormat="1" x14ac:dyDescent="0.2">
      <c r="B28" s="13" t="s">
        <v>57</v>
      </c>
      <c r="C28" s="23"/>
      <c r="D28" s="23"/>
      <c r="E28" s="23"/>
      <c r="F28" s="23"/>
      <c r="G28" s="23"/>
      <c r="H28" s="24">
        <f t="shared" ref="H28:J28" si="162">H13/D13-1</f>
        <v>0.21631868425268341</v>
      </c>
      <c r="I28" s="24">
        <f t="shared" si="162"/>
        <v>0.17753001715265859</v>
      </c>
      <c r="J28" s="24">
        <f t="shared" si="162"/>
        <v>0.22910573004075752</v>
      </c>
      <c r="K28" s="24">
        <f>K13/G13-1</f>
        <v>0.20703575547866193</v>
      </c>
      <c r="L28" s="24">
        <f t="shared" ref="L28" si="163">L13/H13-1</f>
        <v>0.20919308104311174</v>
      </c>
      <c r="M28" s="23"/>
      <c r="N28" s="23"/>
      <c r="O28" s="23"/>
      <c r="P28" s="23"/>
      <c r="Q28" s="23"/>
      <c r="R28" s="23"/>
      <c r="S28" s="23"/>
      <c r="T28" s="23"/>
      <c r="AM28" s="25" t="s">
        <v>61</v>
      </c>
      <c r="AN28" s="27">
        <f>AN27/Main!L3</f>
        <v>94.869651265466103</v>
      </c>
    </row>
    <row r="30" spans="2:106" x14ac:dyDescent="0.2">
      <c r="B30" t="s">
        <v>32</v>
      </c>
      <c r="K30" s="22">
        <f>+K15/K13</f>
        <v>0.95783564261825127</v>
      </c>
      <c r="L30" s="22">
        <f t="shared" ref="L30" si="164">+L15/L13</f>
        <v>0.95973568601822601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2016-05-12T18:01:00Z</dcterms:created>
  <dcterms:modified xsi:type="dcterms:W3CDTF">2016-10-16T08:48:06Z</dcterms:modified>
</cp:coreProperties>
</file>