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270" windowHeight="10995" activeTab="1"/>
  </bookViews>
  <sheets>
    <sheet name="Main" sheetId="1" r:id="rId1"/>
    <sheet name="Mode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27" i="2" l="1"/>
  <c r="AP24" i="2" l="1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S26" i="2"/>
  <c r="AC14" i="2"/>
  <c r="AB26" i="2"/>
  <c r="N26" i="2"/>
  <c r="M26" i="2"/>
  <c r="AC16" i="2"/>
  <c r="AC15" i="2"/>
  <c r="AC17" i="2" s="1"/>
  <c r="AL13" i="2"/>
  <c r="AK13" i="2"/>
  <c r="AJ13" i="2"/>
  <c r="AI13" i="2"/>
  <c r="AF13" i="2"/>
  <c r="AD13" i="2"/>
  <c r="AC13" i="2"/>
  <c r="AP12" i="2"/>
  <c r="AP13" i="2" s="1"/>
  <c r="AO12" i="2"/>
  <c r="AO13" i="2" s="1"/>
  <c r="AN12" i="2"/>
  <c r="AN13" i="2" s="1"/>
  <c r="AM12" i="2"/>
  <c r="AM13" i="2" s="1"/>
  <c r="AL12" i="2"/>
  <c r="AK12" i="2"/>
  <c r="AJ12" i="2"/>
  <c r="AI12" i="2"/>
  <c r="AH12" i="2"/>
  <c r="AH13" i="2" s="1"/>
  <c r="AG12" i="2"/>
  <c r="AG13" i="2" s="1"/>
  <c r="AF12" i="2"/>
  <c r="AE12" i="2"/>
  <c r="AE13" i="2" s="1"/>
  <c r="AD12" i="2"/>
  <c r="AC12" i="2"/>
  <c r="AC11" i="2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C10" i="2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D9" i="2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AC9" i="2"/>
  <c r="AP8" i="2"/>
  <c r="AP7" i="2" s="1"/>
  <c r="AO8" i="2"/>
  <c r="AN8" i="2"/>
  <c r="AM8" i="2"/>
  <c r="AL8" i="2"/>
  <c r="AK8" i="2"/>
  <c r="AK7" i="2" s="1"/>
  <c r="AJ8" i="2"/>
  <c r="AI8" i="2"/>
  <c r="AI7" i="2" s="1"/>
  <c r="AH8" i="2"/>
  <c r="AH7" i="2" s="1"/>
  <c r="AG8" i="2"/>
  <c r="AG7" i="2" s="1"/>
  <c r="AF8" i="2"/>
  <c r="AF7" i="2" s="1"/>
  <c r="AE8" i="2"/>
  <c r="AE7" i="2" s="1"/>
  <c r="AD8" i="2"/>
  <c r="AD7" i="2" s="1"/>
  <c r="AO7" i="2"/>
  <c r="AN7" i="2"/>
  <c r="AM7" i="2"/>
  <c r="AL7" i="2"/>
  <c r="AJ7" i="2"/>
  <c r="AC7" i="2"/>
  <c r="AC8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D5" i="2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C4" i="2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C3" i="2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C5" i="2"/>
  <c r="AC26" i="2" l="1"/>
  <c r="AD14" i="2" l="1"/>
  <c r="AD15" i="2" s="1"/>
  <c r="AD16" i="2" l="1"/>
  <c r="AD17" i="2" s="1"/>
  <c r="AD26" i="2" l="1"/>
  <c r="AE14" i="2" l="1"/>
  <c r="AE15" i="2" s="1"/>
  <c r="AE16" i="2" s="1"/>
  <c r="AE17" i="2" s="1"/>
  <c r="AE26" i="2" l="1"/>
  <c r="AF14" i="2" l="1"/>
  <c r="AF15" i="2" s="1"/>
  <c r="AF16" i="2" s="1"/>
  <c r="AF17" i="2" s="1"/>
  <c r="AF26" i="2" l="1"/>
  <c r="AG14" i="2" l="1"/>
  <c r="AG15" i="2" s="1"/>
  <c r="AG16" i="2" s="1"/>
  <c r="AG17" i="2" s="1"/>
  <c r="AG26" i="2" s="1"/>
  <c r="AH14" i="2" l="1"/>
  <c r="AH15" i="2" s="1"/>
  <c r="AH16" i="2" l="1"/>
  <c r="AH17" i="2"/>
  <c r="AH26" i="2" s="1"/>
  <c r="AI14" i="2" l="1"/>
  <c r="AI15" i="2" s="1"/>
  <c r="AI16" i="2" l="1"/>
  <c r="AI17" i="2"/>
  <c r="AI26" i="2" s="1"/>
  <c r="AJ14" i="2" l="1"/>
  <c r="AJ15" i="2" s="1"/>
  <c r="AJ16" i="2" l="1"/>
  <c r="AJ17" i="2" s="1"/>
  <c r="AJ26" i="2" s="1"/>
  <c r="AK14" i="2" l="1"/>
  <c r="AK15" i="2" s="1"/>
  <c r="AK16" i="2" s="1"/>
  <c r="AK17" i="2" s="1"/>
  <c r="AK26" i="2" s="1"/>
  <c r="AL14" i="2" l="1"/>
  <c r="AL15" i="2" s="1"/>
  <c r="AL16" i="2" l="1"/>
  <c r="AL17" i="2" s="1"/>
  <c r="AL26" i="2" s="1"/>
  <c r="AM14" i="2" l="1"/>
  <c r="AM15" i="2" s="1"/>
  <c r="AM16" i="2" s="1"/>
  <c r="AM17" i="2" s="1"/>
  <c r="AM26" i="2" s="1"/>
  <c r="AN14" i="2" l="1"/>
  <c r="AN15" i="2" s="1"/>
  <c r="AN16" i="2" s="1"/>
  <c r="AN17" i="2" s="1"/>
  <c r="AN26" i="2" s="1"/>
  <c r="AO14" i="2" l="1"/>
  <c r="AO15" i="2" s="1"/>
  <c r="AO16" i="2" s="1"/>
  <c r="AO17" i="2" s="1"/>
  <c r="AO26" i="2" s="1"/>
  <c r="AP14" i="2" l="1"/>
  <c r="AP15" i="2" s="1"/>
  <c r="AP16" i="2" l="1"/>
  <c r="AP17" i="2" s="1"/>
  <c r="AQ17" i="2" l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AS25" i="2" s="1"/>
  <c r="AP26" i="2"/>
  <c r="L53" i="2" l="1"/>
  <c r="X21" i="2"/>
  <c r="W21" i="2"/>
  <c r="V21" i="2"/>
  <c r="N5" i="2"/>
  <c r="M5" i="2"/>
  <c r="N4" i="2"/>
  <c r="M4" i="2"/>
  <c r="AB4" i="2" s="1"/>
  <c r="N3" i="2"/>
  <c r="M3" i="2"/>
  <c r="M19" i="2"/>
  <c r="N19" i="2" s="1"/>
  <c r="M14" i="2"/>
  <c r="N11" i="2"/>
  <c r="M11" i="2"/>
  <c r="AB11" i="2" s="1"/>
  <c r="N10" i="2"/>
  <c r="M10" i="2"/>
  <c r="N9" i="2"/>
  <c r="M9" i="2"/>
  <c r="AB9" i="2" s="1"/>
  <c r="Y12" i="2"/>
  <c r="Y6" i="2"/>
  <c r="Y8" i="2" s="1"/>
  <c r="Y22" i="2" s="1"/>
  <c r="Z12" i="2"/>
  <c r="Z6" i="2"/>
  <c r="Z8" i="2" s="1"/>
  <c r="Z22" i="2" s="1"/>
  <c r="AA12" i="2"/>
  <c r="AA3" i="2"/>
  <c r="AA4" i="2"/>
  <c r="AA5" i="2"/>
  <c r="AB5" i="2" l="1"/>
  <c r="N14" i="2"/>
  <c r="AB14" i="2" s="1"/>
  <c r="AB3" i="2"/>
  <c r="AB6" i="2" s="1"/>
  <c r="AB21" i="2" s="1"/>
  <c r="AA6" i="2"/>
  <c r="N12" i="2"/>
  <c r="AB10" i="2"/>
  <c r="AB12" i="2"/>
  <c r="AA21" i="2"/>
  <c r="AA8" i="2"/>
  <c r="N6" i="2"/>
  <c r="N8" i="2" s="1"/>
  <c r="N22" i="2" s="1"/>
  <c r="M12" i="2"/>
  <c r="M6" i="2"/>
  <c r="M8" i="2" s="1"/>
  <c r="M7" i="2" s="1"/>
  <c r="Y21" i="2"/>
  <c r="Z21" i="2"/>
  <c r="Z13" i="2"/>
  <c r="Y13" i="2"/>
  <c r="I61" i="2"/>
  <c r="I56" i="2"/>
  <c r="I53" i="2"/>
  <c r="I38" i="2"/>
  <c r="I36" i="2"/>
  <c r="I41" i="2" s="1"/>
  <c r="I26" i="2"/>
  <c r="I34" i="2" s="1"/>
  <c r="E7" i="2"/>
  <c r="E12" i="2"/>
  <c r="E6" i="2"/>
  <c r="I7" i="2"/>
  <c r="I12" i="2"/>
  <c r="I6" i="2"/>
  <c r="J61" i="2"/>
  <c r="J63" i="2" s="1"/>
  <c r="J56" i="2"/>
  <c r="J53" i="2"/>
  <c r="J38" i="2"/>
  <c r="J36" i="2"/>
  <c r="J41" i="2" s="1"/>
  <c r="J26" i="2"/>
  <c r="J34" i="2" s="1"/>
  <c r="F7" i="2"/>
  <c r="F12" i="2"/>
  <c r="F6" i="2"/>
  <c r="J7" i="2"/>
  <c r="J12" i="2"/>
  <c r="J6" i="2"/>
  <c r="K61" i="2"/>
  <c r="K63" i="2" s="1"/>
  <c r="K56" i="2"/>
  <c r="K53" i="2"/>
  <c r="K38" i="2"/>
  <c r="K36" i="2"/>
  <c r="K41" i="2" s="1"/>
  <c r="K26" i="2"/>
  <c r="K34" i="2"/>
  <c r="G7" i="2"/>
  <c r="G12" i="2"/>
  <c r="G6" i="2"/>
  <c r="G8" i="2" s="1"/>
  <c r="G22" i="2" s="1"/>
  <c r="K7" i="2"/>
  <c r="K12" i="2"/>
  <c r="K6" i="2"/>
  <c r="W2" i="2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L56" i="2"/>
  <c r="L61" i="2"/>
  <c r="L63" i="2" s="1"/>
  <c r="N7" i="2" l="1"/>
  <c r="M21" i="2"/>
  <c r="N13" i="2"/>
  <c r="M13" i="2"/>
  <c r="I63" i="2"/>
  <c r="J8" i="2"/>
  <c r="J22" i="2" s="1"/>
  <c r="Z15" i="2"/>
  <c r="Z23" i="2"/>
  <c r="L65" i="2"/>
  <c r="AA13" i="2"/>
  <c r="AA22" i="2"/>
  <c r="Y15" i="2"/>
  <c r="Y23" i="2"/>
  <c r="M22" i="2"/>
  <c r="N21" i="2"/>
  <c r="I21" i="2"/>
  <c r="E8" i="2"/>
  <c r="I8" i="2"/>
  <c r="F8" i="2"/>
  <c r="J21" i="2"/>
  <c r="J13" i="2"/>
  <c r="G13" i="2"/>
  <c r="K21" i="2"/>
  <c r="K8" i="2"/>
  <c r="M23" i="2" l="1"/>
  <c r="M15" i="2"/>
  <c r="M16" i="2" s="1"/>
  <c r="M17" i="2" s="1"/>
  <c r="M18" i="2" s="1"/>
  <c r="N23" i="2"/>
  <c r="N15" i="2"/>
  <c r="N16" i="2" s="1"/>
  <c r="N24" i="2" s="1"/>
  <c r="Y17" i="2"/>
  <c r="Y24" i="2"/>
  <c r="AA15" i="2"/>
  <c r="AA23" i="2"/>
  <c r="Z17" i="2"/>
  <c r="Z24" i="2"/>
  <c r="I13" i="2"/>
  <c r="I22" i="2"/>
  <c r="K13" i="2"/>
  <c r="K22" i="2"/>
  <c r="J15" i="2"/>
  <c r="J23" i="2"/>
  <c r="E13" i="2"/>
  <c r="E22" i="2"/>
  <c r="AB16" i="2"/>
  <c r="G15" i="2"/>
  <c r="G23" i="2"/>
  <c r="F13" i="2"/>
  <c r="F22" i="2"/>
  <c r="N17" i="2"/>
  <c r="N18" i="2" s="1"/>
  <c r="M4" i="1"/>
  <c r="M7" i="1" s="1"/>
  <c r="L36" i="2"/>
  <c r="L41" i="2" s="1"/>
  <c r="L26" i="2"/>
  <c r="L34" i="2" s="1"/>
  <c r="H7" i="2"/>
  <c r="H12" i="2"/>
  <c r="L12" i="2"/>
  <c r="L7" i="2"/>
  <c r="AB7" i="2" s="1"/>
  <c r="AB8" i="2" s="1"/>
  <c r="H6" i="2"/>
  <c r="L6" i="2"/>
  <c r="M24" i="2" l="1"/>
  <c r="AB13" i="2"/>
  <c r="AB22" i="2"/>
  <c r="AA17" i="2"/>
  <c r="AA24" i="2"/>
  <c r="L8" i="2"/>
  <c r="L22" i="2" s="1"/>
  <c r="H8" i="2"/>
  <c r="H22" i="2" s="1"/>
  <c r="G17" i="2"/>
  <c r="G18" i="2" s="1"/>
  <c r="G24" i="2"/>
  <c r="E15" i="2"/>
  <c r="E23" i="2"/>
  <c r="L21" i="2"/>
  <c r="F15" i="2"/>
  <c r="F23" i="2"/>
  <c r="J17" i="2"/>
  <c r="J24" i="2"/>
  <c r="K15" i="2"/>
  <c r="K23" i="2"/>
  <c r="I15" i="2"/>
  <c r="I23" i="2"/>
  <c r="H13" i="2" l="1"/>
  <c r="L13" i="2"/>
  <c r="L23" i="2" s="1"/>
  <c r="AB23" i="2"/>
  <c r="AB15" i="2"/>
  <c r="K17" i="2"/>
  <c r="K24" i="2"/>
  <c r="I17" i="2"/>
  <c r="I24" i="2"/>
  <c r="J18" i="2"/>
  <c r="J43" i="2"/>
  <c r="F17" i="2"/>
  <c r="F18" i="2" s="1"/>
  <c r="F24" i="2"/>
  <c r="E17" i="2"/>
  <c r="E18" i="2" s="1"/>
  <c r="E24" i="2"/>
  <c r="L15" i="2"/>
  <c r="L17" i="2" s="1"/>
  <c r="H15" i="2"/>
  <c r="H23" i="2"/>
  <c r="L18" i="2" l="1"/>
  <c r="L43" i="2"/>
  <c r="AB17" i="2"/>
  <c r="AB24" i="2"/>
  <c r="L24" i="2"/>
  <c r="I18" i="2"/>
  <c r="I43" i="2"/>
  <c r="H17" i="2"/>
  <c r="H18" i="2" s="1"/>
  <c r="H24" i="2"/>
  <c r="K18" i="2"/>
  <c r="K43" i="2"/>
</calcChain>
</file>

<file path=xl/sharedStrings.xml><?xml version="1.0" encoding="utf-8"?>
<sst xmlns="http://schemas.openxmlformats.org/spreadsheetml/2006/main" count="94" uniqueCount="83">
  <si>
    <t>Price</t>
  </si>
  <si>
    <t>Products and Licenses</t>
  </si>
  <si>
    <t>Blades</t>
  </si>
  <si>
    <t>Updates &amp; Maintenance</t>
  </si>
  <si>
    <t>Revenue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</si>
  <si>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</si>
  <si>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</si>
  <si>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</si>
  <si>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</si>
  <si>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</si>
  <si>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</si>
  <si>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</si>
  <si>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</si>
  <si>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</si>
  <si>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</si>
  <si>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</si>
  <si>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</si>
  <si>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</si>
  <si>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</si>
  <si>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</si>
  <si>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</si>
  <si>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Main</t>
  </si>
  <si>
    <t>Revenue Growth</t>
  </si>
  <si>
    <t>COGS</t>
  </si>
  <si>
    <t>Gross Margin</t>
  </si>
  <si>
    <t>S&amp;M</t>
  </si>
  <si>
    <t>R&amp;D</t>
  </si>
  <si>
    <t>G&amp;A</t>
  </si>
  <si>
    <t>Operating Expenses</t>
  </si>
  <si>
    <t>Operating Income</t>
  </si>
  <si>
    <t>Net Income</t>
  </si>
  <si>
    <t>EPS</t>
  </si>
  <si>
    <t>Shares</t>
  </si>
  <si>
    <t>Taxes</t>
  </si>
  <si>
    <t>Pretax Income</t>
  </si>
  <si>
    <t>Interest Income</t>
  </si>
  <si>
    <t>Operating Margin</t>
  </si>
  <si>
    <t>Cash</t>
  </si>
  <si>
    <t>AR</t>
  </si>
  <si>
    <t>Prepaids</t>
  </si>
  <si>
    <t>PP&amp;E</t>
  </si>
  <si>
    <t>Severance</t>
  </si>
  <si>
    <t>DT</t>
  </si>
  <si>
    <t>Goodwill</t>
  </si>
  <si>
    <t>OA</t>
  </si>
  <si>
    <t>Assets</t>
  </si>
  <si>
    <t>L+SE</t>
  </si>
  <si>
    <t>SE</t>
  </si>
  <si>
    <t>AP</t>
  </si>
  <si>
    <t>DR</t>
  </si>
  <si>
    <t>MC</t>
  </si>
  <si>
    <t>Debt</t>
  </si>
  <si>
    <t>EV</t>
  </si>
  <si>
    <t>Model NI</t>
  </si>
  <si>
    <t>Reported NI</t>
  </si>
  <si>
    <t>CapEx</t>
  </si>
  <si>
    <t>CFFI</t>
  </si>
  <si>
    <t>CIC</t>
  </si>
  <si>
    <t>MTM</t>
  </si>
  <si>
    <t>CFFF</t>
  </si>
  <si>
    <t>STB</t>
  </si>
  <si>
    <t>Buyback</t>
  </si>
  <si>
    <t>Options</t>
  </si>
  <si>
    <t>CFFO</t>
  </si>
  <si>
    <t>Amortization</t>
  </si>
  <si>
    <t>Depreciation</t>
  </si>
  <si>
    <t>SBC</t>
  </si>
  <si>
    <t>Realized Gain</t>
  </si>
  <si>
    <t>ETB</t>
  </si>
  <si>
    <t>Tax Rate</t>
  </si>
  <si>
    <t>ThreatCloud</t>
  </si>
  <si>
    <t>Maturity</t>
  </si>
  <si>
    <t>Discount</t>
  </si>
  <si>
    <t>ROIC</t>
  </si>
  <si>
    <t>NPV</t>
  </si>
  <si>
    <t xml:space="preserve">  Cash</t>
  </si>
  <si>
    <t>2/2016: Bangladesh hack.</t>
  </si>
  <si>
    <t>Lastline</t>
  </si>
  <si>
    <t>Blue Coat</t>
  </si>
  <si>
    <t>Fortinet</t>
  </si>
  <si>
    <t>Fidelis</t>
  </si>
  <si>
    <t>Trend Micro</t>
  </si>
  <si>
    <t>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</si>
</sst>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9" fontId="1" fillId="0" borderId="0" xfId="0" applyNumberFormat="1" applyFon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0</xdr:row>
      <xdr:rowOff>38100</xdr:rowOff>
    </xdr:from>
    <xdr:to>
      <xdr:col>12</xdr:col>
      <xdr:colOff>28575</xdr:colOff>
      <xdr:row>72</xdr:row>
      <xdr:rowOff>142875</xdr:rowOff>
    </xdr:to>
    <xdr:cxnSp macro="">
      <xdr:nvCxnSpPr>
        <xdr:cNvPr id="3" name="Straight Connector 2"/>
        <xdr:cNvCxnSpPr/>
      </xdr:nvCxnSpPr>
      <xdr:spPr>
        <a:xfrm>
          <a:off x="7867650" y="38100"/>
          <a:ext cx="0" cy="120872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47625</xdr:colOff>
      <xdr:row>0</xdr:row>
      <xdr:rowOff>66675</xdr:rowOff>
    </xdr:from>
    <xdr:to>
      <xdr:col>27</xdr:col>
      <xdr:colOff>47625</xdr:colOff>
      <xdr:row>47</xdr:row>
      <xdr:rowOff>142875</xdr:rowOff>
    </xdr:to>
    <xdr:cxnSp macro="">
      <xdr:nvCxnSpPr>
        <xdr:cNvPr id="6" name="Straight Connector 5"/>
        <xdr:cNvCxnSpPr/>
      </xdr:nvCxnSpPr>
      <xdr:spPr>
        <a:xfrm>
          <a:off x="15811500" y="66675"/>
          <a:ext cx="0" cy="8010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0"/>
  <sheetViews>
    <sheetView workbookViewId="0">
      <selection activeCell="B11" sqref="B11"/>
    </sheetView>
  </sheetViews>
  <sheetFormatPr defaultRowHeight="12.75" x14ac:dyDescent="0.2"/>
  <cols>
    <col min="2" max="2" width="11.28515625" customWidth="1"/>
  </cols>
  <sheetData>
    <row r="2" spans="2:14" x14ac:dyDescent="0.2">
      <c r="B2" t="s">
        <v>70</v>
      </c>
      <c r="L2" t="s">
        <v>0</v>
      </c>
      <c r="M2" s="1">
        <v>77.61</v>
      </c>
    </row>
    <row r="3" spans="2:14" x14ac:dyDescent="0.2">
      <c r="L3" t="s">
        <v>32</v>
      </c>
      <c r="M3" s="4">
        <v>175</v>
      </c>
      <c r="N3" s="2" t="s">
        <v>14</v>
      </c>
    </row>
    <row r="4" spans="2:14" x14ac:dyDescent="0.2">
      <c r="L4" t="s">
        <v>50</v>
      </c>
      <c r="M4" s="4">
        <f>+M3*M2</f>
        <v>13581.75</v>
      </c>
      <c r="N4" s="2"/>
    </row>
    <row r="5" spans="2:14" x14ac:dyDescent="0.2">
      <c r="B5" t="s">
        <v>77</v>
      </c>
      <c r="L5" t="s">
        <v>37</v>
      </c>
      <c r="M5" s="4">
        <v>3708</v>
      </c>
      <c r="N5" s="2" t="s">
        <v>14</v>
      </c>
    </row>
    <row r="6" spans="2:14" x14ac:dyDescent="0.2">
      <c r="B6" t="s">
        <v>78</v>
      </c>
      <c r="L6" t="s">
        <v>51</v>
      </c>
      <c r="M6" s="4">
        <v>0</v>
      </c>
      <c r="N6" s="2" t="s">
        <v>14</v>
      </c>
    </row>
    <row r="7" spans="2:14" x14ac:dyDescent="0.2">
      <c r="B7" t="s">
        <v>79</v>
      </c>
      <c r="L7" t="s">
        <v>52</v>
      </c>
      <c r="M7" s="4">
        <f>+M4-M5+M6</f>
        <v>9873.75</v>
      </c>
    </row>
    <row r="8" spans="2:14" x14ac:dyDescent="0.2">
      <c r="B8" t="s">
        <v>80</v>
      </c>
    </row>
    <row r="9" spans="2:14" x14ac:dyDescent="0.2">
      <c r="B9" t="s">
        <v>81</v>
      </c>
    </row>
    <row r="10" spans="2:14" x14ac:dyDescent="0.2">
      <c r="B10" t="s">
        <v>82</v>
      </c>
    </row>
    <row r="20" spans="2:2" x14ac:dyDescent="0.2">
      <c r="B20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5"/>
  <sheetViews>
    <sheetView tabSelected="1" workbookViewId="0">
      <pane xSplit="2" ySplit="2" topLeftCell="AC3" activePane="bottomRight" state="frozen"/>
      <selection pane="topRight" activeCell="C1" sqref="C1"/>
      <selection pane="bottomLeft" activeCell="A3" sqref="A3"/>
      <selection pane="bottomRight" activeCell="AI14" sqref="AI14"/>
    </sheetView>
  </sheetViews>
  <sheetFormatPr defaultRowHeight="12.75" x14ac:dyDescent="0.2"/>
  <cols>
    <col min="1" max="1" width="5" bestFit="1" customWidth="1"/>
    <col min="2" max="2" width="21.140625" bestFit="1" customWidth="1"/>
    <col min="3" max="18" width="9.140625" style="2"/>
    <col min="45" max="45" width="10.7109375" bestFit="1" customWidth="1"/>
  </cols>
  <sheetData>
    <row r="1" spans="1:47" x14ac:dyDescent="0.2">
      <c r="A1" s="3" t="s">
        <v>21</v>
      </c>
    </row>
    <row r="2" spans="1:47" x14ac:dyDescent="0.2"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T2">
        <v>2008</v>
      </c>
      <c r="U2">
        <v>2009</v>
      </c>
      <c r="V2">
        <v>2010</v>
      </c>
      <c r="W2">
        <f>+V2+1</f>
        <v>2011</v>
      </c>
      <c r="X2">
        <f t="shared" ref="X2:AU2" si="0">+W2+1</f>
        <v>2012</v>
      </c>
      <c r="Y2">
        <f t="shared" si="0"/>
        <v>2013</v>
      </c>
      <c r="Z2">
        <f t="shared" si="0"/>
        <v>2014</v>
      </c>
      <c r="AA2">
        <f t="shared" si="0"/>
        <v>2015</v>
      </c>
      <c r="AB2">
        <f t="shared" si="0"/>
        <v>2016</v>
      </c>
      <c r="AC2">
        <f t="shared" si="0"/>
        <v>2017</v>
      </c>
      <c r="AD2">
        <f t="shared" si="0"/>
        <v>2018</v>
      </c>
      <c r="AE2">
        <f t="shared" si="0"/>
        <v>2019</v>
      </c>
      <c r="AF2">
        <f t="shared" si="0"/>
        <v>2020</v>
      </c>
      <c r="AG2">
        <f t="shared" si="0"/>
        <v>2021</v>
      </c>
      <c r="AH2">
        <f t="shared" si="0"/>
        <v>2022</v>
      </c>
      <c r="AI2">
        <f t="shared" si="0"/>
        <v>2023</v>
      </c>
      <c r="AJ2">
        <f t="shared" si="0"/>
        <v>2024</v>
      </c>
      <c r="AK2">
        <f t="shared" si="0"/>
        <v>2025</v>
      </c>
      <c r="AL2">
        <f t="shared" si="0"/>
        <v>2026</v>
      </c>
      <c r="AM2">
        <f t="shared" si="0"/>
        <v>2027</v>
      </c>
      <c r="AN2">
        <f t="shared" si="0"/>
        <v>2028</v>
      </c>
      <c r="AO2">
        <f t="shared" si="0"/>
        <v>2029</v>
      </c>
      <c r="AP2">
        <f t="shared" si="0"/>
        <v>2030</v>
      </c>
      <c r="AQ2">
        <f t="shared" si="0"/>
        <v>2031</v>
      </c>
      <c r="AR2">
        <f t="shared" si="0"/>
        <v>2032</v>
      </c>
      <c r="AS2">
        <f t="shared" si="0"/>
        <v>2033</v>
      </c>
      <c r="AT2">
        <f t="shared" si="0"/>
        <v>2034</v>
      </c>
      <c r="AU2">
        <f t="shared" si="0"/>
        <v>2035</v>
      </c>
    </row>
    <row r="3" spans="1:47" s="4" customFormat="1" x14ac:dyDescent="0.2">
      <c r="B3" s="4" t="s">
        <v>1</v>
      </c>
      <c r="C3" s="5"/>
      <c r="D3" s="5"/>
      <c r="E3" s="5">
        <v>126.029</v>
      </c>
      <c r="F3" s="5">
        <v>162.00200000000001</v>
      </c>
      <c r="G3" s="5">
        <v>114.297</v>
      </c>
      <c r="H3" s="5">
        <v>132.28399999999999</v>
      </c>
      <c r="I3" s="5">
        <v>135.21799999999999</v>
      </c>
      <c r="J3" s="5">
        <v>173.99299999999999</v>
      </c>
      <c r="K3" s="5">
        <v>122.73</v>
      </c>
      <c r="L3" s="5">
        <v>136.24799999999999</v>
      </c>
      <c r="M3" s="5">
        <f>+I3*1.05</f>
        <v>141.97889999999998</v>
      </c>
      <c r="N3" s="5">
        <f t="shared" ref="N3:N5" si="1">+J3*1.05</f>
        <v>182.69265000000001</v>
      </c>
      <c r="O3" s="5"/>
      <c r="P3" s="5"/>
      <c r="Q3" s="5"/>
      <c r="R3" s="5"/>
      <c r="Y3" s="4">
        <v>496.93</v>
      </c>
      <c r="Z3" s="4">
        <v>520.31200000000001</v>
      </c>
      <c r="AA3" s="4">
        <f>SUM(G3:J3)</f>
        <v>555.79199999999992</v>
      </c>
      <c r="AB3" s="4">
        <f>SUM(K3:N3)</f>
        <v>583.64955000000009</v>
      </c>
      <c r="AC3" s="4">
        <f t="shared" ref="AC3:AP3" si="2">+AB3*1.05</f>
        <v>612.83202750000009</v>
      </c>
      <c r="AD3" s="4">
        <f t="shared" si="2"/>
        <v>643.47362887500014</v>
      </c>
      <c r="AE3" s="4">
        <f t="shared" si="2"/>
        <v>675.64731031875021</v>
      </c>
      <c r="AF3" s="4">
        <f t="shared" si="2"/>
        <v>709.42967583468771</v>
      </c>
      <c r="AG3" s="4">
        <f t="shared" si="2"/>
        <v>744.9011596264221</v>
      </c>
      <c r="AH3" s="4">
        <f t="shared" si="2"/>
        <v>782.14621760774321</v>
      </c>
      <c r="AI3" s="4">
        <f t="shared" si="2"/>
        <v>821.25352848813043</v>
      </c>
      <c r="AJ3" s="4">
        <f t="shared" si="2"/>
        <v>862.31620491253693</v>
      </c>
      <c r="AK3" s="4">
        <f t="shared" si="2"/>
        <v>905.43201515816384</v>
      </c>
      <c r="AL3" s="4">
        <f t="shared" si="2"/>
        <v>950.70361591607207</v>
      </c>
      <c r="AM3" s="4">
        <f t="shared" si="2"/>
        <v>998.23879671187569</v>
      </c>
      <c r="AN3" s="4">
        <f t="shared" si="2"/>
        <v>1048.1507365474695</v>
      </c>
      <c r="AO3" s="4">
        <f t="shared" si="2"/>
        <v>1100.5582733748431</v>
      </c>
      <c r="AP3" s="4">
        <f t="shared" si="2"/>
        <v>1155.5861870435854</v>
      </c>
    </row>
    <row r="4" spans="1:47" s="4" customFormat="1" x14ac:dyDescent="0.2">
      <c r="B4" s="4" t="s">
        <v>2</v>
      </c>
      <c r="C4" s="5"/>
      <c r="D4" s="5"/>
      <c r="E4" s="5">
        <v>67.164000000000001</v>
      </c>
      <c r="F4" s="5">
        <v>72.356999999999999</v>
      </c>
      <c r="G4" s="5">
        <v>74.349000000000004</v>
      </c>
      <c r="H4" s="5">
        <v>76.626999999999995</v>
      </c>
      <c r="I4" s="5">
        <v>79.622</v>
      </c>
      <c r="J4" s="5">
        <v>88.025999999999996</v>
      </c>
      <c r="K4" s="5">
        <v>88.128</v>
      </c>
      <c r="L4" s="5">
        <v>92.7</v>
      </c>
      <c r="M4" s="5">
        <f t="shared" ref="M4:M5" si="3">+I4*1.05</f>
        <v>83.603099999999998</v>
      </c>
      <c r="N4" s="5">
        <f t="shared" si="1"/>
        <v>92.427300000000002</v>
      </c>
      <c r="O4" s="5"/>
      <c r="P4" s="5"/>
      <c r="Q4" s="5"/>
      <c r="R4" s="5"/>
      <c r="Y4" s="4">
        <v>217.08799999999999</v>
      </c>
      <c r="Z4" s="4">
        <v>265.02100000000002</v>
      </c>
      <c r="AA4" s="4">
        <f>SUM(G4:J4)</f>
        <v>318.62400000000002</v>
      </c>
      <c r="AB4" s="4">
        <f t="shared" ref="AB4:AB11" si="4">SUM(K4:N4)</f>
        <v>356.85840000000002</v>
      </c>
      <c r="AC4" s="4">
        <f t="shared" ref="AC4:AP4" si="5">+AB4*1.05</f>
        <v>374.70132000000001</v>
      </c>
      <c r="AD4" s="4">
        <f t="shared" si="5"/>
        <v>393.43638600000003</v>
      </c>
      <c r="AE4" s="4">
        <f t="shared" si="5"/>
        <v>413.10820530000007</v>
      </c>
      <c r="AF4" s="4">
        <f t="shared" si="5"/>
        <v>433.76361556500007</v>
      </c>
      <c r="AG4" s="4">
        <f t="shared" si="5"/>
        <v>455.45179634325007</v>
      </c>
      <c r="AH4" s="4">
        <f t="shared" si="5"/>
        <v>478.22438616041256</v>
      </c>
      <c r="AI4" s="4">
        <f t="shared" si="5"/>
        <v>502.1356054684332</v>
      </c>
      <c r="AJ4" s="4">
        <f t="shared" si="5"/>
        <v>527.24238574185483</v>
      </c>
      <c r="AK4" s="4">
        <f t="shared" si="5"/>
        <v>553.60450502894764</v>
      </c>
      <c r="AL4" s="4">
        <f t="shared" si="5"/>
        <v>581.28473028039502</v>
      </c>
      <c r="AM4" s="4">
        <f t="shared" si="5"/>
        <v>610.34896679441476</v>
      </c>
      <c r="AN4" s="4">
        <f t="shared" si="5"/>
        <v>640.86641513413554</v>
      </c>
      <c r="AO4" s="4">
        <f t="shared" si="5"/>
        <v>672.9097358908424</v>
      </c>
      <c r="AP4" s="4">
        <f t="shared" si="5"/>
        <v>706.55522268538459</v>
      </c>
    </row>
    <row r="5" spans="1:47" s="4" customFormat="1" x14ac:dyDescent="0.2">
      <c r="B5" s="4" t="s">
        <v>3</v>
      </c>
      <c r="C5" s="5"/>
      <c r="D5" s="5"/>
      <c r="E5" s="5">
        <v>177.17699999999999</v>
      </c>
      <c r="F5" s="5">
        <v>186.28299999999999</v>
      </c>
      <c r="G5" s="5">
        <v>183.93</v>
      </c>
      <c r="H5" s="5">
        <v>186.423</v>
      </c>
      <c r="I5" s="5">
        <v>189.01599999999999</v>
      </c>
      <c r="J5" s="5">
        <v>196.053</v>
      </c>
      <c r="K5" s="5">
        <v>193.41300000000001</v>
      </c>
      <c r="L5" s="5">
        <v>193.80099999999999</v>
      </c>
      <c r="M5" s="5">
        <f t="shared" si="3"/>
        <v>198.46680000000001</v>
      </c>
      <c r="N5" s="5">
        <f t="shared" si="1"/>
        <v>205.85565</v>
      </c>
      <c r="O5" s="5"/>
      <c r="P5" s="5"/>
      <c r="Q5" s="5"/>
      <c r="R5" s="5"/>
      <c r="Y5" s="4">
        <v>680.08699999999999</v>
      </c>
      <c r="Z5" s="4">
        <v>710.48299999999995</v>
      </c>
      <c r="AA5" s="4">
        <f>SUM(G5:J5)</f>
        <v>755.42200000000003</v>
      </c>
      <c r="AB5" s="4">
        <f t="shared" si="4"/>
        <v>791.53644999999995</v>
      </c>
      <c r="AC5" s="4">
        <f>+AB5*1.05</f>
        <v>831.11327249999999</v>
      </c>
      <c r="AD5" s="4">
        <f t="shared" ref="AD5:AP5" si="6">+AC5*1.05</f>
        <v>872.66893612500007</v>
      </c>
      <c r="AE5" s="4">
        <f t="shared" si="6"/>
        <v>916.30238293125012</v>
      </c>
      <c r="AF5" s="4">
        <f t="shared" si="6"/>
        <v>962.11750207781267</v>
      </c>
      <c r="AG5" s="4">
        <f t="shared" si="6"/>
        <v>1010.2233771817033</v>
      </c>
      <c r="AH5" s="4">
        <f t="shared" si="6"/>
        <v>1060.7345460407885</v>
      </c>
      <c r="AI5" s="4">
        <f t="shared" si="6"/>
        <v>1113.771273342828</v>
      </c>
      <c r="AJ5" s="4">
        <f t="shared" si="6"/>
        <v>1169.4598370099693</v>
      </c>
      <c r="AK5" s="4">
        <f t="shared" si="6"/>
        <v>1227.9328288604679</v>
      </c>
      <c r="AL5" s="4">
        <f t="shared" si="6"/>
        <v>1289.3294703034915</v>
      </c>
      <c r="AM5" s="4">
        <f t="shared" si="6"/>
        <v>1353.795943818666</v>
      </c>
      <c r="AN5" s="4">
        <f t="shared" si="6"/>
        <v>1421.4857410095995</v>
      </c>
      <c r="AO5" s="4">
        <f t="shared" si="6"/>
        <v>1492.5600280600795</v>
      </c>
      <c r="AP5" s="4">
        <f t="shared" si="6"/>
        <v>1567.1880294630835</v>
      </c>
    </row>
    <row r="6" spans="1:47" s="6" customFormat="1" x14ac:dyDescent="0.2">
      <c r="B6" s="6" t="s">
        <v>4</v>
      </c>
      <c r="C6" s="7"/>
      <c r="D6" s="7"/>
      <c r="E6" s="7">
        <f t="shared" ref="E6:N6" si="7">SUM(E3:E5)</f>
        <v>370.37</v>
      </c>
      <c r="F6" s="7">
        <f t="shared" si="7"/>
        <v>420.642</v>
      </c>
      <c r="G6" s="7">
        <f t="shared" si="7"/>
        <v>372.57600000000002</v>
      </c>
      <c r="H6" s="7">
        <f t="shared" si="7"/>
        <v>395.334</v>
      </c>
      <c r="I6" s="7">
        <f t="shared" si="7"/>
        <v>403.85599999999999</v>
      </c>
      <c r="J6" s="7">
        <f t="shared" si="7"/>
        <v>458.072</v>
      </c>
      <c r="K6" s="7">
        <f t="shared" si="7"/>
        <v>404.27100000000002</v>
      </c>
      <c r="L6" s="7">
        <f t="shared" si="7"/>
        <v>422.74899999999997</v>
      </c>
      <c r="M6" s="7">
        <f t="shared" si="7"/>
        <v>424.04880000000003</v>
      </c>
      <c r="N6" s="7">
        <f t="shared" si="7"/>
        <v>480.97559999999999</v>
      </c>
      <c r="O6" s="7"/>
      <c r="P6" s="7"/>
      <c r="Q6" s="7"/>
      <c r="R6" s="7"/>
      <c r="U6" s="6">
        <v>924.41700000000003</v>
      </c>
      <c r="V6" s="6">
        <v>1097.8679999999999</v>
      </c>
      <c r="W6" s="6">
        <v>1246.9860000000001</v>
      </c>
      <c r="X6" s="6">
        <v>1342.6949999999999</v>
      </c>
      <c r="Y6" s="6">
        <f>SUM(Y3:Y5)</f>
        <v>1394.105</v>
      </c>
      <c r="Z6" s="6">
        <f>SUM(Z3:Z5)</f>
        <v>1495.816</v>
      </c>
      <c r="AA6" s="6">
        <f>SUM(AA3:AA5)</f>
        <v>1629.838</v>
      </c>
      <c r="AB6" s="6">
        <f t="shared" ref="AB6" si="8">SUM(AB3:AB5)</f>
        <v>1732.0444000000002</v>
      </c>
      <c r="AC6" s="6">
        <f t="shared" ref="AC6" si="9">SUM(AC3:AC5)</f>
        <v>1818.64662</v>
      </c>
      <c r="AD6" s="6">
        <f t="shared" ref="AD6" si="10">SUM(AD3:AD5)</f>
        <v>1909.5789510000002</v>
      </c>
      <c r="AE6" s="6">
        <f t="shared" ref="AE6" si="11">SUM(AE3:AE5)</f>
        <v>2005.0578985500003</v>
      </c>
      <c r="AF6" s="6">
        <f t="shared" ref="AF6" si="12">SUM(AF3:AF5)</f>
        <v>2105.3107934775003</v>
      </c>
      <c r="AG6" s="6">
        <f t="shared" ref="AG6" si="13">SUM(AG3:AG5)</f>
        <v>2210.5763331513754</v>
      </c>
      <c r="AH6" s="6">
        <f t="shared" ref="AH6" si="14">SUM(AH3:AH5)</f>
        <v>2321.1051498089446</v>
      </c>
      <c r="AI6" s="6">
        <f t="shared" ref="AI6" si="15">SUM(AI3:AI5)</f>
        <v>2437.1604072993914</v>
      </c>
      <c r="AJ6" s="6">
        <f t="shared" ref="AJ6" si="16">SUM(AJ3:AJ5)</f>
        <v>2559.0184276643613</v>
      </c>
      <c r="AK6" s="6">
        <f t="shared" ref="AK6" si="17">SUM(AK3:AK5)</f>
        <v>2686.9693490475793</v>
      </c>
      <c r="AL6" s="6">
        <f t="shared" ref="AL6" si="18">SUM(AL3:AL5)</f>
        <v>2821.3178164999586</v>
      </c>
      <c r="AM6" s="6">
        <f t="shared" ref="AM6" si="19">SUM(AM3:AM5)</f>
        <v>2962.3837073249565</v>
      </c>
      <c r="AN6" s="6">
        <f t="shared" ref="AN6" si="20">SUM(AN3:AN5)</f>
        <v>3110.5028926912046</v>
      </c>
      <c r="AO6" s="6">
        <f t="shared" ref="AO6" si="21">SUM(AO3:AO5)</f>
        <v>3266.0280373257647</v>
      </c>
      <c r="AP6" s="6">
        <f t="shared" ref="AP6" si="22">SUM(AP3:AP5)</f>
        <v>3429.3294391920535</v>
      </c>
    </row>
    <row r="7" spans="1:47" s="4" customFormat="1" x14ac:dyDescent="0.2">
      <c r="B7" s="4" t="s">
        <v>23</v>
      </c>
      <c r="C7" s="5"/>
      <c r="D7" s="5"/>
      <c r="E7" s="5">
        <f>25.345+19.324</f>
        <v>44.668999999999997</v>
      </c>
      <c r="F7" s="5">
        <f>31.134+20.729</f>
        <v>51.863</v>
      </c>
      <c r="G7" s="5">
        <f>22.484+18.67</f>
        <v>41.154000000000003</v>
      </c>
      <c r="H7" s="5">
        <f>25.76+19.303</f>
        <v>45.063000000000002</v>
      </c>
      <c r="I7" s="5">
        <f>26.751+20.107</f>
        <v>46.858000000000004</v>
      </c>
      <c r="J7" s="5">
        <f>33.786+20.388</f>
        <v>54.174000000000007</v>
      </c>
      <c r="K7" s="5">
        <f>24.857+19.606</f>
        <v>44.463000000000001</v>
      </c>
      <c r="L7" s="5">
        <f>26.993+20.559</f>
        <v>47.552</v>
      </c>
      <c r="M7" s="5">
        <f>+M6-M8</f>
        <v>46.645368000000019</v>
      </c>
      <c r="N7" s="5">
        <f t="shared" ref="N7" si="23">+N6-N8</f>
        <v>52.90731599999998</v>
      </c>
      <c r="O7" s="5"/>
      <c r="P7" s="5"/>
      <c r="Q7" s="5"/>
      <c r="R7" s="5"/>
      <c r="Y7" s="4">
        <v>162.63399999999999</v>
      </c>
      <c r="Z7" s="4">
        <v>176.541</v>
      </c>
      <c r="AA7" s="4">
        <v>189.05699999999999</v>
      </c>
      <c r="AB7" s="4">
        <f t="shared" si="4"/>
        <v>191.56768399999999</v>
      </c>
      <c r="AC7" s="4">
        <f>+AC6-AC8</f>
        <v>200.05112819999999</v>
      </c>
      <c r="AD7" s="4">
        <f t="shared" ref="AD7:AP7" si="24">+AD6-AD8</f>
        <v>210.05368460999989</v>
      </c>
      <c r="AE7" s="4">
        <f t="shared" si="24"/>
        <v>220.5563688405</v>
      </c>
      <c r="AF7" s="4">
        <f t="shared" si="24"/>
        <v>231.58418728252491</v>
      </c>
      <c r="AG7" s="4">
        <f t="shared" si="24"/>
        <v>243.16339664665134</v>
      </c>
      <c r="AH7" s="4">
        <f t="shared" si="24"/>
        <v>255.3215664789841</v>
      </c>
      <c r="AI7" s="4">
        <f t="shared" si="24"/>
        <v>268.08764480293303</v>
      </c>
      <c r="AJ7" s="4">
        <f t="shared" si="24"/>
        <v>281.49202704307982</v>
      </c>
      <c r="AK7" s="4">
        <f t="shared" si="24"/>
        <v>295.56662839523369</v>
      </c>
      <c r="AL7" s="4">
        <f t="shared" si="24"/>
        <v>310.34495981499549</v>
      </c>
      <c r="AM7" s="4">
        <f t="shared" si="24"/>
        <v>325.86220780574513</v>
      </c>
      <c r="AN7" s="4">
        <f t="shared" si="24"/>
        <v>342.15531819603257</v>
      </c>
      <c r="AO7" s="4">
        <f t="shared" si="24"/>
        <v>359.26308410583397</v>
      </c>
      <c r="AP7" s="4">
        <f t="shared" si="24"/>
        <v>377.22623831112605</v>
      </c>
    </row>
    <row r="8" spans="1:47" s="4" customFormat="1" x14ac:dyDescent="0.2">
      <c r="B8" s="4" t="s">
        <v>24</v>
      </c>
      <c r="C8" s="5"/>
      <c r="D8" s="5"/>
      <c r="E8" s="5">
        <f t="shared" ref="E8:L8" si="25">+E6-E7</f>
        <v>325.70100000000002</v>
      </c>
      <c r="F8" s="5">
        <f t="shared" si="25"/>
        <v>368.779</v>
      </c>
      <c r="G8" s="5">
        <f t="shared" si="25"/>
        <v>331.42200000000003</v>
      </c>
      <c r="H8" s="5">
        <f t="shared" si="25"/>
        <v>350.27100000000002</v>
      </c>
      <c r="I8" s="5">
        <f t="shared" si="25"/>
        <v>356.99799999999999</v>
      </c>
      <c r="J8" s="5">
        <f t="shared" si="25"/>
        <v>403.89800000000002</v>
      </c>
      <c r="K8" s="5">
        <f t="shared" si="25"/>
        <v>359.80799999999999</v>
      </c>
      <c r="L8" s="5">
        <f t="shared" si="25"/>
        <v>375.19699999999995</v>
      </c>
      <c r="M8" s="5">
        <f>+M6*0.89</f>
        <v>377.40343200000001</v>
      </c>
      <c r="N8" s="5">
        <f t="shared" ref="N8" si="26">+N6*0.89</f>
        <v>428.06828400000001</v>
      </c>
      <c r="O8" s="5"/>
      <c r="P8" s="5"/>
      <c r="Q8" s="5"/>
      <c r="R8" s="5"/>
      <c r="Y8" s="4">
        <f>+Y6-Y7</f>
        <v>1231.471</v>
      </c>
      <c r="Z8" s="4">
        <f>+Z6-Z7</f>
        <v>1319.2750000000001</v>
      </c>
      <c r="AA8" s="4">
        <f>+AA6-AA7</f>
        <v>1440.7809999999999</v>
      </c>
      <c r="AB8" s="4">
        <f>+AB6-AB7</f>
        <v>1540.4767160000001</v>
      </c>
      <c r="AC8" s="4">
        <f>+AC6*0.89</f>
        <v>1618.5954918</v>
      </c>
      <c r="AD8" s="4">
        <f t="shared" ref="AD8:AP8" si="27">+AD6*0.89</f>
        <v>1699.5252663900003</v>
      </c>
      <c r="AE8" s="4">
        <f t="shared" si="27"/>
        <v>1784.5015297095003</v>
      </c>
      <c r="AF8" s="4">
        <f t="shared" si="27"/>
        <v>1873.7266061949754</v>
      </c>
      <c r="AG8" s="4">
        <f t="shared" si="27"/>
        <v>1967.412936504724</v>
      </c>
      <c r="AH8" s="4">
        <f t="shared" si="27"/>
        <v>2065.7835833299605</v>
      </c>
      <c r="AI8" s="4">
        <f t="shared" si="27"/>
        <v>2169.0727624964584</v>
      </c>
      <c r="AJ8" s="4">
        <f t="shared" si="27"/>
        <v>2277.5264006212815</v>
      </c>
      <c r="AK8" s="4">
        <f t="shared" si="27"/>
        <v>2391.4027206523456</v>
      </c>
      <c r="AL8" s="4">
        <f t="shared" si="27"/>
        <v>2510.9728566849631</v>
      </c>
      <c r="AM8" s="4">
        <f t="shared" si="27"/>
        <v>2636.5214995192114</v>
      </c>
      <c r="AN8" s="4">
        <f t="shared" si="27"/>
        <v>2768.347574495172</v>
      </c>
      <c r="AO8" s="4">
        <f t="shared" si="27"/>
        <v>2906.7649532199307</v>
      </c>
      <c r="AP8" s="4">
        <f t="shared" si="27"/>
        <v>3052.1032008809275</v>
      </c>
    </row>
    <row r="9" spans="1:47" s="4" customFormat="1" x14ac:dyDescent="0.2">
      <c r="B9" s="4" t="s">
        <v>25</v>
      </c>
      <c r="C9" s="5"/>
      <c r="D9" s="5"/>
      <c r="E9" s="5">
        <v>74.741</v>
      </c>
      <c r="F9" s="5">
        <v>83.186999999999998</v>
      </c>
      <c r="G9" s="5">
        <v>76.016000000000005</v>
      </c>
      <c r="H9" s="5">
        <v>92.126000000000005</v>
      </c>
      <c r="I9" s="5">
        <v>90.462999999999994</v>
      </c>
      <c r="J9" s="5">
        <v>101.19799999999999</v>
      </c>
      <c r="K9" s="5">
        <v>91.757999999999996</v>
      </c>
      <c r="L9" s="5">
        <v>107.55800000000001</v>
      </c>
      <c r="M9" s="5">
        <f>+I9*1.05</f>
        <v>94.986149999999995</v>
      </c>
      <c r="N9" s="5">
        <f t="shared" ref="N9:N11" si="28">+J9*1.05</f>
        <v>106.25789999999999</v>
      </c>
      <c r="O9" s="5"/>
      <c r="P9" s="5"/>
      <c r="Q9" s="5"/>
      <c r="R9" s="5"/>
      <c r="Y9" s="4">
        <v>276.06700000000001</v>
      </c>
      <c r="Z9" s="4">
        <v>306.363</v>
      </c>
      <c r="AA9" s="4">
        <v>359.80399999999997</v>
      </c>
      <c r="AB9" s="4">
        <f t="shared" si="4"/>
        <v>400.56004999999999</v>
      </c>
      <c r="AC9" s="4">
        <f>+AB9*1.04</f>
        <v>416.58245199999999</v>
      </c>
      <c r="AD9" s="4">
        <f t="shared" ref="AD9:AP9" si="29">+AC9*1.04</f>
        <v>433.24575007999999</v>
      </c>
      <c r="AE9" s="4">
        <f t="shared" si="29"/>
        <v>450.57558008320001</v>
      </c>
      <c r="AF9" s="4">
        <f t="shared" si="29"/>
        <v>468.59860328652803</v>
      </c>
      <c r="AG9" s="4">
        <f t="shared" si="29"/>
        <v>487.34254741798918</v>
      </c>
      <c r="AH9" s="4">
        <f t="shared" si="29"/>
        <v>506.83624931470877</v>
      </c>
      <c r="AI9" s="4">
        <f t="shared" si="29"/>
        <v>527.10969928729719</v>
      </c>
      <c r="AJ9" s="4">
        <f t="shared" si="29"/>
        <v>548.19408725878907</v>
      </c>
      <c r="AK9" s="4">
        <f t="shared" si="29"/>
        <v>570.12185074914066</v>
      </c>
      <c r="AL9" s="4">
        <f t="shared" si="29"/>
        <v>592.92672477910628</v>
      </c>
      <c r="AM9" s="4">
        <f t="shared" si="29"/>
        <v>616.64379377027058</v>
      </c>
      <c r="AN9" s="4">
        <f t="shared" si="29"/>
        <v>641.30954552108142</v>
      </c>
      <c r="AO9" s="4">
        <f t="shared" si="29"/>
        <v>666.96192734192471</v>
      </c>
      <c r="AP9" s="4">
        <f t="shared" si="29"/>
        <v>693.64040443560168</v>
      </c>
    </row>
    <row r="10" spans="1:47" s="4" customFormat="1" x14ac:dyDescent="0.2">
      <c r="B10" s="4" t="s">
        <v>26</v>
      </c>
      <c r="C10" s="5"/>
      <c r="D10" s="5"/>
      <c r="E10" s="5">
        <v>32.604999999999997</v>
      </c>
      <c r="F10" s="5">
        <v>34.277999999999999</v>
      </c>
      <c r="G10" s="5">
        <v>35.524000000000001</v>
      </c>
      <c r="H10" s="5">
        <v>36.229999999999997</v>
      </c>
      <c r="I10" s="5">
        <v>37.494999999999997</v>
      </c>
      <c r="J10" s="5">
        <v>40.03</v>
      </c>
      <c r="K10" s="5">
        <v>42.334000000000003</v>
      </c>
      <c r="L10" s="5">
        <v>43.853999999999999</v>
      </c>
      <c r="M10" s="5">
        <f t="shared" ref="M10:M11" si="30">+I10*1.05</f>
        <v>39.369749999999996</v>
      </c>
      <c r="N10" s="5">
        <f t="shared" si="28"/>
        <v>42.031500000000001</v>
      </c>
      <c r="O10" s="5"/>
      <c r="P10" s="5"/>
      <c r="Q10" s="5"/>
      <c r="R10" s="5"/>
      <c r="Y10" s="4">
        <v>121.764</v>
      </c>
      <c r="Z10" s="4">
        <v>133.30000000000001</v>
      </c>
      <c r="AA10" s="4">
        <v>149.279</v>
      </c>
      <c r="AB10" s="4">
        <f t="shared" si="4"/>
        <v>167.58924999999999</v>
      </c>
      <c r="AC10" s="4">
        <f t="shared" ref="AC10:AP10" si="31">+AB10*1.04</f>
        <v>174.29282000000001</v>
      </c>
      <c r="AD10" s="4">
        <f t="shared" si="31"/>
        <v>181.26453280000001</v>
      </c>
      <c r="AE10" s="4">
        <f t="shared" si="31"/>
        <v>188.51511411200002</v>
      </c>
      <c r="AF10" s="4">
        <f t="shared" si="31"/>
        <v>196.05571867648004</v>
      </c>
      <c r="AG10" s="4">
        <f t="shared" si="31"/>
        <v>203.89794742353925</v>
      </c>
      <c r="AH10" s="4">
        <f t="shared" si="31"/>
        <v>212.05386532048084</v>
      </c>
      <c r="AI10" s="4">
        <f t="shared" si="31"/>
        <v>220.53601993330008</v>
      </c>
      <c r="AJ10" s="4">
        <f t="shared" si="31"/>
        <v>229.35746073063208</v>
      </c>
      <c r="AK10" s="4">
        <f t="shared" si="31"/>
        <v>238.53175915985739</v>
      </c>
      <c r="AL10" s="4">
        <f t="shared" si="31"/>
        <v>248.0730295262517</v>
      </c>
      <c r="AM10" s="4">
        <f t="shared" si="31"/>
        <v>257.9959507073018</v>
      </c>
      <c r="AN10" s="4">
        <f t="shared" si="31"/>
        <v>268.31578873559386</v>
      </c>
      <c r="AO10" s="4">
        <f t="shared" si="31"/>
        <v>279.04842028501764</v>
      </c>
      <c r="AP10" s="4">
        <f t="shared" si="31"/>
        <v>290.21035709641836</v>
      </c>
    </row>
    <row r="11" spans="1:47" s="4" customFormat="1" x14ac:dyDescent="0.2">
      <c r="B11" s="4" t="s">
        <v>27</v>
      </c>
      <c r="C11" s="5"/>
      <c r="D11" s="5"/>
      <c r="E11" s="5">
        <v>20.914000000000001</v>
      </c>
      <c r="F11" s="5">
        <v>22</v>
      </c>
      <c r="G11" s="5">
        <v>22.690999999999999</v>
      </c>
      <c r="H11" s="5">
        <v>22.297000000000001</v>
      </c>
      <c r="I11" s="5">
        <v>23.86</v>
      </c>
      <c r="J11" s="5">
        <v>23.134</v>
      </c>
      <c r="K11" s="5">
        <v>22.949000000000002</v>
      </c>
      <c r="L11" s="5">
        <v>21.088000000000001</v>
      </c>
      <c r="M11" s="5">
        <f t="shared" si="30"/>
        <v>25.053000000000001</v>
      </c>
      <c r="N11" s="5">
        <f t="shared" si="28"/>
        <v>24.290700000000001</v>
      </c>
      <c r="O11" s="5"/>
      <c r="P11" s="5"/>
      <c r="Q11" s="5"/>
      <c r="R11" s="5"/>
      <c r="Y11" s="4">
        <v>72.734999999999999</v>
      </c>
      <c r="Z11" s="4">
        <v>78.558000000000007</v>
      </c>
      <c r="AA11" s="4">
        <v>91.980999999999995</v>
      </c>
      <c r="AB11" s="4">
        <f t="shared" si="4"/>
        <v>93.380700000000004</v>
      </c>
      <c r="AC11" s="4">
        <f t="shared" ref="AC11:AP11" si="32">+AB11*1.04</f>
        <v>97.115928000000011</v>
      </c>
      <c r="AD11" s="4">
        <f t="shared" si="32"/>
        <v>101.00056512000002</v>
      </c>
      <c r="AE11" s="4">
        <f t="shared" si="32"/>
        <v>105.04058772480002</v>
      </c>
      <c r="AF11" s="4">
        <f t="shared" si="32"/>
        <v>109.24221123379202</v>
      </c>
      <c r="AG11" s="4">
        <f t="shared" si="32"/>
        <v>113.6118996831437</v>
      </c>
      <c r="AH11" s="4">
        <f t="shared" si="32"/>
        <v>118.15637567046946</v>
      </c>
      <c r="AI11" s="4">
        <f t="shared" si="32"/>
        <v>122.88263069728823</v>
      </c>
      <c r="AJ11" s="4">
        <f t="shared" si="32"/>
        <v>127.79793592517977</v>
      </c>
      <c r="AK11" s="4">
        <f t="shared" si="32"/>
        <v>132.90985336218696</v>
      </c>
      <c r="AL11" s="4">
        <f t="shared" si="32"/>
        <v>138.22624749667446</v>
      </c>
      <c r="AM11" s="4">
        <f t="shared" si="32"/>
        <v>143.75529739654144</v>
      </c>
      <c r="AN11" s="4">
        <f t="shared" si="32"/>
        <v>149.5055092924031</v>
      </c>
      <c r="AO11" s="4">
        <f t="shared" si="32"/>
        <v>155.48572966409924</v>
      </c>
      <c r="AP11" s="4">
        <f t="shared" si="32"/>
        <v>161.70515885066322</v>
      </c>
    </row>
    <row r="12" spans="1:47" s="4" customFormat="1" x14ac:dyDescent="0.2">
      <c r="B12" s="4" t="s">
        <v>28</v>
      </c>
      <c r="C12" s="5"/>
      <c r="D12" s="5"/>
      <c r="E12" s="5">
        <f t="shared" ref="E12:L12" si="33">SUM(E9:E11)</f>
        <v>128.26</v>
      </c>
      <c r="F12" s="5">
        <f t="shared" si="33"/>
        <v>139.465</v>
      </c>
      <c r="G12" s="5">
        <f t="shared" si="33"/>
        <v>134.23099999999999</v>
      </c>
      <c r="H12" s="5">
        <f t="shared" si="33"/>
        <v>150.65299999999999</v>
      </c>
      <c r="I12" s="5">
        <f t="shared" si="33"/>
        <v>151.81799999999998</v>
      </c>
      <c r="J12" s="5">
        <f t="shared" si="33"/>
        <v>164.36200000000002</v>
      </c>
      <c r="K12" s="5">
        <f t="shared" si="33"/>
        <v>157.041</v>
      </c>
      <c r="L12" s="5">
        <f t="shared" si="33"/>
        <v>172.5</v>
      </c>
      <c r="M12" s="5">
        <f t="shared" ref="M12:N12" si="34">SUM(M9:M11)</f>
        <v>159.40889999999999</v>
      </c>
      <c r="N12" s="5">
        <f t="shared" si="34"/>
        <v>172.58010000000002</v>
      </c>
      <c r="O12" s="5"/>
      <c r="P12" s="5"/>
      <c r="Q12" s="5"/>
      <c r="R12" s="5"/>
      <c r="Y12" s="4">
        <f>SUM(Y9:Y11)</f>
        <v>470.56600000000003</v>
      </c>
      <c r="Z12" s="4">
        <f>SUM(Z9:Z11)</f>
        <v>518.221</v>
      </c>
      <c r="AA12" s="4">
        <f>SUM(AA9:AA11)</f>
        <v>601.06399999999996</v>
      </c>
      <c r="AB12" s="4">
        <f t="shared" ref="AB12" si="35">SUM(AB9:AB11)</f>
        <v>661.53000000000009</v>
      </c>
      <c r="AC12" s="4">
        <f t="shared" ref="AC12" si="36">SUM(AC9:AC11)</f>
        <v>687.99120000000005</v>
      </c>
      <c r="AD12" s="4">
        <f t="shared" ref="AD12" si="37">SUM(AD9:AD11)</f>
        <v>715.51084800000001</v>
      </c>
      <c r="AE12" s="4">
        <f t="shared" ref="AE12" si="38">SUM(AE9:AE11)</f>
        <v>744.13128192000011</v>
      </c>
      <c r="AF12" s="4">
        <f t="shared" ref="AF12" si="39">SUM(AF9:AF11)</f>
        <v>773.89653319680008</v>
      </c>
      <c r="AG12" s="4">
        <f t="shared" ref="AG12" si="40">SUM(AG9:AG11)</f>
        <v>804.85239452467215</v>
      </c>
      <c r="AH12" s="4">
        <f t="shared" ref="AH12" si="41">SUM(AH9:AH11)</f>
        <v>837.04649030565906</v>
      </c>
      <c r="AI12" s="4">
        <f t="shared" ref="AI12" si="42">SUM(AI9:AI11)</f>
        <v>870.52834991788552</v>
      </c>
      <c r="AJ12" s="4">
        <f t="shared" ref="AJ12" si="43">SUM(AJ9:AJ11)</f>
        <v>905.34948391460091</v>
      </c>
      <c r="AK12" s="4">
        <f t="shared" ref="AK12" si="44">SUM(AK9:AK11)</f>
        <v>941.56346327118501</v>
      </c>
      <c r="AL12" s="4">
        <f t="shared" ref="AL12" si="45">SUM(AL9:AL11)</f>
        <v>979.22600180203244</v>
      </c>
      <c r="AM12" s="4">
        <f t="shared" ref="AM12" si="46">SUM(AM9:AM11)</f>
        <v>1018.3950418741138</v>
      </c>
      <c r="AN12" s="4">
        <f t="shared" ref="AN12" si="47">SUM(AN9:AN11)</f>
        <v>1059.1308435490785</v>
      </c>
      <c r="AO12" s="4">
        <f t="shared" ref="AO12" si="48">SUM(AO9:AO11)</f>
        <v>1101.4960772910415</v>
      </c>
      <c r="AP12" s="4">
        <f t="shared" ref="AP12" si="49">SUM(AP9:AP11)</f>
        <v>1145.5559203826833</v>
      </c>
    </row>
    <row r="13" spans="1:47" s="4" customFormat="1" x14ac:dyDescent="0.2">
      <c r="B13" s="4" t="s">
        <v>29</v>
      </c>
      <c r="C13" s="5"/>
      <c r="D13" s="5"/>
      <c r="E13" s="5">
        <f t="shared" ref="E13:L13" si="50">E8-E12</f>
        <v>197.44100000000003</v>
      </c>
      <c r="F13" s="5">
        <f t="shared" si="50"/>
        <v>229.31399999999999</v>
      </c>
      <c r="G13" s="5">
        <f t="shared" si="50"/>
        <v>197.19100000000003</v>
      </c>
      <c r="H13" s="5">
        <f t="shared" si="50"/>
        <v>199.61800000000002</v>
      </c>
      <c r="I13" s="5">
        <f t="shared" si="50"/>
        <v>205.18</v>
      </c>
      <c r="J13" s="5">
        <f t="shared" si="50"/>
        <v>239.536</v>
      </c>
      <c r="K13" s="5">
        <f t="shared" si="50"/>
        <v>202.767</v>
      </c>
      <c r="L13" s="5">
        <f t="shared" si="50"/>
        <v>202.69699999999995</v>
      </c>
      <c r="M13" s="5">
        <f t="shared" ref="M13:N13" si="51">M8-M12</f>
        <v>217.99453200000002</v>
      </c>
      <c r="N13" s="5">
        <f t="shared" si="51"/>
        <v>255.48818399999999</v>
      </c>
      <c r="O13" s="5"/>
      <c r="P13" s="5"/>
      <c r="Q13" s="5"/>
      <c r="R13" s="5"/>
      <c r="Y13" s="4">
        <f>Y8-Y12</f>
        <v>760.90499999999997</v>
      </c>
      <c r="Z13" s="4">
        <f>Z8-Z12</f>
        <v>801.05400000000009</v>
      </c>
      <c r="AA13" s="4">
        <f>AA8-AA12</f>
        <v>839.71699999999998</v>
      </c>
      <c r="AB13" s="4">
        <f t="shared" ref="AB13" si="52">AB8-AB12</f>
        <v>878.94671600000004</v>
      </c>
      <c r="AC13" s="4">
        <f t="shared" ref="AC13" si="53">AC8-AC12</f>
        <v>930.60429179999994</v>
      </c>
      <c r="AD13" s="4">
        <f t="shared" ref="AD13" si="54">AD8-AD12</f>
        <v>984.01441839000029</v>
      </c>
      <c r="AE13" s="4">
        <f t="shared" ref="AE13" si="55">AE8-AE12</f>
        <v>1040.3702477895004</v>
      </c>
      <c r="AF13" s="4">
        <f t="shared" ref="AF13" si="56">AF8-AF12</f>
        <v>1099.8300729981752</v>
      </c>
      <c r="AG13" s="4">
        <f t="shared" ref="AG13" si="57">AG8-AG12</f>
        <v>1162.5605419800518</v>
      </c>
      <c r="AH13" s="4">
        <f t="shared" ref="AH13" si="58">AH8-AH12</f>
        <v>1228.7370930243014</v>
      </c>
      <c r="AI13" s="4">
        <f t="shared" ref="AI13" si="59">AI8-AI12</f>
        <v>1298.544412578573</v>
      </c>
      <c r="AJ13" s="4">
        <f t="shared" ref="AJ13" si="60">AJ8-AJ12</f>
        <v>1372.1769167066805</v>
      </c>
      <c r="AK13" s="4">
        <f t="shared" ref="AK13" si="61">AK8-AK12</f>
        <v>1449.8392573811607</v>
      </c>
      <c r="AL13" s="4">
        <f t="shared" ref="AL13" si="62">AL8-AL12</f>
        <v>1531.7468548829306</v>
      </c>
      <c r="AM13" s="4">
        <f t="shared" ref="AM13" si="63">AM8-AM12</f>
        <v>1618.1264576450976</v>
      </c>
      <c r="AN13" s="4">
        <f t="shared" ref="AN13" si="64">AN8-AN12</f>
        <v>1709.2167309460935</v>
      </c>
      <c r="AO13" s="4">
        <f t="shared" ref="AO13" si="65">AO8-AO12</f>
        <v>1805.2688759288892</v>
      </c>
      <c r="AP13" s="4">
        <f t="shared" ref="AP13" si="66">AP8-AP12</f>
        <v>1906.5472804982442</v>
      </c>
    </row>
    <row r="14" spans="1:47" s="4" customFormat="1" x14ac:dyDescent="0.2">
      <c r="B14" s="4" t="s">
        <v>35</v>
      </c>
      <c r="C14" s="5"/>
      <c r="D14" s="5"/>
      <c r="E14" s="5">
        <v>7.3129999999999997</v>
      </c>
      <c r="F14" s="5">
        <v>7.0019999999999998</v>
      </c>
      <c r="G14" s="5">
        <v>8.0380000000000003</v>
      </c>
      <c r="H14" s="5">
        <v>8.5820000000000007</v>
      </c>
      <c r="I14" s="5">
        <v>8.2850000000000001</v>
      </c>
      <c r="J14" s="5">
        <v>9.1679999999999993</v>
      </c>
      <c r="K14" s="5">
        <v>9.9480000000000004</v>
      </c>
      <c r="L14" s="5">
        <v>11.815</v>
      </c>
      <c r="M14" s="5">
        <f>+L14</f>
        <v>11.815</v>
      </c>
      <c r="N14" s="5">
        <f t="shared" ref="N14" si="67">+M14</f>
        <v>11.815</v>
      </c>
      <c r="O14" s="5"/>
      <c r="P14" s="5"/>
      <c r="Q14" s="5"/>
      <c r="R14" s="5"/>
      <c r="Y14" s="4">
        <v>34.930999999999997</v>
      </c>
      <c r="Z14" s="4">
        <v>28.762</v>
      </c>
      <c r="AA14" s="4">
        <v>34.073</v>
      </c>
      <c r="AB14" s="4">
        <f t="shared" ref="AB14:AB16" si="68">SUM(K14:N14)</f>
        <v>45.392999999999994</v>
      </c>
      <c r="AC14" s="4">
        <f>+AB26*$AS$24</f>
        <v>41.056771728000001</v>
      </c>
      <c r="AD14" s="4">
        <f t="shared" ref="AD14:AP14" si="69">+AC26*$AS$24</f>
        <v>48.830060236224</v>
      </c>
      <c r="AE14" s="4">
        <f t="shared" si="69"/>
        <v>57.092816065233791</v>
      </c>
      <c r="AF14" s="4">
        <f t="shared" si="69"/>
        <v>65.872520576071665</v>
      </c>
      <c r="AG14" s="4">
        <f t="shared" si="69"/>
        <v>75.198141324665642</v>
      </c>
      <c r="AH14" s="4">
        <f t="shared" si="69"/>
        <v>85.100210791103379</v>
      </c>
      <c r="AI14" s="4">
        <f t="shared" si="69"/>
        <v>95.610909221626628</v>
      </c>
      <c r="AJ14" s="4">
        <f t="shared" si="69"/>
        <v>106.76415179602822</v>
      </c>
      <c r="AK14" s="4">
        <f t="shared" si="69"/>
        <v>118.5956803440499</v>
      </c>
      <c r="AL14" s="4">
        <f t="shared" si="69"/>
        <v>131.14315984585159</v>
      </c>
      <c r="AM14" s="4">
        <f t="shared" si="69"/>
        <v>144.44627996368183</v>
      </c>
      <c r="AN14" s="4">
        <f t="shared" si="69"/>
        <v>158.54686186455206</v>
      </c>
      <c r="AO14" s="4">
        <f t="shared" si="69"/>
        <v>173.48897060703723</v>
      </c>
      <c r="AP14" s="4">
        <f t="shared" si="69"/>
        <v>189.31903337932465</v>
      </c>
    </row>
    <row r="15" spans="1:47" s="4" customFormat="1" x14ac:dyDescent="0.2">
      <c r="B15" s="4" t="s">
        <v>34</v>
      </c>
      <c r="C15" s="5"/>
      <c r="D15" s="5"/>
      <c r="E15" s="5">
        <f t="shared" ref="E15:N15" si="70">+E13+E14</f>
        <v>204.75400000000002</v>
      </c>
      <c r="F15" s="5">
        <f t="shared" si="70"/>
        <v>236.316</v>
      </c>
      <c r="G15" s="5">
        <f t="shared" si="70"/>
        <v>205.22900000000004</v>
      </c>
      <c r="H15" s="5">
        <f t="shared" si="70"/>
        <v>208.20000000000002</v>
      </c>
      <c r="I15" s="5">
        <f t="shared" si="70"/>
        <v>213.465</v>
      </c>
      <c r="J15" s="5">
        <f t="shared" si="70"/>
        <v>248.70400000000001</v>
      </c>
      <c r="K15" s="5">
        <f t="shared" si="70"/>
        <v>212.715</v>
      </c>
      <c r="L15" s="5">
        <f t="shared" si="70"/>
        <v>214.51199999999994</v>
      </c>
      <c r="M15" s="5">
        <f t="shared" si="70"/>
        <v>229.80953200000002</v>
      </c>
      <c r="N15" s="5">
        <f t="shared" si="70"/>
        <v>267.30318399999999</v>
      </c>
      <c r="O15" s="5"/>
      <c r="P15" s="5"/>
      <c r="Q15" s="5"/>
      <c r="R15" s="5"/>
      <c r="Y15" s="4">
        <f>+Y13+Y14</f>
        <v>795.83600000000001</v>
      </c>
      <c r="Z15" s="4">
        <f>+Z13+Z14</f>
        <v>829.81600000000003</v>
      </c>
      <c r="AA15" s="4">
        <f>+AA13+AA14</f>
        <v>873.79</v>
      </c>
      <c r="AB15" s="4">
        <f>+AB13+AB14</f>
        <v>924.33971600000007</v>
      </c>
      <c r="AC15" s="4">
        <f t="shared" ref="AC15:AP15" si="71">+AC13+AC14</f>
        <v>971.66106352799989</v>
      </c>
      <c r="AD15" s="4">
        <f t="shared" si="71"/>
        <v>1032.8444786262244</v>
      </c>
      <c r="AE15" s="4">
        <f t="shared" si="71"/>
        <v>1097.4630638547342</v>
      </c>
      <c r="AF15" s="4">
        <f t="shared" si="71"/>
        <v>1165.7025935742467</v>
      </c>
      <c r="AG15" s="4">
        <f t="shared" si="71"/>
        <v>1237.7586833047174</v>
      </c>
      <c r="AH15" s="4">
        <f t="shared" si="71"/>
        <v>1313.8373038154048</v>
      </c>
      <c r="AI15" s="4">
        <f t="shared" si="71"/>
        <v>1394.1553218001995</v>
      </c>
      <c r="AJ15" s="4">
        <f t="shared" si="71"/>
        <v>1478.9410685027087</v>
      </c>
      <c r="AK15" s="4">
        <f t="shared" si="71"/>
        <v>1568.4349377252106</v>
      </c>
      <c r="AL15" s="4">
        <f t="shared" si="71"/>
        <v>1662.8900147287823</v>
      </c>
      <c r="AM15" s="4">
        <f t="shared" si="71"/>
        <v>1762.5727376087793</v>
      </c>
      <c r="AN15" s="4">
        <f t="shared" si="71"/>
        <v>1867.7635928106456</v>
      </c>
      <c r="AO15" s="4">
        <f t="shared" si="71"/>
        <v>1978.7578465359265</v>
      </c>
      <c r="AP15" s="4">
        <f t="shared" si="71"/>
        <v>2095.8663138775687</v>
      </c>
    </row>
    <row r="16" spans="1:47" s="4" customFormat="1" x14ac:dyDescent="0.2">
      <c r="B16" s="4" t="s">
        <v>33</v>
      </c>
      <c r="C16" s="5"/>
      <c r="D16" s="5"/>
      <c r="E16" s="5">
        <v>43.646999999999998</v>
      </c>
      <c r="F16" s="5">
        <v>50.472999999999999</v>
      </c>
      <c r="G16" s="5">
        <v>44.17</v>
      </c>
      <c r="H16" s="5">
        <v>45.024000000000001</v>
      </c>
      <c r="I16" s="5">
        <v>45.176000000000002</v>
      </c>
      <c r="J16" s="5">
        <v>53.554000000000002</v>
      </c>
      <c r="K16" s="5">
        <v>44.747</v>
      </c>
      <c r="L16" s="5">
        <v>48.146999999999998</v>
      </c>
      <c r="M16" s="5">
        <f>+M15*0.2</f>
        <v>45.961906400000004</v>
      </c>
      <c r="N16" s="5">
        <f t="shared" ref="N16" si="72">+N15*0.2</f>
        <v>53.460636800000003</v>
      </c>
      <c r="O16" s="5"/>
      <c r="P16" s="5"/>
      <c r="Q16" s="5"/>
      <c r="R16" s="5"/>
      <c r="Y16" s="4">
        <v>143.036</v>
      </c>
      <c r="Z16" s="4">
        <v>170.245</v>
      </c>
      <c r="AA16" s="4">
        <v>187.92400000000001</v>
      </c>
      <c r="AB16" s="4">
        <f t="shared" si="68"/>
        <v>192.31654320000001</v>
      </c>
      <c r="AC16" s="4">
        <f>+AC15*0.2</f>
        <v>194.3322127056</v>
      </c>
      <c r="AD16" s="4">
        <f t="shared" ref="AD16:AP16" si="73">+AD15*0.2</f>
        <v>206.56889572524489</v>
      </c>
      <c r="AE16" s="4">
        <f t="shared" si="73"/>
        <v>219.49261277094683</v>
      </c>
      <c r="AF16" s="4">
        <f t="shared" si="73"/>
        <v>233.14051871484935</v>
      </c>
      <c r="AG16" s="4">
        <f t="shared" si="73"/>
        <v>247.55173666094348</v>
      </c>
      <c r="AH16" s="4">
        <f t="shared" si="73"/>
        <v>262.76746076308098</v>
      </c>
      <c r="AI16" s="4">
        <f t="shared" si="73"/>
        <v>278.83106436003993</v>
      </c>
      <c r="AJ16" s="4">
        <f t="shared" si="73"/>
        <v>295.78821370054175</v>
      </c>
      <c r="AK16" s="4">
        <f t="shared" si="73"/>
        <v>313.68698754504214</v>
      </c>
      <c r="AL16" s="4">
        <f t="shared" si="73"/>
        <v>332.57800294575645</v>
      </c>
      <c r="AM16" s="4">
        <f t="shared" si="73"/>
        <v>352.5145475217559</v>
      </c>
      <c r="AN16" s="4">
        <f t="shared" si="73"/>
        <v>373.55271856212914</v>
      </c>
      <c r="AO16" s="4">
        <f t="shared" si="73"/>
        <v>395.75156930718532</v>
      </c>
      <c r="AP16" s="4">
        <f t="shared" si="73"/>
        <v>419.17326277551376</v>
      </c>
    </row>
    <row r="17" spans="2:101" s="4" customFormat="1" x14ac:dyDescent="0.2">
      <c r="B17" s="4" t="s">
        <v>30</v>
      </c>
      <c r="C17" s="5"/>
      <c r="D17" s="5"/>
      <c r="E17" s="5">
        <f t="shared" ref="E17:N17" si="74">+E15-E16</f>
        <v>161.10700000000003</v>
      </c>
      <c r="F17" s="5">
        <f t="shared" si="74"/>
        <v>185.84300000000002</v>
      </c>
      <c r="G17" s="5">
        <f t="shared" si="74"/>
        <v>161.05900000000003</v>
      </c>
      <c r="H17" s="5">
        <f t="shared" si="74"/>
        <v>163.17600000000002</v>
      </c>
      <c r="I17" s="5">
        <f t="shared" si="74"/>
        <v>168.28899999999999</v>
      </c>
      <c r="J17" s="5">
        <f t="shared" si="74"/>
        <v>195.15</v>
      </c>
      <c r="K17" s="5">
        <f t="shared" si="74"/>
        <v>167.96800000000002</v>
      </c>
      <c r="L17" s="5">
        <f t="shared" si="74"/>
        <v>166.36499999999995</v>
      </c>
      <c r="M17" s="5">
        <f t="shared" si="74"/>
        <v>183.84762560000001</v>
      </c>
      <c r="N17" s="5">
        <f t="shared" si="74"/>
        <v>213.84254719999998</v>
      </c>
      <c r="O17" s="5"/>
      <c r="P17" s="5"/>
      <c r="Q17" s="5"/>
      <c r="R17" s="5"/>
      <c r="Y17" s="4">
        <f>+Y15-Y16</f>
        <v>652.79999999999995</v>
      </c>
      <c r="Z17" s="4">
        <f>+Z15-Z16</f>
        <v>659.57100000000003</v>
      </c>
      <c r="AA17" s="4">
        <f>+AA15-AA16</f>
        <v>685.86599999999999</v>
      </c>
      <c r="AB17" s="4">
        <f t="shared" ref="AB17:AC17" si="75">+AB15-AB16</f>
        <v>732.02317280000011</v>
      </c>
      <c r="AC17" s="4">
        <f t="shared" si="75"/>
        <v>777.32885082239989</v>
      </c>
      <c r="AD17" s="4">
        <f t="shared" ref="AD17" si="76">+AD15-AD16</f>
        <v>826.27558290097954</v>
      </c>
      <c r="AE17" s="4">
        <f t="shared" ref="AE17" si="77">+AE15-AE16</f>
        <v>877.97045108378734</v>
      </c>
      <c r="AF17" s="4">
        <f t="shared" ref="AF17" si="78">+AF15-AF16</f>
        <v>932.5620748593974</v>
      </c>
      <c r="AG17" s="4">
        <f t="shared" ref="AG17" si="79">+AG15-AG16</f>
        <v>990.2069466437739</v>
      </c>
      <c r="AH17" s="4">
        <f t="shared" ref="AH17" si="80">+AH15-AH16</f>
        <v>1051.0698430523239</v>
      </c>
      <c r="AI17" s="4">
        <f t="shared" ref="AI17" si="81">+AI15-AI16</f>
        <v>1115.3242574401597</v>
      </c>
      <c r="AJ17" s="4">
        <f t="shared" ref="AJ17" si="82">+AJ15-AJ16</f>
        <v>1183.152854802167</v>
      </c>
      <c r="AK17" s="4">
        <f t="shared" ref="AK17" si="83">+AK15-AK16</f>
        <v>1254.7479501801686</v>
      </c>
      <c r="AL17" s="4">
        <f t="shared" ref="AL17" si="84">+AL15-AL16</f>
        <v>1330.3120117830258</v>
      </c>
      <c r="AM17" s="4">
        <f t="shared" ref="AM17" si="85">+AM15-AM16</f>
        <v>1410.0581900870234</v>
      </c>
      <c r="AN17" s="4">
        <f t="shared" ref="AN17" si="86">+AN15-AN16</f>
        <v>1494.2108742485166</v>
      </c>
      <c r="AO17" s="4">
        <f t="shared" ref="AO17" si="87">+AO15-AO16</f>
        <v>1583.0062772287413</v>
      </c>
      <c r="AP17" s="4">
        <f t="shared" ref="AP17" si="88">+AP15-AP16</f>
        <v>1676.6930511020551</v>
      </c>
      <c r="AQ17" s="4">
        <f>+AP17*(1+$AS$22)</f>
        <v>1659.9261205910345</v>
      </c>
      <c r="AR17" s="4">
        <f t="shared" ref="AR17:CW17" si="89">+AQ17*(1+$AS$22)</f>
        <v>1643.3268593851242</v>
      </c>
      <c r="AS17" s="4">
        <f t="shared" si="89"/>
        <v>1626.893590791273</v>
      </c>
      <c r="AT17" s="4">
        <f t="shared" si="89"/>
        <v>1610.6246548833603</v>
      </c>
      <c r="AU17" s="4">
        <f t="shared" si="89"/>
        <v>1594.5184083345266</v>
      </c>
      <c r="AV17" s="4">
        <f t="shared" si="89"/>
        <v>1578.5732242511813</v>
      </c>
      <c r="AW17" s="4">
        <f t="shared" si="89"/>
        <v>1562.7874920086695</v>
      </c>
      <c r="AX17" s="4">
        <f t="shared" si="89"/>
        <v>1547.1596170885828</v>
      </c>
      <c r="AY17" s="4">
        <f t="shared" si="89"/>
        <v>1531.688020917697</v>
      </c>
      <c r="AZ17" s="4">
        <f t="shared" si="89"/>
        <v>1516.37114070852</v>
      </c>
      <c r="BA17" s="4">
        <f t="shared" si="89"/>
        <v>1501.2074293014348</v>
      </c>
      <c r="BB17" s="4">
        <f t="shared" si="89"/>
        <v>1486.1953550084204</v>
      </c>
      <c r="BC17" s="4">
        <f t="shared" si="89"/>
        <v>1471.3334014583361</v>
      </c>
      <c r="BD17" s="4">
        <f t="shared" si="89"/>
        <v>1456.6200674437528</v>
      </c>
      <c r="BE17" s="4">
        <f t="shared" si="89"/>
        <v>1442.0538667693152</v>
      </c>
      <c r="BF17" s="4">
        <f t="shared" si="89"/>
        <v>1427.6333281016221</v>
      </c>
      <c r="BG17" s="4">
        <f t="shared" si="89"/>
        <v>1413.3569948206059</v>
      </c>
      <c r="BH17" s="4">
        <f t="shared" si="89"/>
        <v>1399.2234248723998</v>
      </c>
      <c r="BI17" s="4">
        <f t="shared" si="89"/>
        <v>1385.2311906236757</v>
      </c>
      <c r="BJ17" s="4">
        <f t="shared" si="89"/>
        <v>1371.378878717439</v>
      </c>
      <c r="BK17" s="4">
        <f t="shared" si="89"/>
        <v>1357.6650899302645</v>
      </c>
      <c r="BL17" s="4">
        <f t="shared" si="89"/>
        <v>1344.0884390309618</v>
      </c>
      <c r="BM17" s="4">
        <f t="shared" si="89"/>
        <v>1330.6475546406523</v>
      </c>
      <c r="BN17" s="4">
        <f t="shared" si="89"/>
        <v>1317.3410790942457</v>
      </c>
      <c r="BO17" s="4">
        <f t="shared" si="89"/>
        <v>1304.1676683033033</v>
      </c>
      <c r="BP17" s="4">
        <f t="shared" si="89"/>
        <v>1291.1259916202703</v>
      </c>
      <c r="BQ17" s="4">
        <f t="shared" si="89"/>
        <v>1278.2147317040676</v>
      </c>
      <c r="BR17" s="4">
        <f t="shared" si="89"/>
        <v>1265.432584387027</v>
      </c>
      <c r="BS17" s="4">
        <f t="shared" si="89"/>
        <v>1252.7782585431567</v>
      </c>
      <c r="BT17" s="4">
        <f t="shared" si="89"/>
        <v>1240.250475957725</v>
      </c>
      <c r="BU17" s="4">
        <f t="shared" si="89"/>
        <v>1227.8479711981477</v>
      </c>
      <c r="BV17" s="4">
        <f t="shared" si="89"/>
        <v>1215.5694914861663</v>
      </c>
      <c r="BW17" s="4">
        <f t="shared" si="89"/>
        <v>1203.4137965713046</v>
      </c>
      <c r="BX17" s="4">
        <f t="shared" si="89"/>
        <v>1191.3796586055917</v>
      </c>
      <c r="BY17" s="4">
        <f t="shared" si="89"/>
        <v>1179.4658620195357</v>
      </c>
      <c r="BZ17" s="4">
        <f t="shared" si="89"/>
        <v>1167.6712033993404</v>
      </c>
      <c r="CA17" s="4">
        <f t="shared" si="89"/>
        <v>1155.9944913653469</v>
      </c>
      <c r="CB17" s="4">
        <f t="shared" si="89"/>
        <v>1144.4345464516934</v>
      </c>
      <c r="CC17" s="4">
        <f t="shared" si="89"/>
        <v>1132.9902009871764</v>
      </c>
      <c r="CD17" s="4">
        <f t="shared" si="89"/>
        <v>1121.6602989773046</v>
      </c>
      <c r="CE17" s="4">
        <f t="shared" si="89"/>
        <v>1110.4436959875316</v>
      </c>
      <c r="CF17" s="4">
        <f t="shared" si="89"/>
        <v>1099.3392590276562</v>
      </c>
      <c r="CG17" s="4">
        <f t="shared" si="89"/>
        <v>1088.3458664373798</v>
      </c>
      <c r="CH17" s="4">
        <f t="shared" si="89"/>
        <v>1077.4624077730059</v>
      </c>
      <c r="CI17" s="4">
        <f t="shared" si="89"/>
        <v>1066.6877836952758</v>
      </c>
      <c r="CJ17" s="4">
        <f t="shared" si="89"/>
        <v>1056.020905858323</v>
      </c>
      <c r="CK17" s="4">
        <f t="shared" si="89"/>
        <v>1045.4606967997397</v>
      </c>
      <c r="CL17" s="4">
        <f t="shared" si="89"/>
        <v>1035.0060898317422</v>
      </c>
      <c r="CM17" s="4">
        <f t="shared" si="89"/>
        <v>1024.6560289334247</v>
      </c>
      <c r="CN17" s="4">
        <f t="shared" si="89"/>
        <v>1014.4094686440905</v>
      </c>
      <c r="CO17" s="4">
        <f t="shared" si="89"/>
        <v>1004.2653739576496</v>
      </c>
      <c r="CP17" s="4">
        <f t="shared" si="89"/>
        <v>994.22272021807305</v>
      </c>
      <c r="CQ17" s="4">
        <f t="shared" si="89"/>
        <v>984.28049301589226</v>
      </c>
      <c r="CR17" s="4">
        <f t="shared" si="89"/>
        <v>974.43768808573338</v>
      </c>
      <c r="CS17" s="4">
        <f t="shared" si="89"/>
        <v>964.69331120487607</v>
      </c>
      <c r="CT17" s="4">
        <f t="shared" si="89"/>
        <v>955.04637809282735</v>
      </c>
      <c r="CU17" s="4">
        <f t="shared" si="89"/>
        <v>945.49591431189913</v>
      </c>
      <c r="CV17" s="4">
        <f t="shared" si="89"/>
        <v>936.0409551687801</v>
      </c>
      <c r="CW17" s="4">
        <f t="shared" si="89"/>
        <v>926.68054561709232</v>
      </c>
    </row>
    <row r="18" spans="2:101" s="1" customFormat="1" x14ac:dyDescent="0.2">
      <c r="B18" s="1" t="s">
        <v>31</v>
      </c>
      <c r="C18" s="9"/>
      <c r="D18" s="9"/>
      <c r="E18" s="9">
        <f t="shared" ref="E18:N18" si="90">E17/E19</f>
        <v>0.8435628115444227</v>
      </c>
      <c r="F18" s="9">
        <f t="shared" si="90"/>
        <v>0.98246458024952432</v>
      </c>
      <c r="G18" s="9">
        <f t="shared" si="90"/>
        <v>0.85834043913877656</v>
      </c>
      <c r="H18" s="9">
        <f t="shared" si="90"/>
        <v>0.8813654531705738</v>
      </c>
      <c r="I18" s="9">
        <f t="shared" si="90"/>
        <v>0.92566170161272576</v>
      </c>
      <c r="J18" s="9">
        <f t="shared" si="90"/>
        <v>1.0843172662869844</v>
      </c>
      <c r="K18" s="9">
        <f t="shared" si="90"/>
        <v>0.94904681726238249</v>
      </c>
      <c r="L18" s="9">
        <f t="shared" si="90"/>
        <v>0.95165774299835226</v>
      </c>
      <c r="M18" s="9">
        <f t="shared" si="90"/>
        <v>1.051663609738239</v>
      </c>
      <c r="N18" s="9">
        <f t="shared" si="90"/>
        <v>1.2232435658063334</v>
      </c>
      <c r="O18" s="9"/>
      <c r="P18" s="9"/>
      <c r="Q18" s="9"/>
      <c r="R18" s="9"/>
    </row>
    <row r="19" spans="2:101" s="4" customFormat="1" x14ac:dyDescent="0.2">
      <c r="B19" s="4" t="s">
        <v>32</v>
      </c>
      <c r="C19" s="5"/>
      <c r="D19" s="5"/>
      <c r="E19" s="5">
        <v>190.98400000000001</v>
      </c>
      <c r="F19" s="5">
        <v>189.16</v>
      </c>
      <c r="G19" s="5">
        <v>187.64</v>
      </c>
      <c r="H19" s="5">
        <v>185.14</v>
      </c>
      <c r="I19" s="5">
        <v>181.804</v>
      </c>
      <c r="J19" s="5">
        <v>179.97499999999999</v>
      </c>
      <c r="K19" s="5">
        <v>176.98599999999999</v>
      </c>
      <c r="L19" s="5">
        <v>174.816</v>
      </c>
      <c r="M19" s="5">
        <f>+L19</f>
        <v>174.816</v>
      </c>
      <c r="N19" s="5">
        <f t="shared" ref="N19" si="91">+M19</f>
        <v>174.816</v>
      </c>
      <c r="O19" s="5"/>
      <c r="P19" s="5"/>
      <c r="Q19" s="5"/>
      <c r="R19" s="5"/>
    </row>
    <row r="21" spans="2:101" s="10" customFormat="1" x14ac:dyDescent="0.2">
      <c r="B21" s="10" t="s">
        <v>22</v>
      </c>
      <c r="C21" s="11"/>
      <c r="D21" s="11"/>
      <c r="E21" s="11"/>
      <c r="F21" s="11"/>
      <c r="G21" s="11"/>
      <c r="H21" s="11"/>
      <c r="I21" s="12">
        <f>I6/E6-1</f>
        <v>9.0412290412290375E-2</v>
      </c>
      <c r="J21" s="12">
        <f>J6/F6-1</f>
        <v>8.8983030700690913E-2</v>
      </c>
      <c r="K21" s="12">
        <f>K6/G6-1</f>
        <v>8.5069891780468865E-2</v>
      </c>
      <c r="L21" s="12">
        <f>L6/H6-1</f>
        <v>6.9346426059989641E-2</v>
      </c>
      <c r="M21" s="12">
        <f t="shared" ref="M21:N21" si="92">M6/I6-1</f>
        <v>5.0000000000000044E-2</v>
      </c>
      <c r="N21" s="12">
        <f t="shared" si="92"/>
        <v>5.0000000000000044E-2</v>
      </c>
      <c r="O21" s="11"/>
      <c r="P21" s="11"/>
      <c r="Q21" s="11"/>
      <c r="R21" s="11"/>
      <c r="V21" s="13">
        <f t="shared" ref="V21:AB21" si="93">+V6/U6-1</f>
        <v>0.18763285400419938</v>
      </c>
      <c r="W21" s="13">
        <f t="shared" si="93"/>
        <v>0.13582507186656345</v>
      </c>
      <c r="X21" s="13">
        <f t="shared" si="93"/>
        <v>7.6752265061516223E-2</v>
      </c>
      <c r="Y21" s="13">
        <f t="shared" si="93"/>
        <v>3.8288665705912495E-2</v>
      </c>
      <c r="Z21" s="13">
        <f t="shared" si="93"/>
        <v>7.2957919238507918E-2</v>
      </c>
      <c r="AA21" s="13">
        <f t="shared" si="93"/>
        <v>8.9597918460559312E-2</v>
      </c>
      <c r="AB21" s="13">
        <f>+AB6/AA6-1</f>
        <v>6.2709545365858599E-2</v>
      </c>
      <c r="AC21" s="13">
        <f t="shared" ref="AC21:AP21" si="94">+AC6/AB6-1</f>
        <v>4.9999999999999822E-2</v>
      </c>
      <c r="AD21" s="13">
        <f t="shared" si="94"/>
        <v>5.0000000000000044E-2</v>
      </c>
      <c r="AE21" s="13">
        <f t="shared" si="94"/>
        <v>5.0000000000000044E-2</v>
      </c>
      <c r="AF21" s="13">
        <f t="shared" si="94"/>
        <v>5.0000000000000044E-2</v>
      </c>
      <c r="AG21" s="13">
        <f t="shared" si="94"/>
        <v>5.0000000000000044E-2</v>
      </c>
      <c r="AH21" s="13">
        <f t="shared" si="94"/>
        <v>5.0000000000000266E-2</v>
      </c>
      <c r="AI21" s="13">
        <f t="shared" si="94"/>
        <v>4.9999999999999822E-2</v>
      </c>
      <c r="AJ21" s="13">
        <f t="shared" si="94"/>
        <v>5.0000000000000044E-2</v>
      </c>
      <c r="AK21" s="13">
        <f t="shared" si="94"/>
        <v>5.0000000000000044E-2</v>
      </c>
      <c r="AL21" s="13">
        <f t="shared" si="94"/>
        <v>5.0000000000000044E-2</v>
      </c>
      <c r="AM21" s="13">
        <f t="shared" si="94"/>
        <v>5.0000000000000044E-2</v>
      </c>
      <c r="AN21" s="13">
        <f t="shared" si="94"/>
        <v>5.0000000000000044E-2</v>
      </c>
      <c r="AO21" s="13">
        <f t="shared" si="94"/>
        <v>5.0000000000000044E-2</v>
      </c>
      <c r="AP21" s="13">
        <f t="shared" si="94"/>
        <v>5.0000000000000266E-2</v>
      </c>
    </row>
    <row r="22" spans="2:101" x14ac:dyDescent="0.2">
      <c r="B22" t="s">
        <v>24</v>
      </c>
      <c r="E22" s="8">
        <f t="shared" ref="E22:L22" si="95">E8/E6</f>
        <v>0.87939357939357943</v>
      </c>
      <c r="F22" s="8">
        <f t="shared" si="95"/>
        <v>0.87670513167967057</v>
      </c>
      <c r="G22" s="8">
        <f t="shared" si="95"/>
        <v>0.88954199948466894</v>
      </c>
      <c r="H22" s="8">
        <f t="shared" si="95"/>
        <v>0.88601283977598688</v>
      </c>
      <c r="I22" s="8">
        <f t="shared" si="95"/>
        <v>0.88397349550334769</v>
      </c>
      <c r="J22" s="8">
        <f t="shared" si="95"/>
        <v>0.88173474912240879</v>
      </c>
      <c r="K22" s="8">
        <f t="shared" si="95"/>
        <v>0.89001684513605972</v>
      </c>
      <c r="L22" s="8">
        <f t="shared" si="95"/>
        <v>0.88751717922455164</v>
      </c>
      <c r="M22" s="8">
        <f t="shared" ref="M22:N22" si="96">M8/M6</f>
        <v>0.89</v>
      </c>
      <c r="N22" s="8">
        <f t="shared" si="96"/>
        <v>0.89</v>
      </c>
      <c r="Y22" s="8">
        <f t="shared" ref="Y22:AB22" si="97">Y8/Y6</f>
        <v>0.88334164212882094</v>
      </c>
      <c r="Z22" s="8">
        <f t="shared" si="97"/>
        <v>0.88197679393722228</v>
      </c>
      <c r="AA22" s="8">
        <f t="shared" si="97"/>
        <v>0.88400258185169323</v>
      </c>
      <c r="AB22" s="8">
        <f t="shared" si="97"/>
        <v>0.88939793691200986</v>
      </c>
      <c r="AC22" s="8">
        <f t="shared" ref="AC22:AP22" si="98">AC8/AC6</f>
        <v>0.89</v>
      </c>
      <c r="AD22" s="8">
        <f t="shared" si="98"/>
        <v>0.89</v>
      </c>
      <c r="AE22" s="8">
        <f t="shared" si="98"/>
        <v>0.89</v>
      </c>
      <c r="AF22" s="8">
        <f t="shared" si="98"/>
        <v>0.89</v>
      </c>
      <c r="AG22" s="8">
        <f t="shared" si="98"/>
        <v>0.89</v>
      </c>
      <c r="AH22" s="8">
        <f t="shared" si="98"/>
        <v>0.8899999999999999</v>
      </c>
      <c r="AI22" s="8">
        <f t="shared" si="98"/>
        <v>0.89</v>
      </c>
      <c r="AJ22" s="8">
        <f t="shared" si="98"/>
        <v>0.89</v>
      </c>
      <c r="AK22" s="8">
        <f t="shared" si="98"/>
        <v>0.89</v>
      </c>
      <c r="AL22" s="8">
        <f t="shared" si="98"/>
        <v>0.89</v>
      </c>
      <c r="AM22" s="8">
        <f t="shared" si="98"/>
        <v>0.89</v>
      </c>
      <c r="AN22" s="8">
        <f t="shared" si="98"/>
        <v>0.89</v>
      </c>
      <c r="AO22" s="8">
        <f t="shared" si="98"/>
        <v>0.89</v>
      </c>
      <c r="AP22" s="8">
        <f t="shared" si="98"/>
        <v>0.8899999999999999</v>
      </c>
      <c r="AR22" t="s">
        <v>71</v>
      </c>
      <c r="AS22" s="14">
        <v>-0.01</v>
      </c>
    </row>
    <row r="23" spans="2:101" x14ac:dyDescent="0.2">
      <c r="B23" t="s">
        <v>36</v>
      </c>
      <c r="E23" s="8">
        <f t="shared" ref="E23:L23" si="99">E13/E6</f>
        <v>0.53309123309123319</v>
      </c>
      <c r="F23" s="8">
        <f t="shared" si="99"/>
        <v>0.54515240988774305</v>
      </c>
      <c r="G23" s="8">
        <f t="shared" si="99"/>
        <v>0.52926382805118966</v>
      </c>
      <c r="H23" s="8">
        <f t="shared" si="99"/>
        <v>0.5049350675631239</v>
      </c>
      <c r="I23" s="8">
        <f t="shared" si="99"/>
        <v>0.50805237510399748</v>
      </c>
      <c r="J23" s="8">
        <f t="shared" si="99"/>
        <v>0.52292216070836028</v>
      </c>
      <c r="K23" s="8">
        <f t="shared" si="99"/>
        <v>0.50156207098703587</v>
      </c>
      <c r="L23" s="8">
        <f t="shared" si="99"/>
        <v>0.47947363565614576</v>
      </c>
      <c r="M23" s="8">
        <f t="shared" ref="M23:N23" si="100">M13/M6</f>
        <v>0.5140788796006498</v>
      </c>
      <c r="N23" s="8">
        <f t="shared" si="100"/>
        <v>0.53118741158595151</v>
      </c>
      <c r="Y23" s="8">
        <f t="shared" ref="Y23:AB23" si="101">Y13/Y6</f>
        <v>0.54580178680945834</v>
      </c>
      <c r="Z23" s="8">
        <f t="shared" si="101"/>
        <v>0.53552977104135813</v>
      </c>
      <c r="AA23" s="8">
        <f t="shared" si="101"/>
        <v>0.51521500909906381</v>
      </c>
      <c r="AB23" s="8">
        <f t="shared" si="101"/>
        <v>0.50746200039675649</v>
      </c>
      <c r="AC23" s="8">
        <f t="shared" ref="AC23:AP23" si="102">AC13/AC6</f>
        <v>0.51170154859441574</v>
      </c>
      <c r="AD23" s="8">
        <f t="shared" si="102"/>
        <v>0.5153043909887548</v>
      </c>
      <c r="AE23" s="8">
        <f t="shared" si="102"/>
        <v>0.51887292059838563</v>
      </c>
      <c r="AF23" s="8">
        <f t="shared" si="102"/>
        <v>0.52240746421173434</v>
      </c>
      <c r="AG23" s="8">
        <f t="shared" si="102"/>
        <v>0.5259083455049558</v>
      </c>
      <c r="AH23" s="8">
        <f t="shared" si="102"/>
        <v>0.52937588507157529</v>
      </c>
      <c r="AI23" s="8">
        <f t="shared" si="102"/>
        <v>0.53281040045184602</v>
      </c>
      <c r="AJ23" s="8">
        <f t="shared" si="102"/>
        <v>0.53621220616182841</v>
      </c>
      <c r="AK23" s="8">
        <f t="shared" si="102"/>
        <v>0.53958161372219204</v>
      </c>
      <c r="AL23" s="8">
        <f t="shared" si="102"/>
        <v>0.54291893168674255</v>
      </c>
      <c r="AM23" s="8">
        <f t="shared" si="102"/>
        <v>0.54622446567067839</v>
      </c>
      <c r="AN23" s="8">
        <f t="shared" si="102"/>
        <v>0.54949851837857655</v>
      </c>
      <c r="AO23" s="8">
        <f t="shared" si="102"/>
        <v>0.55274138963211406</v>
      </c>
      <c r="AP23" s="8">
        <f t="shared" si="102"/>
        <v>0.5559533763975224</v>
      </c>
      <c r="AR23" t="s">
        <v>72</v>
      </c>
      <c r="AS23" s="14">
        <v>7.0000000000000007E-2</v>
      </c>
    </row>
    <row r="24" spans="2:101" x14ac:dyDescent="0.2">
      <c r="B24" t="s">
        <v>69</v>
      </c>
      <c r="E24" s="8">
        <f>+E16/E15</f>
        <v>0.21316799671801281</v>
      </c>
      <c r="F24" s="8">
        <f t="shared" ref="F24:N24" si="103">+F16/F15</f>
        <v>0.21358266050542493</v>
      </c>
      <c r="G24" s="8">
        <f t="shared" si="103"/>
        <v>0.21522299480092966</v>
      </c>
      <c r="H24" s="8">
        <f t="shared" si="103"/>
        <v>0.2162536023054755</v>
      </c>
      <c r="I24" s="8">
        <f t="shared" si="103"/>
        <v>0.21163188344693509</v>
      </c>
      <c r="J24" s="8">
        <f t="shared" si="103"/>
        <v>0.21533228255275347</v>
      </c>
      <c r="K24" s="8">
        <f t="shared" si="103"/>
        <v>0.21036128152692571</v>
      </c>
      <c r="L24" s="8">
        <f t="shared" si="103"/>
        <v>0.2244489818751399</v>
      </c>
      <c r="M24" s="8">
        <f t="shared" si="103"/>
        <v>0.2</v>
      </c>
      <c r="N24" s="8">
        <f t="shared" si="103"/>
        <v>0.2</v>
      </c>
      <c r="Y24" s="8">
        <f t="shared" ref="Y24:AB24" si="104">+Y16/Y15</f>
        <v>0.17973049723812443</v>
      </c>
      <c r="Z24" s="8">
        <f t="shared" si="104"/>
        <v>0.20515993907083016</v>
      </c>
      <c r="AA24" s="8">
        <f t="shared" si="104"/>
        <v>0.21506769361059294</v>
      </c>
      <c r="AB24" s="8">
        <f t="shared" si="104"/>
        <v>0.20805829271540249</v>
      </c>
      <c r="AC24" s="8">
        <f t="shared" ref="AC24:AP24" si="105">+AC16/AC15</f>
        <v>0.2</v>
      </c>
      <c r="AD24" s="8">
        <f t="shared" si="105"/>
        <v>0.2</v>
      </c>
      <c r="AE24" s="8">
        <f t="shared" si="105"/>
        <v>0.2</v>
      </c>
      <c r="AF24" s="8">
        <f t="shared" si="105"/>
        <v>0.2</v>
      </c>
      <c r="AG24" s="8">
        <f t="shared" si="105"/>
        <v>0.2</v>
      </c>
      <c r="AH24" s="8">
        <f t="shared" si="105"/>
        <v>0.2</v>
      </c>
      <c r="AI24" s="8">
        <f t="shared" si="105"/>
        <v>0.2</v>
      </c>
      <c r="AJ24" s="8">
        <f t="shared" si="105"/>
        <v>0.2</v>
      </c>
      <c r="AK24" s="8">
        <f t="shared" si="105"/>
        <v>0.2</v>
      </c>
      <c r="AL24" s="8">
        <f t="shared" si="105"/>
        <v>0.2</v>
      </c>
      <c r="AM24" s="8">
        <f t="shared" si="105"/>
        <v>0.2</v>
      </c>
      <c r="AN24" s="8">
        <f t="shared" si="105"/>
        <v>0.2</v>
      </c>
      <c r="AO24" s="8">
        <f t="shared" si="105"/>
        <v>0.2</v>
      </c>
      <c r="AP24" s="8">
        <f t="shared" si="105"/>
        <v>0.2</v>
      </c>
      <c r="AR24" t="s">
        <v>73</v>
      </c>
      <c r="AS24" s="14">
        <v>0.01</v>
      </c>
    </row>
    <row r="25" spans="2:101" x14ac:dyDescent="0.2">
      <c r="AR25" t="s">
        <v>74</v>
      </c>
      <c r="AS25" s="4">
        <f>NPV(AS23,AC17:CW17)</f>
        <v>17629.847239129733</v>
      </c>
    </row>
    <row r="26" spans="2:101" s="4" customFormat="1" x14ac:dyDescent="0.2">
      <c r="B26" s="4" t="s">
        <v>37</v>
      </c>
      <c r="C26" s="5"/>
      <c r="D26" s="5"/>
      <c r="E26" s="5"/>
      <c r="F26" s="5"/>
      <c r="G26" s="5"/>
      <c r="H26" s="5"/>
      <c r="I26" s="5">
        <f>258.03+1041.088+2313.184</f>
        <v>3612.3020000000001</v>
      </c>
      <c r="J26" s="5">
        <f>192.312+1091.915+2331.187</f>
        <v>3615.4139999999998</v>
      </c>
      <c r="K26" s="5">
        <f>244.008+1126.987+2358.179</f>
        <v>3729.174</v>
      </c>
      <c r="L26" s="5">
        <f>209.728+1117.098+2381.161</f>
        <v>3707.9870000000001</v>
      </c>
      <c r="M26" s="5">
        <f>+L26+M17</f>
        <v>3891.8346256</v>
      </c>
      <c r="N26" s="5">
        <f t="shared" ref="N26" si="106">+M26+N17</f>
        <v>4105.6771728000003</v>
      </c>
      <c r="O26" s="5"/>
      <c r="P26" s="5"/>
      <c r="Q26" s="5"/>
      <c r="R26" s="5"/>
      <c r="AB26" s="4">
        <f>+N26</f>
        <v>4105.6771728000003</v>
      </c>
      <c r="AC26" s="4">
        <f>+AB26+AC17</f>
        <v>4883.0060236223999</v>
      </c>
      <c r="AD26" s="4">
        <f t="shared" ref="AD26:AP26" si="107">+AC26+AD17</f>
        <v>5709.2816065233792</v>
      </c>
      <c r="AE26" s="4">
        <f t="shared" si="107"/>
        <v>6587.2520576071665</v>
      </c>
      <c r="AF26" s="4">
        <f t="shared" si="107"/>
        <v>7519.8141324665639</v>
      </c>
      <c r="AG26" s="4">
        <f t="shared" si="107"/>
        <v>8510.0210791103382</v>
      </c>
      <c r="AH26" s="4">
        <f t="shared" si="107"/>
        <v>9561.0909221626625</v>
      </c>
      <c r="AI26" s="4">
        <f t="shared" si="107"/>
        <v>10676.415179602822</v>
      </c>
      <c r="AJ26" s="4">
        <f t="shared" si="107"/>
        <v>11859.568034404989</v>
      </c>
      <c r="AK26" s="4">
        <f t="shared" si="107"/>
        <v>13114.315984585157</v>
      </c>
      <c r="AL26" s="4">
        <f t="shared" si="107"/>
        <v>14444.627996368183</v>
      </c>
      <c r="AM26" s="4">
        <f t="shared" si="107"/>
        <v>15854.686186455207</v>
      </c>
      <c r="AN26" s="4">
        <f t="shared" si="107"/>
        <v>17348.897060703723</v>
      </c>
      <c r="AO26" s="4">
        <f t="shared" si="107"/>
        <v>18931.903337932465</v>
      </c>
      <c r="AP26" s="4">
        <f t="shared" si="107"/>
        <v>20608.596389034519</v>
      </c>
      <c r="AR26" s="4" t="s">
        <v>75</v>
      </c>
      <c r="AS26" s="4">
        <f>AS25+Main!M5</f>
        <v>21337.847239129733</v>
      </c>
    </row>
    <row r="27" spans="2:101" s="4" customFormat="1" x14ac:dyDescent="0.2">
      <c r="B27" s="4" t="s">
        <v>38</v>
      </c>
      <c r="C27" s="5"/>
      <c r="D27" s="5"/>
      <c r="E27" s="5"/>
      <c r="F27" s="5"/>
      <c r="G27" s="5"/>
      <c r="H27" s="5"/>
      <c r="I27" s="5">
        <v>219.054</v>
      </c>
      <c r="J27" s="5">
        <v>410.76299999999998</v>
      </c>
      <c r="K27" s="5">
        <v>246.714</v>
      </c>
      <c r="L27" s="5">
        <v>272.56700000000001</v>
      </c>
      <c r="M27" s="5"/>
      <c r="N27" s="5"/>
      <c r="O27" s="5"/>
      <c r="P27" s="5"/>
      <c r="Q27" s="5"/>
      <c r="R27" s="5"/>
      <c r="AS27" s="1">
        <f>AS26/Main!M3</f>
        <v>121.9305556521699</v>
      </c>
    </row>
    <row r="28" spans="2:101" s="4" customFormat="1" x14ac:dyDescent="0.2">
      <c r="B28" s="4" t="s">
        <v>39</v>
      </c>
      <c r="C28" s="5"/>
      <c r="D28" s="5"/>
      <c r="E28" s="5"/>
      <c r="F28" s="5"/>
      <c r="G28" s="5"/>
      <c r="H28" s="5"/>
      <c r="I28" s="5">
        <v>75.236000000000004</v>
      </c>
      <c r="J28" s="5">
        <v>85.762</v>
      </c>
      <c r="K28" s="5">
        <v>47.893000000000001</v>
      </c>
      <c r="L28" s="5">
        <v>44.414999999999999</v>
      </c>
      <c r="M28" s="5"/>
      <c r="N28" s="5"/>
      <c r="O28" s="5"/>
      <c r="P28" s="5"/>
      <c r="Q28" s="5"/>
      <c r="R28" s="5"/>
    </row>
    <row r="29" spans="2:101" s="4" customFormat="1" x14ac:dyDescent="0.2">
      <c r="B29" s="4" t="s">
        <v>40</v>
      </c>
      <c r="C29" s="5"/>
      <c r="D29" s="5"/>
      <c r="E29" s="5"/>
      <c r="F29" s="5"/>
      <c r="G29" s="5"/>
      <c r="H29" s="5"/>
      <c r="I29" s="5">
        <v>44.366</v>
      </c>
      <c r="J29" s="5">
        <v>48.692</v>
      </c>
      <c r="K29" s="5">
        <v>50.728000000000002</v>
      </c>
      <c r="L29" s="5">
        <v>53.95</v>
      </c>
      <c r="M29" s="5"/>
      <c r="N29" s="5"/>
      <c r="O29" s="5"/>
      <c r="P29" s="5"/>
      <c r="Q29" s="5"/>
      <c r="R29" s="5"/>
    </row>
    <row r="30" spans="2:101" s="4" customFormat="1" x14ac:dyDescent="0.2">
      <c r="B30" s="4" t="s">
        <v>41</v>
      </c>
      <c r="C30" s="5"/>
      <c r="D30" s="5"/>
      <c r="E30" s="5"/>
      <c r="F30" s="5"/>
      <c r="G30" s="5"/>
      <c r="H30" s="5"/>
      <c r="I30" s="5">
        <v>5.3230000000000004</v>
      </c>
      <c r="J30" s="5">
        <v>5.2619999999999996</v>
      </c>
      <c r="K30" s="5">
        <v>5.1619999999999999</v>
      </c>
      <c r="L30" s="5">
        <v>4.6970000000000001</v>
      </c>
      <c r="M30" s="5"/>
      <c r="N30" s="5"/>
      <c r="O30" s="5"/>
      <c r="P30" s="5"/>
      <c r="Q30" s="5"/>
      <c r="R30" s="5"/>
    </row>
    <row r="31" spans="2:101" s="4" customFormat="1" x14ac:dyDescent="0.2">
      <c r="B31" s="4" t="s">
        <v>42</v>
      </c>
      <c r="C31" s="5"/>
      <c r="D31" s="5"/>
      <c r="E31" s="5"/>
      <c r="F31" s="5"/>
      <c r="G31" s="5"/>
      <c r="H31" s="5"/>
      <c r="I31" s="5">
        <v>17.744</v>
      </c>
      <c r="J31" s="5">
        <v>20.792999999999999</v>
      </c>
      <c r="K31" s="5">
        <v>56.518000000000001</v>
      </c>
      <c r="L31" s="5">
        <v>58.484999999999999</v>
      </c>
      <c r="M31" s="5"/>
      <c r="N31" s="5"/>
      <c r="O31" s="5"/>
      <c r="P31" s="5"/>
      <c r="Q31" s="5"/>
      <c r="R31" s="5"/>
    </row>
    <row r="32" spans="2:101" s="4" customFormat="1" x14ac:dyDescent="0.2">
      <c r="B32" s="4" t="s">
        <v>43</v>
      </c>
      <c r="C32" s="5"/>
      <c r="D32" s="5"/>
      <c r="E32" s="5"/>
      <c r="F32" s="5"/>
      <c r="G32" s="5"/>
      <c r="H32" s="5"/>
      <c r="I32" s="5">
        <v>839.01099999999997</v>
      </c>
      <c r="J32" s="5">
        <v>838.02</v>
      </c>
      <c r="K32" s="5">
        <v>837.04600000000005</v>
      </c>
      <c r="L32" s="5">
        <v>836.08299999999997</v>
      </c>
      <c r="M32" s="5"/>
      <c r="N32" s="5"/>
      <c r="O32" s="5"/>
      <c r="P32" s="5"/>
      <c r="Q32" s="5"/>
      <c r="R32" s="5"/>
    </row>
    <row r="33" spans="2:18" s="4" customFormat="1" x14ac:dyDescent="0.2">
      <c r="B33" s="4" t="s">
        <v>44</v>
      </c>
      <c r="C33" s="5"/>
      <c r="D33" s="5"/>
      <c r="E33" s="5"/>
      <c r="F33" s="5"/>
      <c r="G33" s="5"/>
      <c r="H33" s="5"/>
      <c r="I33" s="5">
        <v>45.131999999999998</v>
      </c>
      <c r="J33" s="5">
        <v>45.173999999999999</v>
      </c>
      <c r="K33" s="5">
        <v>40.317</v>
      </c>
      <c r="L33" s="5">
        <v>37.811999999999998</v>
      </c>
      <c r="M33" s="5"/>
      <c r="N33" s="5"/>
      <c r="O33" s="5"/>
      <c r="P33" s="5"/>
      <c r="Q33" s="5"/>
      <c r="R33" s="5"/>
    </row>
    <row r="34" spans="2:18" s="4" customFormat="1" x14ac:dyDescent="0.2">
      <c r="B34" s="4" t="s">
        <v>45</v>
      </c>
      <c r="C34" s="5"/>
      <c r="D34" s="5"/>
      <c r="E34" s="5"/>
      <c r="F34" s="5"/>
      <c r="G34" s="5"/>
      <c r="H34" s="5"/>
      <c r="I34" s="5">
        <f>SUM(I26:I33)</f>
        <v>4858.1679999999997</v>
      </c>
      <c r="J34" s="5">
        <f>SUM(J26:J33)</f>
        <v>5069.8799999999983</v>
      </c>
      <c r="K34" s="5">
        <f>SUM(K26:K33)</f>
        <v>5013.5519999999997</v>
      </c>
      <c r="L34" s="5">
        <f>SUM(L26:L33)</f>
        <v>5015.9959999999992</v>
      </c>
      <c r="M34" s="5"/>
      <c r="N34" s="5"/>
      <c r="O34" s="5"/>
      <c r="P34" s="5"/>
      <c r="Q34" s="5"/>
      <c r="R34" s="5"/>
    </row>
    <row r="35" spans="2:18" s="4" customFormat="1" x14ac:dyDescent="0.2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2:18" s="4" customFormat="1" x14ac:dyDescent="0.2">
      <c r="B36" s="4" t="s">
        <v>49</v>
      </c>
      <c r="C36" s="5"/>
      <c r="D36" s="5"/>
      <c r="E36" s="5"/>
      <c r="F36" s="5"/>
      <c r="G36" s="5"/>
      <c r="H36" s="5"/>
      <c r="I36" s="5">
        <f>614.128+158.343</f>
        <v>772.471</v>
      </c>
      <c r="J36" s="5">
        <f>717.528+188.255</f>
        <v>905.78300000000002</v>
      </c>
      <c r="K36" s="5">
        <f>695.163+188.223</f>
        <v>883.38599999999997</v>
      </c>
      <c r="L36" s="5">
        <f>687.88+204.455</f>
        <v>892.33500000000004</v>
      </c>
      <c r="M36" s="5"/>
      <c r="N36" s="5"/>
      <c r="O36" s="5"/>
      <c r="P36" s="5"/>
      <c r="Q36" s="5"/>
      <c r="R36" s="5"/>
    </row>
    <row r="37" spans="2:18" s="4" customFormat="1" x14ac:dyDescent="0.2">
      <c r="B37" s="4" t="s">
        <v>48</v>
      </c>
      <c r="C37" s="5"/>
      <c r="D37" s="5"/>
      <c r="E37" s="5"/>
      <c r="F37" s="5"/>
      <c r="G37" s="5"/>
      <c r="H37" s="5"/>
      <c r="I37" s="5">
        <v>294.57299999999998</v>
      </c>
      <c r="J37" s="5">
        <v>339.32499999999999</v>
      </c>
      <c r="K37" s="5">
        <v>310.79599999999999</v>
      </c>
      <c r="L37" s="5">
        <v>334.28899999999999</v>
      </c>
      <c r="M37" s="5"/>
      <c r="N37" s="5"/>
      <c r="O37" s="5"/>
      <c r="P37" s="5"/>
      <c r="Q37" s="5"/>
      <c r="R37" s="5"/>
    </row>
    <row r="38" spans="2:18" s="4" customFormat="1" x14ac:dyDescent="0.2">
      <c r="B38" s="4" t="s">
        <v>33</v>
      </c>
      <c r="C38" s="5"/>
      <c r="D38" s="5"/>
      <c r="E38" s="5"/>
      <c r="F38" s="5"/>
      <c r="G38" s="5"/>
      <c r="H38" s="5"/>
      <c r="I38" s="5">
        <f>265.57+0.306</f>
        <v>265.87599999999998</v>
      </c>
      <c r="J38" s="5">
        <f>283.215+0.24</f>
        <v>283.45499999999998</v>
      </c>
      <c r="K38" s="5">
        <f>302.085+0.174</f>
        <v>302.25899999999996</v>
      </c>
      <c r="L38" s="5">
        <v>306.86900000000003</v>
      </c>
      <c r="M38" s="5"/>
      <c r="N38" s="5"/>
      <c r="O38" s="5"/>
      <c r="P38" s="5"/>
      <c r="Q38" s="5"/>
      <c r="R38" s="5"/>
    </row>
    <row r="39" spans="2:18" s="4" customFormat="1" x14ac:dyDescent="0.2">
      <c r="B39" s="4" t="s">
        <v>41</v>
      </c>
      <c r="C39" s="5"/>
      <c r="D39" s="5"/>
      <c r="E39" s="5"/>
      <c r="F39" s="5"/>
      <c r="G39" s="5"/>
      <c r="H39" s="5"/>
      <c r="I39" s="5">
        <v>9.3689999999999998</v>
      </c>
      <c r="J39" s="5">
        <v>9.4510000000000005</v>
      </c>
      <c r="K39" s="5">
        <v>9.7720000000000002</v>
      </c>
      <c r="L39" s="5">
        <v>9.1259999999999994</v>
      </c>
      <c r="M39" s="5"/>
      <c r="N39" s="5"/>
      <c r="O39" s="5"/>
      <c r="P39" s="5"/>
      <c r="Q39" s="5"/>
      <c r="R39" s="5"/>
    </row>
    <row r="40" spans="2:18" s="4" customFormat="1" x14ac:dyDescent="0.2">
      <c r="B40" s="4" t="s">
        <v>47</v>
      </c>
      <c r="C40" s="5"/>
      <c r="D40" s="5"/>
      <c r="E40" s="5"/>
      <c r="F40" s="5"/>
      <c r="G40" s="5"/>
      <c r="H40" s="5"/>
      <c r="I40" s="5">
        <v>3515.8789999999999</v>
      </c>
      <c r="J40" s="5">
        <v>3531.866</v>
      </c>
      <c r="K40" s="5">
        <v>3507.3389999999999</v>
      </c>
      <c r="L40" s="5">
        <v>3473.377</v>
      </c>
      <c r="M40" s="5"/>
      <c r="N40" s="5"/>
      <c r="O40" s="5"/>
      <c r="P40" s="5"/>
      <c r="Q40" s="5"/>
      <c r="R40" s="5"/>
    </row>
    <row r="41" spans="2:18" s="4" customFormat="1" x14ac:dyDescent="0.2">
      <c r="B41" s="4" t="s">
        <v>46</v>
      </c>
      <c r="C41" s="5"/>
      <c r="D41" s="5"/>
      <c r="E41" s="5"/>
      <c r="F41" s="5"/>
      <c r="G41" s="5"/>
      <c r="H41" s="5"/>
      <c r="I41" s="5">
        <f>SUM(I36:I40)</f>
        <v>4858.1679999999997</v>
      </c>
      <c r="J41" s="5">
        <f>SUM(J36:J40)</f>
        <v>5069.88</v>
      </c>
      <c r="K41" s="5">
        <f>SUM(K36:K40)</f>
        <v>5013.5519999999997</v>
      </c>
      <c r="L41" s="5">
        <f>SUM(L36:L40)</f>
        <v>5015.9960000000001</v>
      </c>
      <c r="M41" s="5"/>
      <c r="N41" s="5"/>
      <c r="O41" s="5"/>
      <c r="P41" s="5"/>
      <c r="Q41" s="5"/>
      <c r="R41" s="5"/>
    </row>
    <row r="42" spans="2:18" s="4" customFormat="1" x14ac:dyDescent="0.2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2:18" s="4" customFormat="1" x14ac:dyDescent="0.2">
      <c r="B43" s="4" t="s">
        <v>53</v>
      </c>
      <c r="C43" s="5"/>
      <c r="D43" s="5"/>
      <c r="E43" s="5"/>
      <c r="F43" s="5"/>
      <c r="G43" s="5"/>
      <c r="H43" s="5"/>
      <c r="I43" s="5">
        <f>+I17</f>
        <v>168.28899999999999</v>
      </c>
      <c r="J43" s="5">
        <f>+J17</f>
        <v>195.15</v>
      </c>
      <c r="K43" s="5">
        <f>+K17</f>
        <v>167.96800000000002</v>
      </c>
      <c r="L43" s="5">
        <f>+L17</f>
        <v>166.36499999999995</v>
      </c>
      <c r="M43" s="5"/>
      <c r="N43" s="5"/>
      <c r="O43" s="5"/>
      <c r="P43" s="5"/>
      <c r="Q43" s="5"/>
      <c r="R43" s="5"/>
    </row>
    <row r="44" spans="2:18" s="4" customFormat="1" x14ac:dyDescent="0.2">
      <c r="B44" s="4" t="s">
        <v>54</v>
      </c>
      <c r="C44" s="5"/>
      <c r="D44" s="5"/>
      <c r="E44" s="5"/>
      <c r="F44" s="5"/>
      <c r="G44" s="5"/>
      <c r="H44" s="5"/>
      <c r="I44" s="5">
        <v>167.74299999999999</v>
      </c>
      <c r="J44" s="5">
        <v>194.60400000000001</v>
      </c>
      <c r="K44" s="5">
        <v>167.422</v>
      </c>
      <c r="L44" s="5">
        <v>165.81899999999999</v>
      </c>
      <c r="M44" s="5"/>
      <c r="N44" s="5"/>
      <c r="O44" s="5"/>
      <c r="P44" s="5"/>
      <c r="Q44" s="5"/>
      <c r="R44" s="5"/>
    </row>
    <row r="45" spans="2:18" s="4" customFormat="1" x14ac:dyDescent="0.2">
      <c r="B45" s="4" t="s">
        <v>65</v>
      </c>
      <c r="C45" s="5"/>
      <c r="D45" s="5"/>
      <c r="E45" s="5"/>
      <c r="F45" s="5"/>
      <c r="G45" s="5"/>
      <c r="H45" s="5"/>
      <c r="I45" s="5">
        <v>2.6579999999999999</v>
      </c>
      <c r="J45" s="5">
        <v>2.8170000000000002</v>
      </c>
      <c r="K45" s="5">
        <v>2.6720000000000002</v>
      </c>
      <c r="L45" s="5">
        <v>2.72</v>
      </c>
      <c r="M45" s="5"/>
      <c r="N45" s="5"/>
      <c r="O45" s="5"/>
      <c r="P45" s="5"/>
      <c r="Q45" s="5"/>
      <c r="R45" s="5"/>
    </row>
    <row r="46" spans="2:18" s="4" customFormat="1" x14ac:dyDescent="0.2">
      <c r="B46" s="4" t="s">
        <v>64</v>
      </c>
      <c r="C46" s="5"/>
      <c r="D46" s="5"/>
      <c r="E46" s="5"/>
      <c r="F46" s="5"/>
      <c r="G46" s="5"/>
      <c r="H46" s="5"/>
      <c r="I46" s="5">
        <v>0.99</v>
      </c>
      <c r="J46" s="5">
        <v>0.99</v>
      </c>
      <c r="K46" s="5">
        <v>0.97399999999999998</v>
      </c>
      <c r="L46" s="5">
        <v>0.96299999999999997</v>
      </c>
      <c r="M46" s="5"/>
      <c r="N46" s="5"/>
      <c r="O46" s="5"/>
      <c r="P46" s="5"/>
      <c r="Q46" s="5"/>
      <c r="R46" s="5"/>
    </row>
    <row r="47" spans="2:18" s="4" customFormat="1" x14ac:dyDescent="0.2">
      <c r="B47" s="4" t="s">
        <v>66</v>
      </c>
      <c r="C47" s="5"/>
      <c r="D47" s="5"/>
      <c r="E47" s="5"/>
      <c r="F47" s="5"/>
      <c r="G47" s="5"/>
      <c r="H47" s="5"/>
      <c r="I47" s="5">
        <v>19.956</v>
      </c>
      <c r="J47" s="5">
        <v>19.768000000000001</v>
      </c>
      <c r="K47" s="5">
        <v>18.216999999999999</v>
      </c>
      <c r="L47" s="5">
        <v>21.998999999999999</v>
      </c>
      <c r="M47" s="5"/>
      <c r="N47" s="5"/>
      <c r="O47" s="5"/>
      <c r="P47" s="5"/>
      <c r="Q47" s="5"/>
      <c r="R47" s="5"/>
    </row>
    <row r="48" spans="2:18" s="4" customFormat="1" x14ac:dyDescent="0.2">
      <c r="B48" s="4" t="s">
        <v>67</v>
      </c>
      <c r="C48" s="5"/>
      <c r="D48" s="5"/>
      <c r="E48" s="5"/>
      <c r="F48" s="5"/>
      <c r="G48" s="5"/>
      <c r="H48" s="5"/>
      <c r="I48" s="5">
        <v>0.17599999999999999</v>
      </c>
      <c r="J48" s="5">
        <v>-0.113</v>
      </c>
      <c r="K48" s="5">
        <v>0.30499999999999999</v>
      </c>
      <c r="L48" s="5">
        <v>-1.429</v>
      </c>
      <c r="M48" s="5"/>
      <c r="N48" s="5"/>
      <c r="O48" s="5"/>
      <c r="P48" s="5"/>
      <c r="Q48" s="5"/>
      <c r="R48" s="5"/>
    </row>
    <row r="49" spans="2:18" s="4" customFormat="1" x14ac:dyDescent="0.2">
      <c r="B49" s="4" t="s">
        <v>38</v>
      </c>
      <c r="C49" s="5"/>
      <c r="D49" s="5"/>
      <c r="E49" s="5"/>
      <c r="F49" s="5"/>
      <c r="G49" s="5"/>
      <c r="H49" s="5"/>
      <c r="I49" s="5">
        <v>28.972999999999999</v>
      </c>
      <c r="J49" s="5">
        <v>-188.964</v>
      </c>
      <c r="K49" s="5">
        <v>162.85</v>
      </c>
      <c r="L49" s="5">
        <v>-21.635000000000002</v>
      </c>
      <c r="M49" s="5"/>
      <c r="N49" s="5"/>
      <c r="O49" s="5"/>
      <c r="P49" s="5"/>
      <c r="Q49" s="5"/>
      <c r="R49" s="5"/>
    </row>
    <row r="50" spans="2:18" s="4" customFormat="1" x14ac:dyDescent="0.2">
      <c r="B50" s="4" t="s">
        <v>49</v>
      </c>
      <c r="C50" s="5"/>
      <c r="D50" s="5"/>
      <c r="E50" s="5"/>
      <c r="F50" s="5"/>
      <c r="G50" s="5"/>
      <c r="H50" s="5"/>
      <c r="I50" s="5">
        <v>14.388</v>
      </c>
      <c r="J50" s="5">
        <v>208.911</v>
      </c>
      <c r="K50" s="5">
        <v>-28.876000000000001</v>
      </c>
      <c r="L50" s="5">
        <v>40.223999999999997</v>
      </c>
      <c r="M50" s="5"/>
      <c r="N50" s="5"/>
      <c r="O50" s="5"/>
      <c r="P50" s="5"/>
      <c r="Q50" s="5"/>
      <c r="R50" s="5"/>
    </row>
    <row r="51" spans="2:18" s="4" customFormat="1" x14ac:dyDescent="0.2">
      <c r="B51" s="4" t="s">
        <v>68</v>
      </c>
      <c r="C51" s="5"/>
      <c r="D51" s="5"/>
      <c r="E51" s="5"/>
      <c r="F51" s="5"/>
      <c r="G51" s="5"/>
      <c r="H51" s="5"/>
      <c r="I51" s="5">
        <v>-3.7719999999999998</v>
      </c>
      <c r="J51" s="5">
        <v>-13.303000000000001</v>
      </c>
      <c r="K51" s="5">
        <v>-1.131</v>
      </c>
      <c r="L51" s="5">
        <v>-3.6829999999999998</v>
      </c>
      <c r="M51" s="5"/>
      <c r="N51" s="5"/>
      <c r="O51" s="5"/>
      <c r="P51" s="5"/>
      <c r="Q51" s="5"/>
      <c r="R51" s="5"/>
    </row>
    <row r="52" spans="2:18" s="4" customFormat="1" x14ac:dyDescent="0.2">
      <c r="B52" s="4" t="s">
        <v>42</v>
      </c>
      <c r="C52" s="5"/>
      <c r="D52" s="5"/>
      <c r="E52" s="5"/>
      <c r="F52" s="5"/>
      <c r="G52" s="5"/>
      <c r="H52" s="5"/>
      <c r="I52" s="5">
        <v>-3.2850000000000001</v>
      </c>
      <c r="J52" s="5">
        <v>-12.731</v>
      </c>
      <c r="K52" s="5">
        <v>1.3149999999999999</v>
      </c>
      <c r="L52" s="5">
        <v>-2.528</v>
      </c>
      <c r="M52" s="5"/>
      <c r="N52" s="5"/>
      <c r="O52" s="5"/>
      <c r="P52" s="5"/>
      <c r="Q52" s="5"/>
      <c r="R52" s="5"/>
    </row>
    <row r="53" spans="2:18" s="4" customFormat="1" x14ac:dyDescent="0.2">
      <c r="B53" s="4" t="s">
        <v>63</v>
      </c>
      <c r="C53" s="5"/>
      <c r="D53" s="5"/>
      <c r="E53" s="5"/>
      <c r="F53" s="5"/>
      <c r="G53" s="5"/>
      <c r="H53" s="5"/>
      <c r="I53" s="5">
        <f>SUM(I44:I52)</f>
        <v>227.827</v>
      </c>
      <c r="J53" s="5">
        <f>SUM(J44:J52)</f>
        <v>211.97900000000004</v>
      </c>
      <c r="K53" s="5">
        <f>SUM(K44:K52)</f>
        <v>323.74799999999999</v>
      </c>
      <c r="L53" s="5">
        <f>SUM(L44:L52)</f>
        <v>202.45</v>
      </c>
      <c r="M53" s="5"/>
      <c r="N53" s="5"/>
      <c r="O53" s="5"/>
      <c r="P53" s="5"/>
      <c r="Q53" s="5"/>
      <c r="R53" s="5"/>
    </row>
    <row r="54" spans="2:18" s="4" customFormat="1" x14ac:dyDescent="0.2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2:18" s="4" customFormat="1" x14ac:dyDescent="0.2">
      <c r="B55" s="4" t="s">
        <v>55</v>
      </c>
      <c r="C55" s="5"/>
      <c r="D55" s="5"/>
      <c r="E55" s="5"/>
      <c r="F55" s="5"/>
      <c r="G55" s="5"/>
      <c r="H55" s="5"/>
      <c r="I55" s="5">
        <v>-4.3609999999999998</v>
      </c>
      <c r="J55" s="5">
        <v>-7.1420000000000003</v>
      </c>
      <c r="K55" s="5">
        <v>-4.7080000000000002</v>
      </c>
      <c r="L55" s="5">
        <v>-5.9420000000000002</v>
      </c>
      <c r="M55" s="5"/>
      <c r="N55" s="5"/>
      <c r="O55" s="5"/>
      <c r="P55" s="5"/>
      <c r="Q55" s="5"/>
      <c r="R55" s="5"/>
    </row>
    <row r="56" spans="2:18" s="4" customFormat="1" x14ac:dyDescent="0.2">
      <c r="B56" s="4" t="s">
        <v>56</v>
      </c>
      <c r="C56" s="5"/>
      <c r="D56" s="5"/>
      <c r="E56" s="5"/>
      <c r="F56" s="5"/>
      <c r="G56" s="5"/>
      <c r="H56" s="5"/>
      <c r="I56" s="5">
        <f>+I55</f>
        <v>-4.3609999999999998</v>
      </c>
      <c r="J56" s="5">
        <f>+J55</f>
        <v>-7.1420000000000003</v>
      </c>
      <c r="K56" s="5">
        <f>+K55</f>
        <v>-4.7080000000000002</v>
      </c>
      <c r="L56" s="5">
        <f>+L55</f>
        <v>-5.9420000000000002</v>
      </c>
      <c r="M56" s="5"/>
      <c r="N56" s="5"/>
      <c r="O56" s="5"/>
      <c r="P56" s="5"/>
      <c r="Q56" s="5"/>
      <c r="R56" s="5"/>
    </row>
    <row r="57" spans="2:18" s="4" customFormat="1" x14ac:dyDescent="0.2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spans="2:18" s="4" customFormat="1" x14ac:dyDescent="0.2">
      <c r="B58" s="4" t="s">
        <v>62</v>
      </c>
      <c r="C58" s="5"/>
      <c r="D58" s="5"/>
      <c r="E58" s="5"/>
      <c r="F58" s="5"/>
      <c r="G58" s="5"/>
      <c r="H58" s="5"/>
      <c r="I58" s="5">
        <v>20.074000000000002</v>
      </c>
      <c r="J58" s="5">
        <v>48.762999999999998</v>
      </c>
      <c r="K58" s="5">
        <v>16.149999999999999</v>
      </c>
      <c r="L58" s="5">
        <v>17.379000000000001</v>
      </c>
      <c r="M58" s="5"/>
      <c r="N58" s="5"/>
      <c r="O58" s="5"/>
      <c r="P58" s="5"/>
      <c r="Q58" s="5"/>
      <c r="R58" s="5"/>
    </row>
    <row r="59" spans="2:18" s="4" customFormat="1" x14ac:dyDescent="0.2">
      <c r="B59" s="4" t="s">
        <v>61</v>
      </c>
      <c r="C59" s="5"/>
      <c r="D59" s="5"/>
      <c r="E59" s="5"/>
      <c r="F59" s="5"/>
      <c r="G59" s="5"/>
      <c r="H59" s="5"/>
      <c r="I59" s="5">
        <v>-249.76300000000001</v>
      </c>
      <c r="J59" s="5">
        <v>-249.29</v>
      </c>
      <c r="K59" s="5">
        <v>-247.26599999999999</v>
      </c>
      <c r="L59" s="5">
        <v>-245.67099999999999</v>
      </c>
      <c r="M59" s="5"/>
      <c r="N59" s="5"/>
      <c r="O59" s="5"/>
      <c r="P59" s="5"/>
      <c r="Q59" s="5"/>
      <c r="R59" s="5"/>
    </row>
    <row r="60" spans="2:18" s="4" customFormat="1" x14ac:dyDescent="0.2">
      <c r="B60" s="4" t="s">
        <v>60</v>
      </c>
      <c r="C60" s="5"/>
      <c r="D60" s="5"/>
      <c r="E60" s="5"/>
      <c r="F60" s="5"/>
      <c r="G60" s="5"/>
      <c r="H60" s="5"/>
      <c r="I60" s="5">
        <v>3.7719999999999998</v>
      </c>
      <c r="J60" s="5">
        <v>13.303000000000001</v>
      </c>
      <c r="K60" s="5">
        <v>1.131</v>
      </c>
      <c r="L60" s="5">
        <v>3.6829999999999998</v>
      </c>
      <c r="M60" s="5"/>
      <c r="N60" s="5"/>
      <c r="O60" s="5"/>
      <c r="P60" s="5"/>
      <c r="Q60" s="5"/>
      <c r="R60" s="5"/>
    </row>
    <row r="61" spans="2:18" s="4" customFormat="1" x14ac:dyDescent="0.2">
      <c r="B61" s="4" t="s">
        <v>59</v>
      </c>
      <c r="C61" s="5"/>
      <c r="D61" s="5"/>
      <c r="E61" s="5"/>
      <c r="F61" s="5"/>
      <c r="G61" s="5"/>
      <c r="H61" s="5"/>
      <c r="I61" s="5">
        <f>SUM(I58:I60)</f>
        <v>-225.917</v>
      </c>
      <c r="J61" s="5">
        <f>SUM(J58:J60)</f>
        <v>-187.22399999999999</v>
      </c>
      <c r="K61" s="5">
        <f>SUM(K58:K60)</f>
        <v>-229.98499999999999</v>
      </c>
      <c r="L61" s="5">
        <f>SUM(L58:L60)</f>
        <v>-224.60900000000001</v>
      </c>
      <c r="M61" s="5"/>
      <c r="N61" s="5"/>
      <c r="O61" s="5"/>
      <c r="P61" s="5"/>
      <c r="Q61" s="5"/>
      <c r="R61" s="5"/>
    </row>
    <row r="62" spans="2:18" s="4" customFormat="1" x14ac:dyDescent="0.2">
      <c r="B62" s="4" t="s">
        <v>58</v>
      </c>
      <c r="C62" s="5"/>
      <c r="D62" s="5"/>
      <c r="E62" s="5"/>
      <c r="F62" s="5"/>
      <c r="G62" s="5"/>
      <c r="H62" s="5"/>
      <c r="I62" s="5">
        <v>4.1500000000000004</v>
      </c>
      <c r="J62" s="5">
        <v>-14.500999999999999</v>
      </c>
      <c r="K62" s="5">
        <v>24.704999999999998</v>
      </c>
      <c r="L62" s="5">
        <v>6.9130000000000003</v>
      </c>
      <c r="M62" s="5"/>
      <c r="N62" s="5"/>
      <c r="O62" s="5"/>
      <c r="P62" s="5"/>
      <c r="Q62" s="5"/>
      <c r="R62" s="5"/>
    </row>
    <row r="63" spans="2:18" s="4" customFormat="1" x14ac:dyDescent="0.2">
      <c r="B63" s="4" t="s">
        <v>57</v>
      </c>
      <c r="C63" s="5"/>
      <c r="D63" s="5"/>
      <c r="E63" s="5"/>
      <c r="F63" s="5"/>
      <c r="G63" s="5"/>
      <c r="H63" s="5"/>
      <c r="I63" s="5">
        <f>+I62+I61+I56+I53</f>
        <v>1.6990000000000123</v>
      </c>
      <c r="J63" s="5">
        <f>+J62+J61+J56+J53</f>
        <v>3.1120000000000516</v>
      </c>
      <c r="K63" s="5">
        <f>+K62+K61+K56+K53</f>
        <v>113.76000000000002</v>
      </c>
      <c r="L63" s="5">
        <f>+L62+L61+L56+L53</f>
        <v>-21.188000000000017</v>
      </c>
      <c r="M63" s="5"/>
      <c r="N63" s="5"/>
      <c r="O63" s="5"/>
      <c r="P63" s="5"/>
      <c r="Q63" s="5"/>
      <c r="R63" s="5"/>
    </row>
    <row r="65" spans="12:12" x14ac:dyDescent="0.2">
      <c r="L65" s="8">
        <f>SUM(I53:L55)/L29</f>
        <v>17.494921223354961</v>
      </c>
    </row>
  </sheetData>
  <hyperlinks>
    <hyperlink ref="A1" location="Main!A1" display="Main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2016-10-02T18:09:35Z</dcterms:created>
  <dcterms:modified xsi:type="dcterms:W3CDTF">2016-10-16T22:20:37Z</dcterms:modified>
</cp:coreProperties>
</file>