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13920" windowHeight="12030" activeTab="1"/>
  </bookViews>
  <sheets>
    <sheet name="Main" sheetId="1" r:id="rId1"/>
    <sheet name="Mode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2" l="1"/>
  <c r="M22" i="2"/>
  <c r="L8" i="2"/>
  <c r="L9" i="2" s="1"/>
  <c r="L23" i="2" s="1"/>
  <c r="M8" i="2"/>
  <c r="M9" i="2" s="1"/>
  <c r="L12" i="2"/>
  <c r="M12" i="2"/>
  <c r="O19" i="2"/>
  <c r="P19" i="2" s="1"/>
  <c r="Q19" i="2" s="1"/>
  <c r="R19" i="2" s="1"/>
  <c r="N19" i="2"/>
  <c r="N16" i="2"/>
  <c r="N14" i="2"/>
  <c r="N11" i="2"/>
  <c r="N10" i="2"/>
  <c r="N12" i="2"/>
  <c r="O3" i="2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N3" i="2"/>
  <c r="N22" i="2" s="1"/>
  <c r="P2" i="2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J19" i="2"/>
  <c r="J14" i="2"/>
  <c r="O14" i="2" s="1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J11" i="2"/>
  <c r="O11" i="2" s="1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J10" i="2"/>
  <c r="J12" i="2" s="1"/>
  <c r="J3" i="2"/>
  <c r="J9" i="2" s="1"/>
  <c r="J23" i="2" s="1"/>
  <c r="J13" i="2" l="1"/>
  <c r="J15" i="2"/>
  <c r="O10" i="2"/>
  <c r="J22" i="2"/>
  <c r="J8" i="2"/>
  <c r="O22" i="2"/>
  <c r="Q9" i="2"/>
  <c r="P9" i="2"/>
  <c r="P8" i="2"/>
  <c r="Q23" i="2"/>
  <c r="Q22" i="2"/>
  <c r="R22" i="2"/>
  <c r="P22" i="2"/>
  <c r="S19" i="2"/>
  <c r="L13" i="2"/>
  <c r="L15" i="2" s="1"/>
  <c r="L17" i="2" s="1"/>
  <c r="L18" i="2" s="1"/>
  <c r="M13" i="2"/>
  <c r="M15" i="2" s="1"/>
  <c r="I22" i="2"/>
  <c r="H22" i="2"/>
  <c r="G22" i="2"/>
  <c r="F23" i="2"/>
  <c r="E23" i="2"/>
  <c r="D23" i="2"/>
  <c r="F12" i="2"/>
  <c r="F8" i="2"/>
  <c r="F9" i="2" s="1"/>
  <c r="F13" i="2" s="1"/>
  <c r="F15" i="2" s="1"/>
  <c r="C12" i="2"/>
  <c r="C8" i="2"/>
  <c r="G12" i="2"/>
  <c r="G8" i="2"/>
  <c r="D12" i="2"/>
  <c r="D8" i="2"/>
  <c r="D9" i="2" s="1"/>
  <c r="D13" i="2" s="1"/>
  <c r="D15" i="2" s="1"/>
  <c r="H12" i="2"/>
  <c r="H8" i="2"/>
  <c r="H9" i="2" s="1"/>
  <c r="H23" i="2" s="1"/>
  <c r="E12" i="2"/>
  <c r="E13" i="2" s="1"/>
  <c r="E15" i="2" s="1"/>
  <c r="E8" i="2"/>
  <c r="E9" i="2" s="1"/>
  <c r="I12" i="2"/>
  <c r="I8" i="2"/>
  <c r="I9" i="2" s="1"/>
  <c r="J5" i="1"/>
  <c r="J3" i="1"/>
  <c r="J4" i="1" s="1"/>
  <c r="J7" i="1" s="1"/>
  <c r="I13" i="2" l="1"/>
  <c r="I15" i="2" s="1"/>
  <c r="I23" i="2"/>
  <c r="E24" i="2"/>
  <c r="E17" i="2"/>
  <c r="E18" i="2" s="1"/>
  <c r="G9" i="2"/>
  <c r="O8" i="2"/>
  <c r="O12" i="2"/>
  <c r="P10" i="2"/>
  <c r="D17" i="2"/>
  <c r="D18" i="2" s="1"/>
  <c r="D24" i="2"/>
  <c r="F17" i="2"/>
  <c r="F18" i="2" s="1"/>
  <c r="F24" i="2"/>
  <c r="J16" i="2"/>
  <c r="J17" i="2" s="1"/>
  <c r="J18" i="2" s="1"/>
  <c r="C9" i="2"/>
  <c r="N8" i="2"/>
  <c r="P23" i="2"/>
  <c r="R9" i="2"/>
  <c r="Q8" i="2"/>
  <c r="T19" i="2"/>
  <c r="L24" i="2"/>
  <c r="M17" i="2"/>
  <c r="M18" i="2" s="1"/>
  <c r="M24" i="2"/>
  <c r="C13" i="2"/>
  <c r="C15" i="2" s="1"/>
  <c r="H13" i="2"/>
  <c r="H15" i="2" s="1"/>
  <c r="H17" i="2" l="1"/>
  <c r="H18" i="2" s="1"/>
  <c r="H24" i="2"/>
  <c r="O16" i="2"/>
  <c r="J24" i="2"/>
  <c r="C17" i="2"/>
  <c r="C18" i="2" s="1"/>
  <c r="C24" i="2"/>
  <c r="P12" i="2"/>
  <c r="P13" i="2" s="1"/>
  <c r="P15" i="2" s="1"/>
  <c r="Q10" i="2"/>
  <c r="G13" i="2"/>
  <c r="G15" i="2" s="1"/>
  <c r="O9" i="2"/>
  <c r="O23" i="2" s="1"/>
  <c r="G23" i="2"/>
  <c r="N9" i="2"/>
  <c r="C23" i="2"/>
  <c r="I17" i="2"/>
  <c r="I18" i="2" s="1"/>
  <c r="I24" i="2"/>
  <c r="S9" i="2"/>
  <c r="S8" i="2"/>
  <c r="S22" i="2"/>
  <c r="R23" i="2"/>
  <c r="R8" i="2"/>
  <c r="U19" i="2"/>
  <c r="N23" i="2" l="1"/>
  <c r="N13" i="2"/>
  <c r="N15" i="2" s="1"/>
  <c r="R10" i="2"/>
  <c r="Q12" i="2"/>
  <c r="Q13" i="2" s="1"/>
  <c r="Q15" i="2" s="1"/>
  <c r="P16" i="2"/>
  <c r="P24" i="2" s="1"/>
  <c r="P17" i="2"/>
  <c r="P18" i="2" s="1"/>
  <c r="G17" i="2"/>
  <c r="G18" i="2" s="1"/>
  <c r="G24" i="2"/>
  <c r="O13" i="2"/>
  <c r="O15" i="2" s="1"/>
  <c r="O17" i="2" s="1"/>
  <c r="O18" i="2" s="1"/>
  <c r="T9" i="2"/>
  <c r="T8" i="2" s="1"/>
  <c r="T22" i="2"/>
  <c r="S23" i="2"/>
  <c r="V19" i="2"/>
  <c r="S10" i="2" l="1"/>
  <c r="R12" i="2"/>
  <c r="R13" i="2" s="1"/>
  <c r="R15" i="2" s="1"/>
  <c r="O24" i="2"/>
  <c r="N17" i="2"/>
  <c r="N18" i="2" s="1"/>
  <c r="N24" i="2"/>
  <c r="Q16" i="2"/>
  <c r="Q24" i="2" s="1"/>
  <c r="Q17" i="2"/>
  <c r="Q18" i="2" s="1"/>
  <c r="U9" i="2"/>
  <c r="U8" i="2" s="1"/>
  <c r="U22" i="2"/>
  <c r="T23" i="2"/>
  <c r="W19" i="2"/>
  <c r="R16" i="2" l="1"/>
  <c r="R24" i="2" s="1"/>
  <c r="T10" i="2"/>
  <c r="S12" i="2"/>
  <c r="S13" i="2" s="1"/>
  <c r="S15" i="2" s="1"/>
  <c r="S16" i="2" s="1"/>
  <c r="S24" i="2" s="1"/>
  <c r="V9" i="2"/>
  <c r="V22" i="2"/>
  <c r="U23" i="2"/>
  <c r="X19" i="2"/>
  <c r="S17" i="2" l="1"/>
  <c r="U10" i="2"/>
  <c r="T12" i="2"/>
  <c r="T13" i="2" s="1"/>
  <c r="T15" i="2" s="1"/>
  <c r="R17" i="2"/>
  <c r="R18" i="2" s="1"/>
  <c r="S18" i="2"/>
  <c r="V23" i="2"/>
  <c r="V8" i="2"/>
  <c r="W9" i="2"/>
  <c r="W8" i="2" s="1"/>
  <c r="W22" i="2"/>
  <c r="Y19" i="2"/>
  <c r="T16" i="2" l="1"/>
  <c r="T24" i="2" s="1"/>
  <c r="V10" i="2"/>
  <c r="U12" i="2"/>
  <c r="U13" i="2" s="1"/>
  <c r="U15" i="2" s="1"/>
  <c r="U16" i="2" s="1"/>
  <c r="U24" i="2" s="1"/>
  <c r="W23" i="2"/>
  <c r="X9" i="2"/>
  <c r="X8" i="2" s="1"/>
  <c r="X22" i="2"/>
  <c r="Z19" i="2"/>
  <c r="U17" i="2" l="1"/>
  <c r="U18" i="2" s="1"/>
  <c r="W10" i="2"/>
  <c r="V12" i="2"/>
  <c r="V13" i="2" s="1"/>
  <c r="V15" i="2" s="1"/>
  <c r="V16" i="2" s="1"/>
  <c r="V24" i="2" s="1"/>
  <c r="T17" i="2"/>
  <c r="T18" i="2" s="1"/>
  <c r="Y9" i="2"/>
  <c r="Y22" i="2"/>
  <c r="X23" i="2"/>
  <c r="AA19" i="2"/>
  <c r="X10" i="2" l="1"/>
  <c r="W12" i="2"/>
  <c r="W13" i="2" s="1"/>
  <c r="W15" i="2" s="1"/>
  <c r="W16" i="2" s="1"/>
  <c r="W24" i="2" s="1"/>
  <c r="V17" i="2"/>
  <c r="V18" i="2" s="1"/>
  <c r="Z9" i="2"/>
  <c r="Z22" i="2"/>
  <c r="Y23" i="2"/>
  <c r="Y8" i="2"/>
  <c r="AB19" i="2"/>
  <c r="W17" i="2" l="1"/>
  <c r="W18" i="2" s="1"/>
  <c r="Y10" i="2"/>
  <c r="X12" i="2"/>
  <c r="X13" i="2" s="1"/>
  <c r="X15" i="2" s="1"/>
  <c r="X16" i="2" s="1"/>
  <c r="X24" i="2" s="1"/>
  <c r="AA9" i="2"/>
  <c r="AA22" i="2"/>
  <c r="Z23" i="2"/>
  <c r="Z8" i="2"/>
  <c r="AC19" i="2"/>
  <c r="X17" i="2" l="1"/>
  <c r="Z10" i="2"/>
  <c r="Y12" i="2"/>
  <c r="Y13" i="2" s="1"/>
  <c r="Y15" i="2" s="1"/>
  <c r="Y16" i="2" s="1"/>
  <c r="Y24" i="2" s="1"/>
  <c r="AB9" i="2"/>
  <c r="AB22" i="2"/>
  <c r="AA23" i="2"/>
  <c r="AA8" i="2"/>
  <c r="Y17" i="2"/>
  <c r="Y18" i="2" s="1"/>
  <c r="X18" i="2"/>
  <c r="AD19" i="2"/>
  <c r="AA10" i="2" l="1"/>
  <c r="Z12" i="2"/>
  <c r="Z13" i="2" s="1"/>
  <c r="Z15" i="2" s="1"/>
  <c r="Z16" i="2" s="1"/>
  <c r="Z24" i="2" s="1"/>
  <c r="AB23" i="2"/>
  <c r="AC9" i="2"/>
  <c r="AC22" i="2"/>
  <c r="AB8" i="2"/>
  <c r="Z17" i="2"/>
  <c r="Z18" i="2" s="1"/>
  <c r="AB10" i="2" l="1"/>
  <c r="AA12" i="2"/>
  <c r="AA13" i="2" s="1"/>
  <c r="AA15" i="2" s="1"/>
  <c r="AD9" i="2"/>
  <c r="AD8" i="2"/>
  <c r="AD22" i="2"/>
  <c r="AC23" i="2"/>
  <c r="AC8" i="2"/>
  <c r="AA16" i="2" l="1"/>
  <c r="AA24" i="2" s="1"/>
  <c r="AA17" i="2"/>
  <c r="AA18" i="2" s="1"/>
  <c r="AC10" i="2"/>
  <c r="AB12" i="2"/>
  <c r="AB13" i="2" s="1"/>
  <c r="AB15" i="2" s="1"/>
  <c r="AB16" i="2" s="1"/>
  <c r="AB24" i="2" s="1"/>
  <c r="AD23" i="2"/>
  <c r="AB17" i="2" l="1"/>
  <c r="AB18" i="2" s="1"/>
  <c r="AD10" i="2"/>
  <c r="AD12" i="2" s="1"/>
  <c r="AD13" i="2" s="1"/>
  <c r="AD15" i="2" s="1"/>
  <c r="AD16" i="2" s="1"/>
  <c r="AC12" i="2"/>
  <c r="AC13" i="2" s="1"/>
  <c r="AC15" i="2" s="1"/>
  <c r="AD24" i="2" l="1"/>
  <c r="AD17" i="2"/>
  <c r="AC16" i="2"/>
  <c r="AC24" i="2" s="1"/>
  <c r="AE17" i="2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DV17" i="2" s="1"/>
  <c r="DW17" i="2" s="1"/>
  <c r="DX17" i="2" s="1"/>
  <c r="DY17" i="2" s="1"/>
  <c r="DZ17" i="2" s="1"/>
  <c r="EA17" i="2" s="1"/>
  <c r="EB17" i="2" s="1"/>
  <c r="EC17" i="2" s="1"/>
  <c r="ED17" i="2" s="1"/>
  <c r="EE17" i="2" s="1"/>
  <c r="AD18" i="2"/>
  <c r="AC17" i="2" l="1"/>
  <c r="AC18" i="2" s="1"/>
  <c r="AG22" i="2" l="1"/>
  <c r="AG23" i="2" s="1"/>
  <c r="AG24" i="2" s="1"/>
</calcChain>
</file>

<file path=xl/sharedStrings.xml><?xml version="1.0" encoding="utf-8"?>
<sst xmlns="http://schemas.openxmlformats.org/spreadsheetml/2006/main" count="44" uniqueCount="39">
  <si>
    <t>Price</t>
  </si>
  <si>
    <t>Shares</t>
  </si>
  <si>
    <t>MC</t>
  </si>
  <si>
    <t>Cash</t>
  </si>
  <si>
    <t>EV</t>
  </si>
  <si>
    <t>Debt</t>
  </si>
  <si>
    <t>Q315</t>
  </si>
  <si>
    <t>Main</t>
  </si>
  <si>
    <t>Revenue</t>
  </si>
  <si>
    <t>Q114</t>
  </si>
  <si>
    <t>Q214</t>
  </si>
  <si>
    <t>Q314</t>
  </si>
  <si>
    <t>Q414</t>
  </si>
  <si>
    <t>Q115</t>
  </si>
  <si>
    <t>Q215</t>
  </si>
  <si>
    <t>Q415</t>
  </si>
  <si>
    <t>Food, Beverage, Package</t>
  </si>
  <si>
    <t>Labor</t>
  </si>
  <si>
    <t>Occupancy</t>
  </si>
  <si>
    <t>Other Operating Costs</t>
  </si>
  <si>
    <t>Restaurant Costs</t>
  </si>
  <si>
    <t>Restaurant Margin</t>
  </si>
  <si>
    <t>G&amp;A</t>
  </si>
  <si>
    <t>Pre-opening Costs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</si>
  <si>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</si>
  <si>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</si>
  <si>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</si>
  <si>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</si>
  <si>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</si>
  <si>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</si>
  <si>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</si>
  <si>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Revenue Growth</t>
  </si>
  <si>
    <t>Tax Rate</t>
  </si>
  <si>
    <t>NPV</t>
  </si>
  <si>
    <t>Discount</t>
  </si>
  <si>
    <t>Maturity</t>
  </si>
  <si>
    <t>Share</t>
  </si>
  <si>
    <t>Return</t>
  </si>
  <si>
    <t>Balance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</si>
</sst>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Font="1" applyAlignment="1">
      <alignment horizontal="right"/>
    </xf>
    <xf numFmtId="3" fontId="0" fillId="0" borderId="0" xfId="0" applyNumberFormat="1" applyFont="1"/>
    <xf numFmtId="9" fontId="0" fillId="0" borderId="0" xfId="0" applyNumberForma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2" fillId="0" borderId="0" xfId="1"/>
    <xf numFmtId="9" fontId="1" fillId="0" borderId="0" xfId="0" applyNumberFormat="1" applyFont="1"/>
    <xf numFmtId="9" fontId="0" fillId="0" borderId="0" xfId="0" applyNumberFormat="1"/>
    <xf numFmtId="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0</xdr:row>
      <xdr:rowOff>19050</xdr:rowOff>
    </xdr:from>
    <xdr:to>
      <xdr:col>9</xdr:col>
      <xdr:colOff>28575</xdr:colOff>
      <xdr:row>41</xdr:row>
      <xdr:rowOff>66675</xdr:rowOff>
    </xdr:to>
    <xdr:cxnSp macro="">
      <xdr:nvCxnSpPr>
        <xdr:cNvPr id="3" name="Straight Connector 2"/>
        <xdr:cNvCxnSpPr/>
      </xdr:nvCxnSpPr>
      <xdr:spPr>
        <a:xfrm>
          <a:off x="6143625" y="19050"/>
          <a:ext cx="0" cy="63627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38100</xdr:colOff>
      <xdr:row>0</xdr:row>
      <xdr:rowOff>0</xdr:rowOff>
    </xdr:from>
    <xdr:to>
      <xdr:col>14</xdr:col>
      <xdr:colOff>38100</xdr:colOff>
      <xdr:row>41</xdr:row>
      <xdr:rowOff>47625</xdr:rowOff>
    </xdr:to>
    <xdr:cxnSp macro="">
      <xdr:nvCxnSpPr>
        <xdr:cNvPr id="4" name="Straight Connector 3"/>
        <xdr:cNvCxnSpPr/>
      </xdr:nvCxnSpPr>
      <xdr:spPr>
        <a:xfrm>
          <a:off x="8591550" y="0"/>
          <a:ext cx="0" cy="6686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2:K7"/>
  <sheetViews>
    <sheetView workbookViewId="0"/>
  </sheetViews>
  <sheetFormatPr defaultRowHeight="12.75" x14ac:dyDescent="0.2"/>
  <sheetData>
    <row r="2" spans="9:11" x14ac:dyDescent="0.2">
      <c r="I2" t="s">
        <v>0</v>
      </c>
      <c r="J2" s="1">
        <v>612</v>
      </c>
    </row>
    <row r="3" spans="9:11" x14ac:dyDescent="0.2">
      <c r="I3" t="s">
        <v>1</v>
      </c>
      <c r="J3" s="2">
        <f>35.789-4.596</f>
        <v>31.193000000000001</v>
      </c>
      <c r="K3" s="3" t="s">
        <v>6</v>
      </c>
    </row>
    <row r="4" spans="9:11" x14ac:dyDescent="0.2">
      <c r="I4" t="s">
        <v>2</v>
      </c>
      <c r="J4" s="2">
        <f>+J3*J2</f>
        <v>19090.116000000002</v>
      </c>
      <c r="K4" s="3"/>
    </row>
    <row r="5" spans="9:11" x14ac:dyDescent="0.2">
      <c r="I5" t="s">
        <v>3</v>
      </c>
      <c r="J5" s="2">
        <f>604.162+355.581+625.098</f>
        <v>1584.8409999999999</v>
      </c>
      <c r="K5" s="3" t="s">
        <v>6</v>
      </c>
    </row>
    <row r="6" spans="9:11" x14ac:dyDescent="0.2">
      <c r="I6" t="s">
        <v>5</v>
      </c>
      <c r="J6" s="2">
        <v>0</v>
      </c>
      <c r="K6" s="3" t="s">
        <v>6</v>
      </c>
    </row>
    <row r="7" spans="9:11" x14ac:dyDescent="0.2">
      <c r="I7" t="s">
        <v>4</v>
      </c>
      <c r="J7" s="2">
        <f>+J4-J5+J6</f>
        <v>17505.275000000001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6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2.75" x14ac:dyDescent="0.2"/>
  <cols>
    <col min="1" max="1" width="5" bestFit="1" customWidth="1"/>
    <col min="2" max="2" width="22.7109375" bestFit="1" customWidth="1"/>
    <col min="3" max="10" width="9.140625" style="3"/>
    <col min="33" max="33" width="9.5703125" customWidth="1"/>
  </cols>
  <sheetData>
    <row r="1" spans="1:30" x14ac:dyDescent="0.2">
      <c r="A1" s="14" t="s">
        <v>7</v>
      </c>
    </row>
    <row r="2" spans="1:30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6</v>
      </c>
      <c r="J2" s="3" t="s">
        <v>15</v>
      </c>
      <c r="L2">
        <v>2012</v>
      </c>
      <c r="M2">
        <v>2013</v>
      </c>
      <c r="N2">
        <v>2014</v>
      </c>
      <c r="O2">
        <v>2015</v>
      </c>
      <c r="P2">
        <f>+O2+1</f>
        <v>2016</v>
      </c>
      <c r="Q2">
        <f t="shared" ref="Q2:AD2" si="0">+P2+1</f>
        <v>2017</v>
      </c>
      <c r="R2">
        <f t="shared" si="0"/>
        <v>2018</v>
      </c>
      <c r="S2">
        <f t="shared" si="0"/>
        <v>2019</v>
      </c>
      <c r="T2">
        <f t="shared" si="0"/>
        <v>2020</v>
      </c>
      <c r="U2">
        <f t="shared" si="0"/>
        <v>2021</v>
      </c>
      <c r="V2">
        <f t="shared" si="0"/>
        <v>2022</v>
      </c>
      <c r="W2">
        <f t="shared" si="0"/>
        <v>2023</v>
      </c>
      <c r="X2">
        <f t="shared" si="0"/>
        <v>2024</v>
      </c>
      <c r="Y2">
        <f t="shared" si="0"/>
        <v>2025</v>
      </c>
      <c r="Z2">
        <f t="shared" si="0"/>
        <v>2026</v>
      </c>
      <c r="AA2">
        <f t="shared" si="0"/>
        <v>2027</v>
      </c>
      <c r="AB2">
        <f t="shared" si="0"/>
        <v>2028</v>
      </c>
      <c r="AC2">
        <f t="shared" si="0"/>
        <v>2029</v>
      </c>
      <c r="AD2">
        <f t="shared" si="0"/>
        <v>2030</v>
      </c>
    </row>
    <row r="3" spans="1:30" s="6" customFormat="1" x14ac:dyDescent="0.2">
      <c r="B3" s="6" t="s">
        <v>8</v>
      </c>
      <c r="C3" s="7">
        <v>904.16300000000001</v>
      </c>
      <c r="D3" s="7">
        <v>1050.0730000000001</v>
      </c>
      <c r="E3" s="7">
        <v>1084.222</v>
      </c>
      <c r="F3" s="7">
        <v>1069.8109999999999</v>
      </c>
      <c r="G3" s="7">
        <v>1089.0429999999999</v>
      </c>
      <c r="H3" s="7">
        <v>1197.7829999999999</v>
      </c>
      <c r="I3" s="7">
        <v>1216.8900000000001</v>
      </c>
      <c r="J3" s="7">
        <f>+F3*1.12</f>
        <v>1198.18832</v>
      </c>
      <c r="L3" s="6">
        <v>2731.2240000000002</v>
      </c>
      <c r="M3" s="6">
        <v>3214.5909999999999</v>
      </c>
      <c r="N3" s="6">
        <f>SUM(C3:F3)</f>
        <v>4108.2690000000002</v>
      </c>
      <c r="O3" s="6">
        <f>SUM(G3:J3)</f>
        <v>4701.9043200000006</v>
      </c>
      <c r="P3" s="6">
        <f>+O3*1.12</f>
        <v>5266.1328384000008</v>
      </c>
      <c r="Q3" s="6">
        <f>+P3*1.12</f>
        <v>5898.068779008001</v>
      </c>
      <c r="R3" s="6">
        <f>+Q3*1.1</f>
        <v>6487.8756569088018</v>
      </c>
      <c r="S3" s="6">
        <f>+R3*1.08</f>
        <v>7006.9057094615064</v>
      </c>
      <c r="T3" s="6">
        <f>+S3*1.08</f>
        <v>7567.4581662184273</v>
      </c>
      <c r="U3" s="6">
        <f>+T3*1.08</f>
        <v>8172.8548195159019</v>
      </c>
      <c r="V3" s="6">
        <f>+U3*1.05</f>
        <v>8581.4975604916981</v>
      </c>
      <c r="W3" s="6">
        <f t="shared" ref="W3:AD3" si="1">+V3*1.05</f>
        <v>9010.572438516283</v>
      </c>
      <c r="X3" s="6">
        <f t="shared" si="1"/>
        <v>9461.1010604420972</v>
      </c>
      <c r="Y3" s="6">
        <f t="shared" si="1"/>
        <v>9934.1561134642016</v>
      </c>
      <c r="Z3" s="6">
        <f t="shared" si="1"/>
        <v>10430.863919137411</v>
      </c>
      <c r="AA3" s="6">
        <f t="shared" si="1"/>
        <v>10952.407115094282</v>
      </c>
      <c r="AB3" s="6">
        <f t="shared" si="1"/>
        <v>11500.027470848996</v>
      </c>
      <c r="AC3" s="6">
        <f t="shared" si="1"/>
        <v>12075.028844391447</v>
      </c>
      <c r="AD3" s="6">
        <f t="shared" si="1"/>
        <v>12678.78028661102</v>
      </c>
    </row>
    <row r="4" spans="1:30" s="2" customFormat="1" x14ac:dyDescent="0.2">
      <c r="B4" s="2" t="s">
        <v>16</v>
      </c>
      <c r="C4" s="5">
        <v>311.79199999999997</v>
      </c>
      <c r="D4" s="5">
        <v>363.14800000000002</v>
      </c>
      <c r="E4" s="5">
        <v>372.06299999999999</v>
      </c>
      <c r="F4" s="5">
        <v>373.99099999999999</v>
      </c>
      <c r="G4" s="5">
        <v>369.02600000000001</v>
      </c>
      <c r="H4" s="5">
        <v>396.69299999999998</v>
      </c>
      <c r="I4" s="5">
        <v>401.05099999999999</v>
      </c>
      <c r="J4" s="5"/>
      <c r="L4" s="2">
        <v>891.00300000000004</v>
      </c>
      <c r="M4" s="2">
        <v>1073.5139999999999</v>
      </c>
    </row>
    <row r="5" spans="1:30" s="2" customFormat="1" x14ac:dyDescent="0.2">
      <c r="B5" s="2" t="s">
        <v>17</v>
      </c>
      <c r="C5" s="5">
        <v>208.208</v>
      </c>
      <c r="D5" s="5">
        <v>228.529</v>
      </c>
      <c r="E5" s="5">
        <v>230.36</v>
      </c>
      <c r="F5" s="5">
        <v>237.31</v>
      </c>
      <c r="G5" s="5">
        <v>244.15100000000001</v>
      </c>
      <c r="H5" s="5">
        <v>270.91399999999999</v>
      </c>
      <c r="I5" s="5">
        <v>270.07600000000002</v>
      </c>
      <c r="J5" s="5"/>
      <c r="L5" s="2">
        <v>641.83600000000001</v>
      </c>
      <c r="M5" s="2">
        <v>739.8</v>
      </c>
    </row>
    <row r="6" spans="1:30" s="2" customFormat="1" x14ac:dyDescent="0.2">
      <c r="B6" s="2" t="s">
        <v>18</v>
      </c>
      <c r="C6" s="5">
        <v>54.845999999999997</v>
      </c>
      <c r="D6" s="5">
        <v>56.253999999999998</v>
      </c>
      <c r="E6" s="5">
        <v>58.838000000000001</v>
      </c>
      <c r="F6" s="5">
        <v>60.93</v>
      </c>
      <c r="G6" s="5">
        <v>63.185000000000002</v>
      </c>
      <c r="H6" s="5">
        <v>64.692999999999998</v>
      </c>
      <c r="I6" s="5">
        <v>66.391000000000005</v>
      </c>
      <c r="J6" s="5"/>
      <c r="L6" s="2">
        <v>171.435</v>
      </c>
      <c r="M6" s="2">
        <v>199.107</v>
      </c>
    </row>
    <row r="7" spans="1:30" s="2" customFormat="1" x14ac:dyDescent="0.2">
      <c r="B7" s="2" t="s">
        <v>19</v>
      </c>
      <c r="C7" s="5">
        <v>95.137</v>
      </c>
      <c r="D7" s="5">
        <v>115.41800000000001</v>
      </c>
      <c r="E7" s="5">
        <v>110.95699999999999</v>
      </c>
      <c r="F7" s="5">
        <v>112.732</v>
      </c>
      <c r="G7" s="5">
        <v>113.541</v>
      </c>
      <c r="H7" s="5">
        <v>130.35900000000001</v>
      </c>
      <c r="I7" s="5">
        <v>134.87899999999999</v>
      </c>
      <c r="J7" s="5"/>
      <c r="L7" s="2">
        <v>286.61</v>
      </c>
      <c r="M7" s="2">
        <v>347.40100000000001</v>
      </c>
    </row>
    <row r="8" spans="1:30" s="2" customFormat="1" x14ac:dyDescent="0.2">
      <c r="B8" s="2" t="s">
        <v>20</v>
      </c>
      <c r="C8" s="5">
        <f t="shared" ref="C8:I8" si="2">SUM(C4:C7)</f>
        <v>669.98299999999995</v>
      </c>
      <c r="D8" s="5">
        <f t="shared" si="2"/>
        <v>763.34900000000005</v>
      </c>
      <c r="E8" s="5">
        <f t="shared" si="2"/>
        <v>772.21799999999996</v>
      </c>
      <c r="F8" s="5">
        <f t="shared" si="2"/>
        <v>784.96299999999985</v>
      </c>
      <c r="G8" s="5">
        <f t="shared" si="2"/>
        <v>789.90300000000002</v>
      </c>
      <c r="H8" s="5">
        <f t="shared" si="2"/>
        <v>862.65899999999999</v>
      </c>
      <c r="I8" s="5">
        <f t="shared" si="2"/>
        <v>872.39699999999993</v>
      </c>
      <c r="J8" s="5">
        <f>+J3-J9</f>
        <v>874.67747359999998</v>
      </c>
      <c r="L8" s="5">
        <f>SUM(L4:L7)</f>
        <v>1990.884</v>
      </c>
      <c r="M8" s="5">
        <f>SUM(M4:M7)</f>
        <v>2359.8219999999997</v>
      </c>
      <c r="N8" s="9">
        <f>SUM(C8:F8)</f>
        <v>2990.5129999999995</v>
      </c>
      <c r="O8" s="9">
        <f>SUM(G8:J8)</f>
        <v>3399.6364735999996</v>
      </c>
      <c r="P8" s="2">
        <f>+P3-P9</f>
        <v>3844.2769720320002</v>
      </c>
      <c r="Q8" s="2">
        <f t="shared" ref="Q8:AD8" si="3">+Q3-Q9</f>
        <v>4305.5902086758406</v>
      </c>
      <c r="R8" s="2">
        <f t="shared" si="3"/>
        <v>4736.1492295434255</v>
      </c>
      <c r="S8" s="2">
        <f t="shared" si="3"/>
        <v>5115.0411679068993</v>
      </c>
      <c r="T8" s="2">
        <f t="shared" si="3"/>
        <v>5524.2444613394518</v>
      </c>
      <c r="U8" s="2">
        <f t="shared" si="3"/>
        <v>5966.1840182466076</v>
      </c>
      <c r="V8" s="2">
        <f t="shared" si="3"/>
        <v>6264.4932191589396</v>
      </c>
      <c r="W8" s="2">
        <f t="shared" si="3"/>
        <v>6577.7178801168866</v>
      </c>
      <c r="X8" s="2">
        <f t="shared" si="3"/>
        <v>6906.6037741227301</v>
      </c>
      <c r="Y8" s="2">
        <f t="shared" si="3"/>
        <v>7251.9339628288672</v>
      </c>
      <c r="Z8" s="2">
        <f t="shared" si="3"/>
        <v>7614.5306609703102</v>
      </c>
      <c r="AA8" s="2">
        <f t="shared" si="3"/>
        <v>7995.2571940188254</v>
      </c>
      <c r="AB8" s="2">
        <f t="shared" si="3"/>
        <v>8395.020053719767</v>
      </c>
      <c r="AC8" s="2">
        <f t="shared" si="3"/>
        <v>8814.7710564057561</v>
      </c>
      <c r="AD8" s="2">
        <f t="shared" si="3"/>
        <v>9255.5096092260446</v>
      </c>
    </row>
    <row r="9" spans="1:30" s="2" customFormat="1" x14ac:dyDescent="0.2">
      <c r="B9" s="2" t="s">
        <v>21</v>
      </c>
      <c r="C9" s="8">
        <f t="shared" ref="C9:I9" si="4">C3-C8</f>
        <v>234.18000000000006</v>
      </c>
      <c r="D9" s="8">
        <f t="shared" si="4"/>
        <v>286.72400000000005</v>
      </c>
      <c r="E9" s="8">
        <f t="shared" si="4"/>
        <v>312.00400000000002</v>
      </c>
      <c r="F9" s="8">
        <f t="shared" si="4"/>
        <v>284.84800000000007</v>
      </c>
      <c r="G9" s="8">
        <f t="shared" si="4"/>
        <v>299.13999999999987</v>
      </c>
      <c r="H9" s="8">
        <f t="shared" si="4"/>
        <v>335.12399999999991</v>
      </c>
      <c r="I9" s="8">
        <f t="shared" si="4"/>
        <v>344.49300000000017</v>
      </c>
      <c r="J9" s="5">
        <f>+J3*0.27</f>
        <v>323.51084639999999</v>
      </c>
      <c r="L9" s="8">
        <f>L3-L8</f>
        <v>740.34000000000015</v>
      </c>
      <c r="M9" s="8">
        <f>M3-M8</f>
        <v>854.76900000000023</v>
      </c>
      <c r="N9" s="9">
        <f t="shared" ref="N9:N11" si="5">SUM(C9:F9)</f>
        <v>1117.7560000000003</v>
      </c>
      <c r="O9" s="9">
        <f>SUM(G9:J9)</f>
        <v>1302.2678464000001</v>
      </c>
      <c r="P9" s="2">
        <f>+P3*0.27</f>
        <v>1421.8558663680003</v>
      </c>
      <c r="Q9" s="2">
        <f t="shared" ref="Q9:AD9" si="6">+Q3*0.27</f>
        <v>1592.4785703321604</v>
      </c>
      <c r="R9" s="2">
        <f t="shared" si="6"/>
        <v>1751.7264273653766</v>
      </c>
      <c r="S9" s="2">
        <f t="shared" si="6"/>
        <v>1891.8645415546068</v>
      </c>
      <c r="T9" s="2">
        <f t="shared" si="6"/>
        <v>2043.2137048789755</v>
      </c>
      <c r="U9" s="2">
        <f t="shared" si="6"/>
        <v>2206.6708012692939</v>
      </c>
      <c r="V9" s="2">
        <f t="shared" si="6"/>
        <v>2317.0043413327585</v>
      </c>
      <c r="W9" s="2">
        <f t="shared" si="6"/>
        <v>2432.8545583993964</v>
      </c>
      <c r="X9" s="2">
        <f t="shared" si="6"/>
        <v>2554.4972863193666</v>
      </c>
      <c r="Y9" s="2">
        <f t="shared" si="6"/>
        <v>2682.2221506353344</v>
      </c>
      <c r="Z9" s="2">
        <f t="shared" si="6"/>
        <v>2816.3332581671011</v>
      </c>
      <c r="AA9" s="2">
        <f t="shared" si="6"/>
        <v>2957.1499210754564</v>
      </c>
      <c r="AB9" s="2">
        <f t="shared" si="6"/>
        <v>3105.007417129229</v>
      </c>
      <c r="AC9" s="2">
        <f t="shared" si="6"/>
        <v>3260.2577879856908</v>
      </c>
      <c r="AD9" s="2">
        <f t="shared" si="6"/>
        <v>3423.2706773849754</v>
      </c>
    </row>
    <row r="10" spans="1:30" s="2" customFormat="1" x14ac:dyDescent="0.2">
      <c r="B10" s="9" t="s">
        <v>22</v>
      </c>
      <c r="C10" s="8">
        <v>66.917000000000002</v>
      </c>
      <c r="D10" s="8">
        <v>74.879000000000005</v>
      </c>
      <c r="E10" s="8">
        <v>71.171999999999997</v>
      </c>
      <c r="F10" s="8">
        <v>60.929000000000002</v>
      </c>
      <c r="G10" s="8">
        <v>63.061</v>
      </c>
      <c r="H10" s="8">
        <v>70.212000000000003</v>
      </c>
      <c r="I10" s="8">
        <v>70.066000000000003</v>
      </c>
      <c r="J10" s="5">
        <f>+I10</f>
        <v>70.066000000000003</v>
      </c>
      <c r="L10" s="9">
        <v>183.40899999999999</v>
      </c>
      <c r="M10" s="9">
        <v>203.733</v>
      </c>
      <c r="N10" s="9">
        <f t="shared" si="5"/>
        <v>273.89699999999999</v>
      </c>
      <c r="O10" s="9">
        <f t="shared" ref="O10:O11" si="7">SUM(G10:J10)</f>
        <v>273.40499999999997</v>
      </c>
      <c r="P10" s="2">
        <f>+O10*1.05</f>
        <v>287.07524999999998</v>
      </c>
      <c r="Q10" s="2">
        <f t="shared" ref="Q10:R11" si="8">+P10*1.05</f>
        <v>301.4290125</v>
      </c>
      <c r="R10" s="2">
        <f t="shared" si="8"/>
        <v>316.50046312500001</v>
      </c>
      <c r="S10" s="2">
        <f>+R10*1.03</f>
        <v>325.99547701875002</v>
      </c>
      <c r="T10" s="2">
        <f t="shared" ref="T10:U11" si="9">+S10*1.03</f>
        <v>335.77534132931254</v>
      </c>
      <c r="U10" s="2">
        <f t="shared" si="9"/>
        <v>345.84860156919194</v>
      </c>
      <c r="V10" s="2">
        <f>+U10*1.01</f>
        <v>349.30708758488385</v>
      </c>
      <c r="W10" s="2">
        <f t="shared" ref="W10:AD11" si="10">+V10*1.01</f>
        <v>352.80015846073269</v>
      </c>
      <c r="X10" s="2">
        <f t="shared" si="10"/>
        <v>356.32816004534004</v>
      </c>
      <c r="Y10" s="2">
        <f t="shared" si="10"/>
        <v>359.89144164579346</v>
      </c>
      <c r="Z10" s="2">
        <f t="shared" si="10"/>
        <v>363.49035606225141</v>
      </c>
      <c r="AA10" s="2">
        <f t="shared" si="10"/>
        <v>367.1252596228739</v>
      </c>
      <c r="AB10" s="2">
        <f t="shared" si="10"/>
        <v>370.79651221910262</v>
      </c>
      <c r="AC10" s="2">
        <f t="shared" si="10"/>
        <v>374.50447734129364</v>
      </c>
      <c r="AD10" s="2">
        <f t="shared" si="10"/>
        <v>378.24952211470656</v>
      </c>
    </row>
    <row r="11" spans="1:30" s="2" customFormat="1" x14ac:dyDescent="0.2">
      <c r="B11" s="2" t="s">
        <v>23</v>
      </c>
      <c r="C11" s="5">
        <v>4.3</v>
      </c>
      <c r="D11" s="5">
        <v>3.3919999999999999</v>
      </c>
      <c r="E11" s="5">
        <v>3.8290000000000002</v>
      </c>
      <c r="F11" s="5">
        <v>4.0880000000000001</v>
      </c>
      <c r="G11" s="5">
        <v>3.4350000000000001</v>
      </c>
      <c r="H11" s="5">
        <v>3.6680000000000001</v>
      </c>
      <c r="I11" s="5">
        <v>4.367</v>
      </c>
      <c r="J11" s="5">
        <f>+I11</f>
        <v>4.367</v>
      </c>
      <c r="L11" s="9">
        <v>11.909000000000001</v>
      </c>
      <c r="M11" s="9">
        <v>15.510999999999999</v>
      </c>
      <c r="N11" s="9">
        <f t="shared" si="5"/>
        <v>15.609000000000002</v>
      </c>
      <c r="O11" s="9">
        <f t="shared" si="7"/>
        <v>15.837</v>
      </c>
      <c r="P11" s="2">
        <f>+O11*1.05</f>
        <v>16.62885</v>
      </c>
      <c r="Q11" s="2">
        <f t="shared" si="8"/>
        <v>17.460292500000001</v>
      </c>
      <c r="R11" s="2">
        <f t="shared" si="8"/>
        <v>18.333307125000001</v>
      </c>
      <c r="S11" s="2">
        <f>+R11*1.03</f>
        <v>18.883306338750003</v>
      </c>
      <c r="T11" s="2">
        <f t="shared" si="9"/>
        <v>19.449805528912503</v>
      </c>
      <c r="U11" s="2">
        <f t="shared" si="9"/>
        <v>20.033299694779878</v>
      </c>
      <c r="V11" s="2">
        <f>+U11*1.01</f>
        <v>20.233632691727678</v>
      </c>
      <c r="W11" s="2">
        <f t="shared" si="10"/>
        <v>20.435969018644954</v>
      </c>
      <c r="X11" s="2">
        <f t="shared" si="10"/>
        <v>20.640328708831404</v>
      </c>
      <c r="Y11" s="2">
        <f t="shared" si="10"/>
        <v>20.846731995919718</v>
      </c>
      <c r="Z11" s="2">
        <f t="shared" si="10"/>
        <v>21.055199315878916</v>
      </c>
      <c r="AA11" s="2">
        <f t="shared" si="10"/>
        <v>21.265751309037704</v>
      </c>
      <c r="AB11" s="2">
        <f t="shared" si="10"/>
        <v>21.478408822128081</v>
      </c>
      <c r="AC11" s="2">
        <f t="shared" si="10"/>
        <v>21.693192910349364</v>
      </c>
      <c r="AD11" s="2">
        <f t="shared" si="10"/>
        <v>21.910124839452859</v>
      </c>
    </row>
    <row r="12" spans="1:30" s="2" customFormat="1" x14ac:dyDescent="0.2">
      <c r="B12" s="2" t="s">
        <v>24</v>
      </c>
      <c r="C12" s="5">
        <f t="shared" ref="C12:I12" si="11">SUM(C10:C11)</f>
        <v>71.216999999999999</v>
      </c>
      <c r="D12" s="5">
        <f t="shared" si="11"/>
        <v>78.271000000000001</v>
      </c>
      <c r="E12" s="5">
        <f t="shared" si="11"/>
        <v>75.000999999999991</v>
      </c>
      <c r="F12" s="5">
        <f t="shared" si="11"/>
        <v>65.016999999999996</v>
      </c>
      <c r="G12" s="5">
        <f t="shared" si="11"/>
        <v>66.495999999999995</v>
      </c>
      <c r="H12" s="5">
        <f t="shared" si="11"/>
        <v>73.88000000000001</v>
      </c>
      <c r="I12" s="5">
        <f t="shared" si="11"/>
        <v>74.433000000000007</v>
      </c>
      <c r="J12" s="5">
        <f t="shared" ref="J12" si="12">SUM(J10:J11)</f>
        <v>74.433000000000007</v>
      </c>
      <c r="L12" s="5">
        <f t="shared" ref="L12:O12" si="13">SUM(L10:L11)</f>
        <v>195.31799999999998</v>
      </c>
      <c r="M12" s="5">
        <f t="shared" si="13"/>
        <v>219.244</v>
      </c>
      <c r="N12" s="5">
        <f t="shared" si="13"/>
        <v>289.50599999999997</v>
      </c>
      <c r="O12" s="5">
        <f t="shared" si="13"/>
        <v>289.24199999999996</v>
      </c>
      <c r="P12" s="5">
        <f t="shared" ref="P12" si="14">SUM(P10:P11)</f>
        <v>303.70409999999998</v>
      </c>
      <c r="Q12" s="5">
        <f t="shared" ref="Q12" si="15">SUM(Q10:Q11)</f>
        <v>318.88930499999998</v>
      </c>
      <c r="R12" s="5">
        <f t="shared" ref="R12" si="16">SUM(R10:R11)</f>
        <v>334.83377024999999</v>
      </c>
      <c r="S12" s="5">
        <f t="shared" ref="S12" si="17">SUM(S10:S11)</f>
        <v>344.87878335750003</v>
      </c>
      <c r="T12" s="5">
        <f t="shared" ref="T12" si="18">SUM(T10:T11)</f>
        <v>355.22514685822506</v>
      </c>
      <c r="U12" s="5">
        <f t="shared" ref="U12" si="19">SUM(U10:U11)</f>
        <v>365.88190126397183</v>
      </c>
      <c r="V12" s="5">
        <f t="shared" ref="V12" si="20">SUM(V10:V11)</f>
        <v>369.54072027661152</v>
      </c>
      <c r="W12" s="5">
        <f t="shared" ref="W12" si="21">SUM(W10:W11)</f>
        <v>373.23612747937761</v>
      </c>
      <c r="X12" s="5">
        <f t="shared" ref="X12" si="22">SUM(X10:X11)</f>
        <v>376.96848875417146</v>
      </c>
      <c r="Y12" s="5">
        <f t="shared" ref="Y12" si="23">SUM(Y10:Y11)</f>
        <v>380.73817364171316</v>
      </c>
      <c r="Z12" s="5">
        <f t="shared" ref="Z12" si="24">SUM(Z10:Z11)</f>
        <v>384.5455553781303</v>
      </c>
      <c r="AA12" s="5">
        <f t="shared" ref="AA12" si="25">SUM(AA10:AA11)</f>
        <v>388.39101093191158</v>
      </c>
      <c r="AB12" s="5">
        <f t="shared" ref="AB12" si="26">SUM(AB10:AB11)</f>
        <v>392.2749210412307</v>
      </c>
      <c r="AC12" s="5">
        <f t="shared" ref="AC12" si="27">SUM(AC10:AC11)</f>
        <v>396.19767025164299</v>
      </c>
      <c r="AD12" s="5">
        <f t="shared" ref="AD12" si="28">SUM(AD10:AD11)</f>
        <v>400.15964695415943</v>
      </c>
    </row>
    <row r="13" spans="1:30" s="2" customFormat="1" x14ac:dyDescent="0.2">
      <c r="B13" s="2" t="s">
        <v>25</v>
      </c>
      <c r="C13" s="5">
        <f t="shared" ref="C13:I13" si="29">C9-C12</f>
        <v>162.96300000000008</v>
      </c>
      <c r="D13" s="5">
        <f t="shared" si="29"/>
        <v>208.45300000000003</v>
      </c>
      <c r="E13" s="5">
        <f t="shared" si="29"/>
        <v>237.00300000000004</v>
      </c>
      <c r="F13" s="5">
        <f t="shared" si="29"/>
        <v>219.83100000000007</v>
      </c>
      <c r="G13" s="5">
        <f t="shared" si="29"/>
        <v>232.64399999999989</v>
      </c>
      <c r="H13" s="5">
        <f t="shared" si="29"/>
        <v>261.24399999999991</v>
      </c>
      <c r="I13" s="5">
        <f t="shared" si="29"/>
        <v>270.06000000000017</v>
      </c>
      <c r="J13" s="5">
        <f t="shared" ref="J13" si="30">J9-J12</f>
        <v>249.0778464</v>
      </c>
      <c r="L13" s="5">
        <f t="shared" ref="L13:O13" si="31">L9-L12</f>
        <v>545.02200000000016</v>
      </c>
      <c r="M13" s="5">
        <f t="shared" si="31"/>
        <v>635.5250000000002</v>
      </c>
      <c r="N13" s="5">
        <f t="shared" si="31"/>
        <v>828.25000000000034</v>
      </c>
      <c r="O13" s="5">
        <f t="shared" si="31"/>
        <v>1013.0258464000001</v>
      </c>
      <c r="P13" s="5">
        <f t="shared" ref="P13" si="32">P9-P12</f>
        <v>1118.1517663680004</v>
      </c>
      <c r="Q13" s="5">
        <f t="shared" ref="Q13" si="33">Q9-Q12</f>
        <v>1273.5892653321605</v>
      </c>
      <c r="R13" s="5">
        <f t="shared" ref="R13" si="34">R9-R12</f>
        <v>1416.8926571153766</v>
      </c>
      <c r="S13" s="5">
        <f t="shared" ref="S13" si="35">S9-S12</f>
        <v>1546.9857581971069</v>
      </c>
      <c r="T13" s="5">
        <f t="shared" ref="T13" si="36">T9-T12</f>
        <v>1687.9885580207504</v>
      </c>
      <c r="U13" s="5">
        <f t="shared" ref="U13" si="37">U9-U12</f>
        <v>1840.7889000053219</v>
      </c>
      <c r="V13" s="5">
        <f t="shared" ref="V13" si="38">V9-V12</f>
        <v>1947.4636210561471</v>
      </c>
      <c r="W13" s="5">
        <f t="shared" ref="W13" si="39">W9-W12</f>
        <v>2059.6184309200189</v>
      </c>
      <c r="X13" s="5">
        <f t="shared" ref="X13" si="40">X9-X12</f>
        <v>2177.528797565195</v>
      </c>
      <c r="Y13" s="5">
        <f t="shared" ref="Y13" si="41">Y9-Y12</f>
        <v>2301.4839769936211</v>
      </c>
      <c r="Z13" s="5">
        <f t="shared" ref="Z13" si="42">Z9-Z12</f>
        <v>2431.7877027889708</v>
      </c>
      <c r="AA13" s="5">
        <f t="shared" ref="AA13" si="43">AA9-AA12</f>
        <v>2568.7589101435447</v>
      </c>
      <c r="AB13" s="5">
        <f t="shared" ref="AB13" si="44">AB9-AB12</f>
        <v>2712.7324960879982</v>
      </c>
      <c r="AC13" s="5">
        <f t="shared" ref="AC13" si="45">AC9-AC12</f>
        <v>2864.0601177340477</v>
      </c>
      <c r="AD13" s="5">
        <f t="shared" ref="AD13" si="46">AD9-AD12</f>
        <v>3023.1110304308158</v>
      </c>
    </row>
    <row r="14" spans="1:30" s="2" customFormat="1" x14ac:dyDescent="0.2">
      <c r="B14" s="2" t="s">
        <v>26</v>
      </c>
      <c r="C14" s="5">
        <v>0.68899999999999995</v>
      </c>
      <c r="D14" s="5">
        <v>1.1439999999999999</v>
      </c>
      <c r="E14" s="5">
        <v>0.78500000000000003</v>
      </c>
      <c r="F14" s="5">
        <v>0.88500000000000001</v>
      </c>
      <c r="G14" s="5">
        <v>1.2230000000000001</v>
      </c>
      <c r="H14" s="5">
        <v>1.742</v>
      </c>
      <c r="I14" s="5">
        <v>1.518</v>
      </c>
      <c r="J14" s="5">
        <f>+I14</f>
        <v>1.518</v>
      </c>
      <c r="L14" s="9">
        <v>1.82</v>
      </c>
      <c r="M14" s="9">
        <v>1.7509999999999999</v>
      </c>
      <c r="N14" s="9">
        <f t="shared" ref="N14" si="47">SUM(C14:F14)</f>
        <v>3.5030000000000001</v>
      </c>
      <c r="O14" s="9">
        <f>SUM(G14:J14)</f>
        <v>6.0009999999999994</v>
      </c>
      <c r="P14" s="2">
        <f>+O14</f>
        <v>6.0009999999999994</v>
      </c>
      <c r="Q14" s="2">
        <f t="shared" ref="Q14:AD14" si="48">+P14</f>
        <v>6.0009999999999994</v>
      </c>
      <c r="R14" s="2">
        <f t="shared" si="48"/>
        <v>6.0009999999999994</v>
      </c>
      <c r="S14" s="2">
        <f t="shared" si="48"/>
        <v>6.0009999999999994</v>
      </c>
      <c r="T14" s="2">
        <f t="shared" si="48"/>
        <v>6.0009999999999994</v>
      </c>
      <c r="U14" s="2">
        <f t="shared" si="48"/>
        <v>6.0009999999999994</v>
      </c>
      <c r="V14" s="2">
        <f t="shared" si="48"/>
        <v>6.0009999999999994</v>
      </c>
      <c r="W14" s="2">
        <f t="shared" si="48"/>
        <v>6.0009999999999994</v>
      </c>
      <c r="X14" s="2">
        <f t="shared" si="48"/>
        <v>6.0009999999999994</v>
      </c>
      <c r="Y14" s="2">
        <f t="shared" si="48"/>
        <v>6.0009999999999994</v>
      </c>
      <c r="Z14" s="2">
        <f t="shared" si="48"/>
        <v>6.0009999999999994</v>
      </c>
      <c r="AA14" s="2">
        <f t="shared" si="48"/>
        <v>6.0009999999999994</v>
      </c>
      <c r="AB14" s="2">
        <f t="shared" si="48"/>
        <v>6.0009999999999994</v>
      </c>
      <c r="AC14" s="2">
        <f t="shared" si="48"/>
        <v>6.0009999999999994</v>
      </c>
      <c r="AD14" s="2">
        <f t="shared" si="48"/>
        <v>6.0009999999999994</v>
      </c>
    </row>
    <row r="15" spans="1:30" s="2" customFormat="1" x14ac:dyDescent="0.2">
      <c r="B15" s="2" t="s">
        <v>27</v>
      </c>
      <c r="C15" s="5">
        <f t="shared" ref="C15:J15" si="49">+C14+C13</f>
        <v>163.65200000000007</v>
      </c>
      <c r="D15" s="5">
        <f t="shared" si="49"/>
        <v>209.59700000000004</v>
      </c>
      <c r="E15" s="5">
        <f t="shared" si="49"/>
        <v>237.78800000000004</v>
      </c>
      <c r="F15" s="5">
        <f t="shared" si="49"/>
        <v>220.71600000000007</v>
      </c>
      <c r="G15" s="5">
        <f t="shared" si="49"/>
        <v>233.8669999999999</v>
      </c>
      <c r="H15" s="5">
        <f t="shared" si="49"/>
        <v>262.98599999999993</v>
      </c>
      <c r="I15" s="5">
        <f t="shared" si="49"/>
        <v>271.57800000000015</v>
      </c>
      <c r="J15" s="5">
        <f t="shared" si="49"/>
        <v>250.5958464</v>
      </c>
      <c r="L15" s="5">
        <f>+L14+L13</f>
        <v>546.84200000000021</v>
      </c>
      <c r="M15" s="5">
        <f>+M14+M13</f>
        <v>637.27600000000018</v>
      </c>
      <c r="N15" s="5">
        <f>+N14+N13</f>
        <v>831.75300000000038</v>
      </c>
      <c r="O15" s="5">
        <f>+O14+O13</f>
        <v>1019.0268464000001</v>
      </c>
      <c r="P15" s="5">
        <f t="shared" ref="P15:AD15" si="50">+P14+P13</f>
        <v>1124.1527663680004</v>
      </c>
      <c r="Q15" s="5">
        <f t="shared" si="50"/>
        <v>1279.5902653321605</v>
      </c>
      <c r="R15" s="5">
        <f t="shared" si="50"/>
        <v>1422.8936571153765</v>
      </c>
      <c r="S15" s="5">
        <f t="shared" si="50"/>
        <v>1552.9867581971068</v>
      </c>
      <c r="T15" s="5">
        <f t="shared" si="50"/>
        <v>1693.9895580207503</v>
      </c>
      <c r="U15" s="5">
        <f t="shared" si="50"/>
        <v>1846.7899000053219</v>
      </c>
      <c r="V15" s="5">
        <f t="shared" si="50"/>
        <v>1953.4646210561471</v>
      </c>
      <c r="W15" s="5">
        <f t="shared" si="50"/>
        <v>2065.6194309200191</v>
      </c>
      <c r="X15" s="5">
        <f t="shared" si="50"/>
        <v>2183.5297975651952</v>
      </c>
      <c r="Y15" s="5">
        <f t="shared" si="50"/>
        <v>2307.4849769936213</v>
      </c>
      <c r="Z15" s="5">
        <f t="shared" si="50"/>
        <v>2437.788702788971</v>
      </c>
      <c r="AA15" s="5">
        <f t="shared" si="50"/>
        <v>2574.7599101435449</v>
      </c>
      <c r="AB15" s="5">
        <f t="shared" si="50"/>
        <v>2718.7334960879984</v>
      </c>
      <c r="AC15" s="5">
        <f t="shared" si="50"/>
        <v>2870.0611177340479</v>
      </c>
      <c r="AD15" s="5">
        <f t="shared" si="50"/>
        <v>3029.112030430816</v>
      </c>
    </row>
    <row r="16" spans="1:30" s="2" customFormat="1" x14ac:dyDescent="0.2">
      <c r="B16" s="2" t="s">
        <v>28</v>
      </c>
      <c r="C16" s="5">
        <v>53.27</v>
      </c>
      <c r="D16" s="5">
        <v>70.715999999999994</v>
      </c>
      <c r="E16" s="5">
        <v>77.42</v>
      </c>
      <c r="F16" s="5">
        <v>67.522999999999996</v>
      </c>
      <c r="G16" s="5">
        <v>76.382999999999996</v>
      </c>
      <c r="H16" s="5">
        <v>88.953999999999994</v>
      </c>
      <c r="I16" s="5">
        <v>91.394000000000005</v>
      </c>
      <c r="J16" s="5">
        <f>+J15*0.33</f>
        <v>82.696629311999999</v>
      </c>
      <c r="L16" s="9">
        <v>179.685</v>
      </c>
      <c r="M16" s="9">
        <v>207.03299999999999</v>
      </c>
      <c r="N16" s="9">
        <f t="shared" ref="N16" si="51">SUM(C16:F16)</f>
        <v>268.92899999999997</v>
      </c>
      <c r="O16" s="9">
        <f>SUM(G16:J16)</f>
        <v>339.42762931200002</v>
      </c>
      <c r="P16" s="2">
        <f>+P15*0.33</f>
        <v>370.97041290144011</v>
      </c>
      <c r="Q16" s="2">
        <f t="shared" ref="Q16:AD16" si="52">+Q15*0.33</f>
        <v>422.26478755961296</v>
      </c>
      <c r="R16" s="2">
        <f t="shared" si="52"/>
        <v>469.55490684807427</v>
      </c>
      <c r="S16" s="2">
        <f t="shared" si="52"/>
        <v>512.48563020504525</v>
      </c>
      <c r="T16" s="2">
        <f t="shared" si="52"/>
        <v>559.01655414684762</v>
      </c>
      <c r="U16" s="2">
        <f t="shared" si="52"/>
        <v>609.44066700175631</v>
      </c>
      <c r="V16" s="2">
        <f t="shared" si="52"/>
        <v>644.64332494852852</v>
      </c>
      <c r="W16" s="2">
        <f t="shared" si="52"/>
        <v>681.65441220360628</v>
      </c>
      <c r="X16" s="2">
        <f t="shared" si="52"/>
        <v>720.56483319651443</v>
      </c>
      <c r="Y16" s="2">
        <f t="shared" si="52"/>
        <v>761.47004240789511</v>
      </c>
      <c r="Z16" s="2">
        <f t="shared" si="52"/>
        <v>804.47027192036046</v>
      </c>
      <c r="AA16" s="2">
        <f t="shared" si="52"/>
        <v>849.67077034736985</v>
      </c>
      <c r="AB16" s="2">
        <f t="shared" si="52"/>
        <v>897.18205370903956</v>
      </c>
      <c r="AC16" s="2">
        <f t="shared" si="52"/>
        <v>947.12016885223591</v>
      </c>
      <c r="AD16" s="2">
        <f t="shared" si="52"/>
        <v>999.60697004216934</v>
      </c>
    </row>
    <row r="17" spans="2:135" s="6" customFormat="1" x14ac:dyDescent="0.2">
      <c r="B17" s="6" t="s">
        <v>29</v>
      </c>
      <c r="C17" s="7">
        <f t="shared" ref="C17:J17" si="53">+C15-C16</f>
        <v>110.38200000000006</v>
      </c>
      <c r="D17" s="7">
        <f t="shared" si="53"/>
        <v>138.88100000000003</v>
      </c>
      <c r="E17" s="7">
        <f t="shared" si="53"/>
        <v>160.36800000000005</v>
      </c>
      <c r="F17" s="7">
        <f t="shared" si="53"/>
        <v>153.19300000000007</v>
      </c>
      <c r="G17" s="7">
        <f t="shared" si="53"/>
        <v>157.48399999999992</v>
      </c>
      <c r="H17" s="7">
        <f t="shared" si="53"/>
        <v>174.03199999999993</v>
      </c>
      <c r="I17" s="7">
        <f t="shared" si="53"/>
        <v>180.18400000000014</v>
      </c>
      <c r="J17" s="7">
        <f t="shared" si="53"/>
        <v>167.899217088</v>
      </c>
      <c r="L17" s="7">
        <f>+L15-L16</f>
        <v>367.15700000000021</v>
      </c>
      <c r="M17" s="7">
        <f>+M15-M16</f>
        <v>430.24300000000017</v>
      </c>
      <c r="N17" s="7">
        <f>+N15-N16</f>
        <v>562.82400000000041</v>
      </c>
      <c r="O17" s="7">
        <f>+O15-O16</f>
        <v>679.59921708800005</v>
      </c>
      <c r="P17" s="7">
        <f>+P15-P16</f>
        <v>753.18235346656024</v>
      </c>
      <c r="Q17" s="7">
        <f t="shared" ref="Q17:AD17" si="54">+Q15-Q16</f>
        <v>857.32547777254752</v>
      </c>
      <c r="R17" s="7">
        <f t="shared" si="54"/>
        <v>953.3387502673022</v>
      </c>
      <c r="S17" s="7">
        <f t="shared" si="54"/>
        <v>1040.5011279920616</v>
      </c>
      <c r="T17" s="7">
        <f t="shared" si="54"/>
        <v>1134.9730038739026</v>
      </c>
      <c r="U17" s="7">
        <f t="shared" si="54"/>
        <v>1237.3492330035656</v>
      </c>
      <c r="V17" s="7">
        <f t="shared" si="54"/>
        <v>1308.8212961076185</v>
      </c>
      <c r="W17" s="7">
        <f t="shared" si="54"/>
        <v>1383.9650187164129</v>
      </c>
      <c r="X17" s="7">
        <f t="shared" si="54"/>
        <v>1462.9649643686807</v>
      </c>
      <c r="Y17" s="7">
        <f t="shared" si="54"/>
        <v>1546.0149345857262</v>
      </c>
      <c r="Z17" s="7">
        <f t="shared" si="54"/>
        <v>1633.3184308686104</v>
      </c>
      <c r="AA17" s="7">
        <f t="shared" si="54"/>
        <v>1725.089139796175</v>
      </c>
      <c r="AB17" s="7">
        <f t="shared" si="54"/>
        <v>1821.5514423789589</v>
      </c>
      <c r="AC17" s="7">
        <f t="shared" si="54"/>
        <v>1922.9409488818119</v>
      </c>
      <c r="AD17" s="7">
        <f t="shared" si="54"/>
        <v>2029.5050603886466</v>
      </c>
      <c r="AE17" s="6">
        <f>AD17*(1+$AG$21)</f>
        <v>2049.8001109925331</v>
      </c>
      <c r="AF17" s="6">
        <f t="shared" ref="AF17:CQ17" si="55">AE17*(1+$AG$21)</f>
        <v>2070.2981121024586</v>
      </c>
      <c r="AG17" s="6">
        <f t="shared" si="55"/>
        <v>2091.0010932234832</v>
      </c>
      <c r="AH17" s="6">
        <f t="shared" si="55"/>
        <v>2111.911104155718</v>
      </c>
      <c r="AI17" s="6">
        <f t="shared" si="55"/>
        <v>2133.0302151972751</v>
      </c>
      <c r="AJ17" s="6">
        <f t="shared" si="55"/>
        <v>2154.3605173492479</v>
      </c>
      <c r="AK17" s="6">
        <f t="shared" si="55"/>
        <v>2175.9041225227402</v>
      </c>
      <c r="AL17" s="6">
        <f t="shared" si="55"/>
        <v>2197.6631637479677</v>
      </c>
      <c r="AM17" s="6">
        <f t="shared" si="55"/>
        <v>2219.6397953854475</v>
      </c>
      <c r="AN17" s="6">
        <f t="shared" si="55"/>
        <v>2241.8361933393021</v>
      </c>
      <c r="AO17" s="6">
        <f t="shared" si="55"/>
        <v>2264.2545552726951</v>
      </c>
      <c r="AP17" s="6">
        <f t="shared" si="55"/>
        <v>2286.8971008254221</v>
      </c>
      <c r="AQ17" s="6">
        <f t="shared" si="55"/>
        <v>2309.7660718336765</v>
      </c>
      <c r="AR17" s="6">
        <f t="shared" si="55"/>
        <v>2332.8637325520135</v>
      </c>
      <c r="AS17" s="6">
        <f t="shared" si="55"/>
        <v>2356.1923698775336</v>
      </c>
      <c r="AT17" s="6">
        <f t="shared" si="55"/>
        <v>2379.754293576309</v>
      </c>
      <c r="AU17" s="6">
        <f t="shared" si="55"/>
        <v>2403.551836512072</v>
      </c>
      <c r="AV17" s="6">
        <f t="shared" si="55"/>
        <v>2427.5873548771929</v>
      </c>
      <c r="AW17" s="6">
        <f t="shared" si="55"/>
        <v>2451.8632284259647</v>
      </c>
      <c r="AX17" s="6">
        <f t="shared" si="55"/>
        <v>2476.3818607102244</v>
      </c>
      <c r="AY17" s="6">
        <f t="shared" si="55"/>
        <v>2501.1456793173265</v>
      </c>
      <c r="AZ17" s="6">
        <f t="shared" si="55"/>
        <v>2526.1571361104998</v>
      </c>
      <c r="BA17" s="6">
        <f t="shared" si="55"/>
        <v>2551.4187074716046</v>
      </c>
      <c r="BB17" s="6">
        <f t="shared" si="55"/>
        <v>2576.9328945463208</v>
      </c>
      <c r="BC17" s="6">
        <f t="shared" si="55"/>
        <v>2602.702223491784</v>
      </c>
      <c r="BD17" s="6">
        <f t="shared" si="55"/>
        <v>2628.7292457267017</v>
      </c>
      <c r="BE17" s="6">
        <f t="shared" si="55"/>
        <v>2655.0165381839688</v>
      </c>
      <c r="BF17" s="6">
        <f t="shared" si="55"/>
        <v>2681.5667035658084</v>
      </c>
      <c r="BG17" s="6">
        <f t="shared" si="55"/>
        <v>2708.3823706014664</v>
      </c>
      <c r="BH17" s="6">
        <f t="shared" si="55"/>
        <v>2735.4661943074811</v>
      </c>
      <c r="BI17" s="6">
        <f t="shared" si="55"/>
        <v>2762.8208562505561</v>
      </c>
      <c r="BJ17" s="6">
        <f t="shared" si="55"/>
        <v>2790.4490648130618</v>
      </c>
      <c r="BK17" s="6">
        <f t="shared" si="55"/>
        <v>2818.3535554611926</v>
      </c>
      <c r="BL17" s="6">
        <f t="shared" si="55"/>
        <v>2846.5370910158044</v>
      </c>
      <c r="BM17" s="6">
        <f t="shared" si="55"/>
        <v>2875.0024619259625</v>
      </c>
      <c r="BN17" s="6">
        <f t="shared" si="55"/>
        <v>2903.7524865452224</v>
      </c>
      <c r="BO17" s="6">
        <f t="shared" si="55"/>
        <v>2932.7900114106747</v>
      </c>
      <c r="BP17" s="6">
        <f t="shared" si="55"/>
        <v>2962.1179115247814</v>
      </c>
      <c r="BQ17" s="6">
        <f t="shared" si="55"/>
        <v>2991.7390906400292</v>
      </c>
      <c r="BR17" s="6">
        <f t="shared" si="55"/>
        <v>3021.6564815464294</v>
      </c>
      <c r="BS17" s="6">
        <f t="shared" si="55"/>
        <v>3051.8730463618936</v>
      </c>
      <c r="BT17" s="6">
        <f t="shared" si="55"/>
        <v>3082.3917768255124</v>
      </c>
      <c r="BU17" s="6">
        <f t="shared" si="55"/>
        <v>3113.2156945937677</v>
      </c>
      <c r="BV17" s="6">
        <f t="shared" si="55"/>
        <v>3144.3478515397055</v>
      </c>
      <c r="BW17" s="6">
        <f t="shared" si="55"/>
        <v>3175.7913300551027</v>
      </c>
      <c r="BX17" s="6">
        <f t="shared" si="55"/>
        <v>3207.5492433556537</v>
      </c>
      <c r="BY17" s="6">
        <f t="shared" si="55"/>
        <v>3239.6247357892103</v>
      </c>
      <c r="BZ17" s="6">
        <f t="shared" si="55"/>
        <v>3272.0209831471025</v>
      </c>
      <c r="CA17" s="6">
        <f t="shared" si="55"/>
        <v>3304.7411929785735</v>
      </c>
      <c r="CB17" s="6">
        <f t="shared" si="55"/>
        <v>3337.788604908359</v>
      </c>
      <c r="CC17" s="6">
        <f t="shared" si="55"/>
        <v>3371.1664909574429</v>
      </c>
      <c r="CD17" s="6">
        <f t="shared" si="55"/>
        <v>3404.8781558670175</v>
      </c>
      <c r="CE17" s="6">
        <f t="shared" si="55"/>
        <v>3438.9269374256878</v>
      </c>
      <c r="CF17" s="6">
        <f t="shared" si="55"/>
        <v>3473.3162067999447</v>
      </c>
      <c r="CG17" s="6">
        <f t="shared" si="55"/>
        <v>3508.0493688679439</v>
      </c>
      <c r="CH17" s="6">
        <f t="shared" si="55"/>
        <v>3543.1298625566233</v>
      </c>
      <c r="CI17" s="6">
        <f t="shared" si="55"/>
        <v>3578.5611611821896</v>
      </c>
      <c r="CJ17" s="6">
        <f t="shared" si="55"/>
        <v>3614.3467727940115</v>
      </c>
      <c r="CK17" s="6">
        <f t="shared" si="55"/>
        <v>3650.4902405219518</v>
      </c>
      <c r="CL17" s="6">
        <f t="shared" si="55"/>
        <v>3686.9951429271714</v>
      </c>
      <c r="CM17" s="6">
        <f t="shared" si="55"/>
        <v>3723.865094356443</v>
      </c>
      <c r="CN17" s="6">
        <f t="shared" si="55"/>
        <v>3761.1037453000076</v>
      </c>
      <c r="CO17" s="6">
        <f t="shared" si="55"/>
        <v>3798.714782753008</v>
      </c>
      <c r="CP17" s="6">
        <f t="shared" si="55"/>
        <v>3836.7019305805379</v>
      </c>
      <c r="CQ17" s="6">
        <f t="shared" si="55"/>
        <v>3875.0689498863435</v>
      </c>
      <c r="CR17" s="6">
        <f t="shared" ref="CR17:EE17" si="56">CQ17*(1+$AG$21)</f>
        <v>3913.8196393852068</v>
      </c>
      <c r="CS17" s="6">
        <f t="shared" si="56"/>
        <v>3952.9578357790588</v>
      </c>
      <c r="CT17" s="6">
        <f t="shared" si="56"/>
        <v>3992.4874141368496</v>
      </c>
      <c r="CU17" s="6">
        <f t="shared" si="56"/>
        <v>4032.4122882782181</v>
      </c>
      <c r="CV17" s="6">
        <f t="shared" si="56"/>
        <v>4072.7364111610004</v>
      </c>
      <c r="CW17" s="6">
        <f t="shared" si="56"/>
        <v>4113.4637752726103</v>
      </c>
      <c r="CX17" s="6">
        <f t="shared" si="56"/>
        <v>4154.5984130253364</v>
      </c>
      <c r="CY17" s="6">
        <f t="shared" si="56"/>
        <v>4196.14439715559</v>
      </c>
      <c r="CZ17" s="6">
        <f t="shared" si="56"/>
        <v>4238.105841127146</v>
      </c>
      <c r="DA17" s="6">
        <f t="shared" si="56"/>
        <v>4280.4868995384177</v>
      </c>
      <c r="DB17" s="6">
        <f t="shared" si="56"/>
        <v>4323.2917685338016</v>
      </c>
      <c r="DC17" s="6">
        <f t="shared" si="56"/>
        <v>4366.5246862191398</v>
      </c>
      <c r="DD17" s="6">
        <f t="shared" si="56"/>
        <v>4410.1899330813312</v>
      </c>
      <c r="DE17" s="6">
        <f t="shared" si="56"/>
        <v>4454.2918324121447</v>
      </c>
      <c r="DF17" s="6">
        <f t="shared" si="56"/>
        <v>4498.834750736266</v>
      </c>
      <c r="DG17" s="6">
        <f t="shared" si="56"/>
        <v>4543.8230982436289</v>
      </c>
      <c r="DH17" s="6">
        <f t="shared" si="56"/>
        <v>4589.2613292260648</v>
      </c>
      <c r="DI17" s="6">
        <f t="shared" si="56"/>
        <v>4635.1539425183255</v>
      </c>
      <c r="DJ17" s="6">
        <f t="shared" si="56"/>
        <v>4681.505481943509</v>
      </c>
      <c r="DK17" s="6">
        <f t="shared" si="56"/>
        <v>4728.3205367629444</v>
      </c>
      <c r="DL17" s="6">
        <f t="shared" si="56"/>
        <v>4775.6037421305737</v>
      </c>
      <c r="DM17" s="6">
        <f t="shared" si="56"/>
        <v>4823.359779551879</v>
      </c>
      <c r="DN17" s="6">
        <f t="shared" si="56"/>
        <v>4871.593377347398</v>
      </c>
      <c r="DO17" s="6">
        <f t="shared" si="56"/>
        <v>4920.3093111208718</v>
      </c>
      <c r="DP17" s="6">
        <f t="shared" si="56"/>
        <v>4969.5124042320804</v>
      </c>
      <c r="DQ17" s="6">
        <f t="shared" si="56"/>
        <v>5019.2075282744008</v>
      </c>
      <c r="DR17" s="6">
        <f t="shared" si="56"/>
        <v>5069.3996035571445</v>
      </c>
      <c r="DS17" s="6">
        <f t="shared" si="56"/>
        <v>5120.0935995927157</v>
      </c>
      <c r="DT17" s="6">
        <f t="shared" si="56"/>
        <v>5171.2945355886432</v>
      </c>
      <c r="DU17" s="6">
        <f t="shared" si="56"/>
        <v>5223.0074809445296</v>
      </c>
      <c r="DV17" s="6">
        <f t="shared" si="56"/>
        <v>5275.2375557539754</v>
      </c>
      <c r="DW17" s="6">
        <f t="shared" si="56"/>
        <v>5327.9899313115147</v>
      </c>
      <c r="DX17" s="6">
        <f t="shared" si="56"/>
        <v>5381.2698306246302</v>
      </c>
      <c r="DY17" s="6">
        <f t="shared" si="56"/>
        <v>5435.0825289308768</v>
      </c>
      <c r="DZ17" s="6">
        <f t="shared" si="56"/>
        <v>5489.4333542201857</v>
      </c>
      <c r="EA17" s="6">
        <f t="shared" si="56"/>
        <v>5544.3276877623875</v>
      </c>
      <c r="EB17" s="6">
        <f t="shared" si="56"/>
        <v>5599.7709646400117</v>
      </c>
      <c r="EC17" s="6">
        <f t="shared" si="56"/>
        <v>5655.7686742864116</v>
      </c>
      <c r="ED17" s="6">
        <f t="shared" si="56"/>
        <v>5712.3263610292761</v>
      </c>
      <c r="EE17" s="6">
        <f t="shared" si="56"/>
        <v>5769.4496246395693</v>
      </c>
    </row>
    <row r="18" spans="2:135" x14ac:dyDescent="0.2">
      <c r="B18" s="2" t="s">
        <v>30</v>
      </c>
      <c r="C18" s="4">
        <f t="shared" ref="C18:J18" si="57">C17/C19</f>
        <v>3.5057485866734441</v>
      </c>
      <c r="D18" s="4">
        <f t="shared" si="57"/>
        <v>4.4125627502065203</v>
      </c>
      <c r="E18" s="4">
        <f t="shared" si="57"/>
        <v>5.0834627698354851</v>
      </c>
      <c r="F18" s="4">
        <f t="shared" si="57"/>
        <v>4.8567941157821339</v>
      </c>
      <c r="G18" s="4">
        <f t="shared" si="57"/>
        <v>4.9849328944036442</v>
      </c>
      <c r="H18" s="4">
        <f t="shared" si="57"/>
        <v>5.520268984330392</v>
      </c>
      <c r="I18" s="4">
        <f t="shared" si="57"/>
        <v>5.7114238620514817</v>
      </c>
      <c r="J18" s="4">
        <f t="shared" si="57"/>
        <v>5.322024124762267</v>
      </c>
      <c r="L18" s="4">
        <f t="shared" ref="L18:P18" si="58">L17/L19</f>
        <v>11.551993203914048</v>
      </c>
      <c r="M18" s="4">
        <f t="shared" si="58"/>
        <v>13.754131901154061</v>
      </c>
      <c r="N18" s="4">
        <f t="shared" si="58"/>
        <v>17.860482828106541</v>
      </c>
      <c r="O18" s="4">
        <f t="shared" si="58"/>
        <v>21.537997911103364</v>
      </c>
      <c r="P18" s="4">
        <f t="shared" si="58"/>
        <v>23.870009775985558</v>
      </c>
      <c r="Q18" s="4">
        <f t="shared" ref="Q18" si="59">Q17/Q19</f>
        <v>27.170535052293644</v>
      </c>
      <c r="R18" s="4">
        <f t="shared" ref="R18" si="60">R17/R19</f>
        <v>30.213407395924452</v>
      </c>
      <c r="S18" s="4">
        <f t="shared" ref="S18" si="61">S17/S19</f>
        <v>32.975775365397233</v>
      </c>
      <c r="T18" s="4">
        <f t="shared" ref="T18" si="62">T17/T19</f>
        <v>35.969797451119611</v>
      </c>
      <c r="U18" s="4">
        <f t="shared" ref="U18" si="63">U17/U19</f>
        <v>39.21432592275233</v>
      </c>
      <c r="V18" s="4">
        <f t="shared" ref="V18" si="64">V17/V19</f>
        <v>41.479433220011046</v>
      </c>
      <c r="W18" s="4">
        <f t="shared" ref="W18" si="65">W17/W19</f>
        <v>43.860903504093457</v>
      </c>
      <c r="X18" s="4">
        <f t="shared" ref="X18" si="66">X17/X19</f>
        <v>46.364586000560344</v>
      </c>
      <c r="Y18" s="4">
        <f t="shared" ref="Y18" si="67">Y17/Y19</f>
        <v>48.996622707012733</v>
      </c>
      <c r="Z18" s="4">
        <f t="shared" ref="Z18" si="68">Z17/Z19</f>
        <v>51.763463034801539</v>
      </c>
      <c r="AA18" s="4">
        <f t="shared" ref="AA18" si="69">AA17/AA19</f>
        <v>54.671879182853722</v>
      </c>
      <c r="AB18" s="4">
        <f t="shared" ref="AB18" si="70">AB17/AB19</f>
        <v>57.728982280221175</v>
      </c>
      <c r="AC18" s="4">
        <f t="shared" ref="AC18" si="71">AC17/AC19</f>
        <v>60.942239335788798</v>
      </c>
      <c r="AD18" s="4">
        <f t="shared" ref="AD18" si="72">AD17/AD19</f>
        <v>64.319491035499922</v>
      </c>
    </row>
    <row r="19" spans="2:135" x14ac:dyDescent="0.2">
      <c r="B19" s="2" t="s">
        <v>1</v>
      </c>
      <c r="C19" s="8">
        <v>31.486000000000001</v>
      </c>
      <c r="D19" s="8">
        <v>31.474</v>
      </c>
      <c r="E19" s="8">
        <v>31.547000000000001</v>
      </c>
      <c r="F19" s="8">
        <v>31.542000000000002</v>
      </c>
      <c r="G19" s="8">
        <v>31.591999999999999</v>
      </c>
      <c r="H19" s="8">
        <v>31.526</v>
      </c>
      <c r="I19" s="8">
        <v>31.547999999999998</v>
      </c>
      <c r="J19" s="5">
        <f>+I19</f>
        <v>31.547999999999998</v>
      </c>
      <c r="L19" s="2">
        <v>31.783000000000001</v>
      </c>
      <c r="M19" s="2">
        <v>31.280999999999999</v>
      </c>
      <c r="N19" s="2">
        <f>AVERAGE(C19:F19)</f>
        <v>31.512250000000002</v>
      </c>
      <c r="O19" s="2">
        <f>AVERAGE(G19:J19)</f>
        <v>31.5535</v>
      </c>
      <c r="P19" s="2">
        <f>+O19</f>
        <v>31.5535</v>
      </c>
      <c r="Q19" s="2">
        <f t="shared" ref="Q19:AD19" si="73">+P19</f>
        <v>31.5535</v>
      </c>
      <c r="R19" s="2">
        <f t="shared" si="73"/>
        <v>31.5535</v>
      </c>
      <c r="S19" s="2">
        <f t="shared" si="73"/>
        <v>31.5535</v>
      </c>
      <c r="T19" s="2">
        <f t="shared" si="73"/>
        <v>31.5535</v>
      </c>
      <c r="U19" s="2">
        <f t="shared" si="73"/>
        <v>31.5535</v>
      </c>
      <c r="V19" s="2">
        <f t="shared" si="73"/>
        <v>31.5535</v>
      </c>
      <c r="W19" s="2">
        <f t="shared" si="73"/>
        <v>31.5535</v>
      </c>
      <c r="X19" s="2">
        <f t="shared" si="73"/>
        <v>31.5535</v>
      </c>
      <c r="Y19" s="2">
        <f t="shared" si="73"/>
        <v>31.5535</v>
      </c>
      <c r="Z19" s="2">
        <f t="shared" si="73"/>
        <v>31.5535</v>
      </c>
      <c r="AA19" s="2">
        <f t="shared" si="73"/>
        <v>31.5535</v>
      </c>
      <c r="AB19" s="2">
        <f t="shared" si="73"/>
        <v>31.5535</v>
      </c>
      <c r="AC19" s="2">
        <f t="shared" si="73"/>
        <v>31.5535</v>
      </c>
      <c r="AD19" s="2">
        <f t="shared" si="73"/>
        <v>31.5535</v>
      </c>
    </row>
    <row r="20" spans="2:135" x14ac:dyDescent="0.2">
      <c r="AF20" t="s">
        <v>34</v>
      </c>
      <c r="AG20" s="16">
        <v>0.08</v>
      </c>
    </row>
    <row r="21" spans="2:135" x14ac:dyDescent="0.2">
      <c r="AF21" t="s">
        <v>35</v>
      </c>
      <c r="AG21" s="16">
        <v>0.01</v>
      </c>
    </row>
    <row r="22" spans="2:135" s="11" customFormat="1" x14ac:dyDescent="0.2">
      <c r="B22" s="11" t="s">
        <v>31</v>
      </c>
      <c r="C22" s="12"/>
      <c r="D22" s="12"/>
      <c r="E22" s="12"/>
      <c r="F22" s="12"/>
      <c r="G22" s="13">
        <f>G3/C3-1</f>
        <v>0.20447640524993815</v>
      </c>
      <c r="H22" s="13">
        <f>H3/D3-1</f>
        <v>0.1406664108114386</v>
      </c>
      <c r="I22" s="13">
        <f>I3/E3-1</f>
        <v>0.12236239441737951</v>
      </c>
      <c r="J22" s="13">
        <f>J3/F3-1</f>
        <v>0.12000000000000011</v>
      </c>
      <c r="M22" s="15">
        <f>M3/L3-1</f>
        <v>0.17697816070743366</v>
      </c>
      <c r="N22" s="15">
        <f>N3/M3-1</f>
        <v>0.2780067510921298</v>
      </c>
      <c r="O22" s="15">
        <f>O3/N3-1</f>
        <v>0.14449767529828272</v>
      </c>
      <c r="P22" s="15">
        <f t="shared" ref="P22:AD22" si="74">P3/O3-1</f>
        <v>0.12000000000000011</v>
      </c>
      <c r="Q22" s="15">
        <f t="shared" si="74"/>
        <v>0.12000000000000011</v>
      </c>
      <c r="R22" s="15">
        <f t="shared" si="74"/>
        <v>0.10000000000000009</v>
      </c>
      <c r="S22" s="15">
        <f t="shared" si="74"/>
        <v>8.0000000000000071E-2</v>
      </c>
      <c r="T22" s="15">
        <f t="shared" si="74"/>
        <v>8.0000000000000071E-2</v>
      </c>
      <c r="U22" s="15">
        <f t="shared" si="74"/>
        <v>8.0000000000000071E-2</v>
      </c>
      <c r="V22" s="15">
        <f t="shared" si="74"/>
        <v>5.0000000000000044E-2</v>
      </c>
      <c r="W22" s="15">
        <f t="shared" si="74"/>
        <v>5.0000000000000044E-2</v>
      </c>
      <c r="X22" s="15">
        <f t="shared" si="74"/>
        <v>5.0000000000000044E-2</v>
      </c>
      <c r="Y22" s="15">
        <f t="shared" si="74"/>
        <v>5.0000000000000044E-2</v>
      </c>
      <c r="Z22" s="15">
        <f t="shared" si="74"/>
        <v>5.0000000000000044E-2</v>
      </c>
      <c r="AA22" s="15">
        <f t="shared" si="74"/>
        <v>5.0000000000000044E-2</v>
      </c>
      <c r="AB22" s="15">
        <f t="shared" si="74"/>
        <v>5.0000000000000044E-2</v>
      </c>
      <c r="AC22" s="15">
        <f t="shared" si="74"/>
        <v>5.0000000000000044E-2</v>
      </c>
      <c r="AD22" s="15">
        <f t="shared" si="74"/>
        <v>5.0000000000000044E-2</v>
      </c>
      <c r="AF22" t="s">
        <v>33</v>
      </c>
      <c r="AG22" s="2">
        <f>NPV(AG20,P17:EE17)+Main!J5-Main!J6</f>
        <v>21623.24296102556</v>
      </c>
    </row>
    <row r="23" spans="2:135" x14ac:dyDescent="0.2">
      <c r="B23" s="2" t="s">
        <v>21</v>
      </c>
      <c r="C23" s="10">
        <f>C9/C3</f>
        <v>0.25900197198956387</v>
      </c>
      <c r="D23" s="10">
        <f t="shared" ref="D23:J23" si="75">D9/D3</f>
        <v>0.27305149261051376</v>
      </c>
      <c r="E23" s="10">
        <f t="shared" si="75"/>
        <v>0.28776763430367586</v>
      </c>
      <c r="F23" s="10">
        <f t="shared" si="75"/>
        <v>0.26626011510444375</v>
      </c>
      <c r="G23" s="10">
        <f t="shared" si="75"/>
        <v>0.27468153231782388</v>
      </c>
      <c r="H23" s="10">
        <f t="shared" si="75"/>
        <v>0.27978690630940656</v>
      </c>
      <c r="I23" s="10">
        <f t="shared" si="75"/>
        <v>0.28309296649656102</v>
      </c>
      <c r="J23" s="10">
        <f t="shared" si="75"/>
        <v>0.27</v>
      </c>
      <c r="L23" s="10">
        <f>L9/L3</f>
        <v>0.2710652806214357</v>
      </c>
      <c r="M23" s="10">
        <f>M9/M3</f>
        <v>0.2659028784688317</v>
      </c>
      <c r="N23" s="10">
        <f>N9/N3</f>
        <v>0.27207468644336585</v>
      </c>
      <c r="O23" s="10">
        <f>O9/O3</f>
        <v>0.27696604562127708</v>
      </c>
      <c r="P23" s="10">
        <f t="shared" ref="P23:AD23" si="76">P9/P3</f>
        <v>0.27</v>
      </c>
      <c r="Q23" s="10">
        <f t="shared" si="76"/>
        <v>0.27</v>
      </c>
      <c r="R23" s="10">
        <f t="shared" si="76"/>
        <v>0.27</v>
      </c>
      <c r="S23" s="10">
        <f t="shared" si="76"/>
        <v>0.27</v>
      </c>
      <c r="T23" s="10">
        <f t="shared" si="76"/>
        <v>0.27</v>
      </c>
      <c r="U23" s="10">
        <f t="shared" si="76"/>
        <v>0.27</v>
      </c>
      <c r="V23" s="10">
        <f t="shared" si="76"/>
        <v>0.27</v>
      </c>
      <c r="W23" s="10">
        <f t="shared" si="76"/>
        <v>0.27</v>
      </c>
      <c r="X23" s="10">
        <f t="shared" si="76"/>
        <v>0.27</v>
      </c>
      <c r="Y23" s="10">
        <f t="shared" si="76"/>
        <v>0.27</v>
      </c>
      <c r="Z23" s="10">
        <f t="shared" si="76"/>
        <v>0.27</v>
      </c>
      <c r="AA23" s="10">
        <f t="shared" si="76"/>
        <v>0.27</v>
      </c>
      <c r="AB23" s="10">
        <f t="shared" si="76"/>
        <v>0.27</v>
      </c>
      <c r="AC23" s="10">
        <f t="shared" si="76"/>
        <v>0.27</v>
      </c>
      <c r="AD23" s="10">
        <f t="shared" si="76"/>
        <v>0.27</v>
      </c>
      <c r="AF23" t="s">
        <v>36</v>
      </c>
      <c r="AG23" s="17">
        <f>AG22/Main!$J$3</f>
        <v>693.20818648496652</v>
      </c>
    </row>
    <row r="24" spans="2:135" x14ac:dyDescent="0.2">
      <c r="B24" t="s">
        <v>32</v>
      </c>
      <c r="C24" s="10">
        <f>C16/C15</f>
        <v>0.32550778481167342</v>
      </c>
      <c r="D24" s="10">
        <f t="shared" ref="D24:J24" si="77">D16/D15</f>
        <v>0.33739032524320473</v>
      </c>
      <c r="E24" s="10">
        <f t="shared" si="77"/>
        <v>0.32558413376621187</v>
      </c>
      <c r="F24" s="10">
        <f t="shared" si="77"/>
        <v>0.30592707370557631</v>
      </c>
      <c r="G24" s="10">
        <f t="shared" si="77"/>
        <v>0.32660871349955328</v>
      </c>
      <c r="H24" s="10">
        <f t="shared" si="77"/>
        <v>0.33824614238020279</v>
      </c>
      <c r="I24" s="10">
        <f t="shared" si="77"/>
        <v>0.33652946851364968</v>
      </c>
      <c r="J24" s="10">
        <f t="shared" si="77"/>
        <v>0.33</v>
      </c>
      <c r="L24" s="10">
        <f t="shared" ref="L24" si="78">L16/L15</f>
        <v>0.32858668500224913</v>
      </c>
      <c r="M24" s="10">
        <f t="shared" ref="M24" si="79">M16/M15</f>
        <v>0.32487179809062311</v>
      </c>
      <c r="N24" s="10">
        <f t="shared" ref="N24:O24" si="80">N16/N15</f>
        <v>0.32332795914171619</v>
      </c>
      <c r="O24" s="10">
        <f t="shared" si="80"/>
        <v>0.33308997747323726</v>
      </c>
      <c r="P24" s="10">
        <f t="shared" ref="P24:AD24" si="81">P16/P15</f>
        <v>0.33</v>
      </c>
      <c r="Q24" s="10">
        <f t="shared" si="81"/>
        <v>0.33</v>
      </c>
      <c r="R24" s="10">
        <f t="shared" si="81"/>
        <v>0.33</v>
      </c>
      <c r="S24" s="10">
        <f t="shared" si="81"/>
        <v>0.33</v>
      </c>
      <c r="T24" s="10">
        <f t="shared" si="81"/>
        <v>0.33</v>
      </c>
      <c r="U24" s="10">
        <f t="shared" si="81"/>
        <v>0.33000000000000007</v>
      </c>
      <c r="V24" s="10">
        <f t="shared" si="81"/>
        <v>0.33</v>
      </c>
      <c r="W24" s="10">
        <f t="shared" si="81"/>
        <v>0.33</v>
      </c>
      <c r="X24" s="10">
        <f t="shared" si="81"/>
        <v>0.33</v>
      </c>
      <c r="Y24" s="10">
        <f t="shared" si="81"/>
        <v>0.33</v>
      </c>
      <c r="Z24" s="10">
        <f t="shared" si="81"/>
        <v>0.33</v>
      </c>
      <c r="AA24" s="10">
        <f t="shared" si="81"/>
        <v>0.33</v>
      </c>
      <c r="AB24" s="10">
        <f t="shared" si="81"/>
        <v>0.33</v>
      </c>
      <c r="AC24" s="10">
        <f t="shared" si="81"/>
        <v>0.33</v>
      </c>
      <c r="AD24" s="10">
        <f t="shared" si="81"/>
        <v>0.33</v>
      </c>
      <c r="AF24" t="s">
        <v>37</v>
      </c>
      <c r="AG24" s="16">
        <f>AG23/Main!J2-1</f>
        <v>0.13269311517151383</v>
      </c>
    </row>
    <row r="26" spans="2:135" x14ac:dyDescent="0.2">
      <c r="B26" t="s">
        <v>38</v>
      </c>
    </row>
  </sheetData>
  <hyperlinks>
    <hyperlink ref="A1" location="Main!A1" display="Main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2015-11-10T04:41:18Z</dcterms:created>
  <dcterms:modified xsi:type="dcterms:W3CDTF">2016-05-11T07:48:50Z</dcterms:modified>
</cp:coreProperties>
</file>