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19890" windowHeight="12240" activeTab="1"/>
  </bookViews>
  <sheets>
    <sheet name="Main" sheetId="1" r:id="rId1"/>
    <sheet name="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0" i="2" l="1"/>
  <c r="AH6" i="2" l="1"/>
  <c r="AG6" i="2"/>
  <c r="AF6" i="2"/>
  <c r="AE6" i="2"/>
  <c r="AD6" i="2"/>
  <c r="AC6" i="2"/>
  <c r="AB6" i="2"/>
  <c r="AA79" i="2" l="1"/>
  <c r="Z79" i="2"/>
  <c r="Y79" i="2"/>
  <c r="X79" i="2"/>
  <c r="W79" i="2"/>
  <c r="V79" i="2"/>
  <c r="U79" i="2"/>
  <c r="T79" i="2"/>
  <c r="S79" i="2"/>
  <c r="R79" i="2"/>
  <c r="Q79" i="2"/>
  <c r="AA77" i="2"/>
  <c r="Z77" i="2"/>
  <c r="Y77" i="2"/>
  <c r="X77" i="2"/>
  <c r="W77" i="2"/>
  <c r="V77" i="2"/>
  <c r="U77" i="2"/>
  <c r="T77" i="2"/>
  <c r="S77" i="2"/>
  <c r="R77" i="2"/>
  <c r="Q77" i="2"/>
  <c r="P14" i="2"/>
  <c r="P15" i="2" s="1"/>
  <c r="P10" i="2"/>
  <c r="W14" i="2"/>
  <c r="W15" i="2" s="1"/>
  <c r="V14" i="2"/>
  <c r="V15" i="2" s="1"/>
  <c r="U14" i="2"/>
  <c r="U15" i="2" s="1"/>
  <c r="T14" i="2"/>
  <c r="T15" i="2" s="1"/>
  <c r="S14" i="2"/>
  <c r="S15" i="2" s="1"/>
  <c r="R14" i="2"/>
  <c r="R15" i="2" s="1"/>
  <c r="Q15" i="2"/>
  <c r="Q14" i="2"/>
  <c r="Q10" i="2"/>
  <c r="Q76" i="2"/>
  <c r="AA74" i="2"/>
  <c r="Z74" i="2"/>
  <c r="Y74" i="2"/>
  <c r="X74" i="2"/>
  <c r="W74" i="2"/>
  <c r="V74" i="2"/>
  <c r="U74" i="2"/>
  <c r="T74" i="2"/>
  <c r="S74" i="2"/>
  <c r="R74" i="2"/>
  <c r="Q74" i="2"/>
  <c r="AA76" i="2"/>
  <c r="Z76" i="2"/>
  <c r="Y76" i="2"/>
  <c r="X76" i="2"/>
  <c r="W76" i="2"/>
  <c r="V76" i="2"/>
  <c r="U76" i="2"/>
  <c r="T76" i="2"/>
  <c r="S76" i="2"/>
  <c r="R76" i="2"/>
  <c r="AA75" i="2"/>
  <c r="Z75" i="2"/>
  <c r="Y75" i="2"/>
  <c r="X75" i="2"/>
  <c r="W75" i="2"/>
  <c r="V75" i="2"/>
  <c r="U75" i="2"/>
  <c r="T75" i="2"/>
  <c r="S75" i="2"/>
  <c r="R75" i="2"/>
  <c r="Q75" i="2"/>
  <c r="P75" i="2"/>
  <c r="V24" i="2"/>
  <c r="U24" i="2"/>
  <c r="T24" i="2"/>
  <c r="S24" i="2"/>
  <c r="R24" i="2"/>
  <c r="Q24" i="2"/>
  <c r="P8" i="2"/>
  <c r="AA24" i="2"/>
  <c r="Z24" i="2"/>
  <c r="Y24" i="2"/>
  <c r="X24" i="2"/>
  <c r="W24" i="2"/>
  <c r="P2" i="2"/>
  <c r="S8" i="2"/>
  <c r="R8" i="2"/>
  <c r="Q8" i="2"/>
  <c r="Q2" i="2"/>
  <c r="R2" i="2"/>
  <c r="V8" i="2"/>
  <c r="U8" i="2"/>
  <c r="T8" i="2"/>
  <c r="S2" i="2"/>
  <c r="U2" i="2"/>
  <c r="T2" i="2" s="1"/>
  <c r="V2" i="2"/>
  <c r="L23" i="2"/>
  <c r="G43" i="2" l="1"/>
  <c r="G46" i="2" s="1"/>
  <c r="G42" i="2"/>
  <c r="G35" i="2"/>
  <c r="G33" i="2"/>
  <c r="G31" i="2"/>
  <c r="H26" i="2"/>
  <c r="H25" i="2"/>
  <c r="D16" i="2"/>
  <c r="D14" i="2"/>
  <c r="D8" i="2"/>
  <c r="D10" i="2" s="1"/>
  <c r="D27" i="2" s="1"/>
  <c r="H43" i="2"/>
  <c r="H33" i="2"/>
  <c r="H31" i="2"/>
  <c r="H35" i="2"/>
  <c r="I43" i="2"/>
  <c r="I33" i="2"/>
  <c r="I39" i="2" s="1"/>
  <c r="I31" i="2"/>
  <c r="J43" i="2"/>
  <c r="J33" i="2"/>
  <c r="J31" i="2"/>
  <c r="J39" i="2" s="1"/>
  <c r="J30" i="2"/>
  <c r="AA26" i="2"/>
  <c r="Z26" i="2"/>
  <c r="Y26" i="2"/>
  <c r="X26" i="2"/>
  <c r="Z25" i="2"/>
  <c r="Y25" i="2"/>
  <c r="X25" i="2"/>
  <c r="AA25" i="2"/>
  <c r="X14" i="2"/>
  <c r="Y14" i="2"/>
  <c r="Z14" i="2"/>
  <c r="AA14" i="2"/>
  <c r="AA10" i="2"/>
  <c r="AA27" i="2" s="1"/>
  <c r="W8" i="2"/>
  <c r="W10" i="2" s="1"/>
  <c r="W27" i="2" s="1"/>
  <c r="X8" i="2"/>
  <c r="X10" i="2" s="1"/>
  <c r="X27" i="2" s="1"/>
  <c r="Y8" i="2"/>
  <c r="Y10" i="2" s="1"/>
  <c r="Y27" i="2" s="1"/>
  <c r="Z8" i="2"/>
  <c r="Z10" i="2" s="1"/>
  <c r="Z27" i="2" s="1"/>
  <c r="AA8" i="2"/>
  <c r="X2" i="2"/>
  <c r="W2" i="2" s="1"/>
  <c r="D15" i="2" l="1"/>
  <c r="G39" i="2"/>
  <c r="G30" i="2"/>
  <c r="H30" i="2"/>
  <c r="H39" i="2"/>
  <c r="I30" i="2"/>
  <c r="X15" i="2"/>
  <c r="Y15" i="2"/>
  <c r="Z15" i="2"/>
  <c r="AA15" i="2"/>
  <c r="K23" i="2"/>
  <c r="L92" i="2"/>
  <c r="L91" i="2"/>
  <c r="H87" i="2"/>
  <c r="H92" i="2" s="1"/>
  <c r="L87" i="2"/>
  <c r="L90" i="2" s="1"/>
  <c r="L98" i="2"/>
  <c r="L100" i="2" s="1"/>
  <c r="H98" i="2"/>
  <c r="AA17" i="2" l="1"/>
  <c r="AA19" i="2" s="1"/>
  <c r="AA20" i="2" s="1"/>
  <c r="AA28" i="2"/>
  <c r="X28" i="2"/>
  <c r="X17" i="2"/>
  <c r="X19" i="2" s="1"/>
  <c r="X20" i="2" s="1"/>
  <c r="Z28" i="2"/>
  <c r="Z17" i="2"/>
  <c r="Z19" i="2" s="1"/>
  <c r="Z20" i="2" s="1"/>
  <c r="W28" i="2"/>
  <c r="W17" i="2"/>
  <c r="W19" i="2" s="1"/>
  <c r="W20" i="2" s="1"/>
  <c r="H89" i="2"/>
  <c r="H90" i="2"/>
  <c r="H91" i="2"/>
  <c r="D28" i="2"/>
  <c r="D17" i="2"/>
  <c r="D19" i="2" s="1"/>
  <c r="D20" i="2" s="1"/>
  <c r="L89" i="2"/>
  <c r="Y28" i="2"/>
  <c r="Y17" i="2"/>
  <c r="Y19" i="2" s="1"/>
  <c r="Y20" i="2" s="1"/>
  <c r="H42" i="2"/>
  <c r="H46" i="2" s="1"/>
  <c r="I42" i="2"/>
  <c r="I46" i="2" s="1"/>
  <c r="F42" i="2"/>
  <c r="J42" i="2"/>
  <c r="J46" i="2" s="1"/>
  <c r="K67" i="2"/>
  <c r="K60" i="2"/>
  <c r="K62" i="2" s="1"/>
  <c r="K55" i="2"/>
  <c r="K56" i="2" s="1"/>
  <c r="K71" i="2" s="1"/>
  <c r="K43" i="2"/>
  <c r="K42" i="2"/>
  <c r="K46" i="2" s="1"/>
  <c r="K33" i="2"/>
  <c r="K31" i="2"/>
  <c r="K39" i="2" s="1"/>
  <c r="L67" i="2"/>
  <c r="L62" i="2"/>
  <c r="L60" i="2"/>
  <c r="L55" i="2"/>
  <c r="L56" i="2" s="1"/>
  <c r="L71" i="2" s="1"/>
  <c r="L46" i="2"/>
  <c r="L43" i="2"/>
  <c r="N7" i="2"/>
  <c r="M7" i="2"/>
  <c r="N6" i="2"/>
  <c r="M6" i="2"/>
  <c r="L42" i="2"/>
  <c r="L31" i="2"/>
  <c r="L30" i="2" s="1"/>
  <c r="L33" i="2"/>
  <c r="K69" i="2" l="1"/>
  <c r="L39" i="2"/>
  <c r="K30" i="2"/>
  <c r="L69" i="2"/>
  <c r="AC3" i="2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M8" i="2"/>
  <c r="M10" i="2" s="1"/>
  <c r="M27" i="2" s="1"/>
  <c r="N8" i="2"/>
  <c r="N10" i="2" s="1"/>
  <c r="Z2" i="2"/>
  <c r="AA2" i="2"/>
  <c r="N25" i="2"/>
  <c r="N12" i="2"/>
  <c r="N26" i="2" s="1"/>
  <c r="M26" i="2"/>
  <c r="L26" i="2"/>
  <c r="K26" i="2"/>
  <c r="J26" i="2"/>
  <c r="I26" i="2"/>
  <c r="N2" i="2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M2" i="2"/>
  <c r="N13" i="2"/>
  <c r="N11" i="2"/>
  <c r="N21" i="2"/>
  <c r="AB21" i="2" s="1"/>
  <c r="AC21" i="2" s="1"/>
  <c r="AD21" i="2" s="1"/>
  <c r="M13" i="2"/>
  <c r="M12" i="2"/>
  <c r="M11" i="2"/>
  <c r="M25" i="2" s="1"/>
  <c r="L25" i="2"/>
  <c r="K25" i="2"/>
  <c r="J25" i="2"/>
  <c r="I25" i="2"/>
  <c r="E16" i="2"/>
  <c r="E14" i="2"/>
  <c r="E8" i="2"/>
  <c r="E10" i="2" s="1"/>
  <c r="E27" i="2" s="1"/>
  <c r="I16" i="2"/>
  <c r="I14" i="2"/>
  <c r="I8" i="2"/>
  <c r="I10" i="2" s="1"/>
  <c r="I27" i="2" s="1"/>
  <c r="F16" i="2"/>
  <c r="F14" i="2"/>
  <c r="F8" i="2"/>
  <c r="F10" i="2" s="1"/>
  <c r="J16" i="2"/>
  <c r="J14" i="2"/>
  <c r="J8" i="2"/>
  <c r="J10" i="2" s="1"/>
  <c r="J15" i="2" s="1"/>
  <c r="J28" i="2" s="1"/>
  <c r="G16" i="2"/>
  <c r="G14" i="2"/>
  <c r="G8" i="2"/>
  <c r="G10" i="2" s="1"/>
  <c r="G27" i="2" s="1"/>
  <c r="K16" i="2"/>
  <c r="AB16" i="2" s="1"/>
  <c r="K14" i="2"/>
  <c r="K8" i="2"/>
  <c r="K10" i="2" s="1"/>
  <c r="K27" i="2" s="1"/>
  <c r="H16" i="2"/>
  <c r="H9" i="2"/>
  <c r="H14" i="2"/>
  <c r="L16" i="2"/>
  <c r="L14" i="2"/>
  <c r="H8" i="2"/>
  <c r="H24" i="2" s="1"/>
  <c r="L8" i="2"/>
  <c r="L10" i="2" s="1"/>
  <c r="L15" i="2" s="1"/>
  <c r="M6" i="1"/>
  <c r="M7" i="1" s="1"/>
  <c r="M5" i="1"/>
  <c r="M4" i="1"/>
  <c r="AB12" i="2" l="1"/>
  <c r="M14" i="2"/>
  <c r="M15" i="2" s="1"/>
  <c r="AI6" i="2"/>
  <c r="AJ6" i="2" s="1"/>
  <c r="AK6" i="2" s="1"/>
  <c r="AL6" i="2" s="1"/>
  <c r="AM6" i="2" s="1"/>
  <c r="AN6" i="2" s="1"/>
  <c r="AO6" i="2" s="1"/>
  <c r="AP6" i="2" s="1"/>
  <c r="AQ6" i="2" s="1"/>
  <c r="N14" i="2"/>
  <c r="L17" i="2"/>
  <c r="L19" i="2" s="1"/>
  <c r="L28" i="2"/>
  <c r="J27" i="2"/>
  <c r="I24" i="2"/>
  <c r="L24" i="2"/>
  <c r="H10" i="2"/>
  <c r="H27" i="2" s="1"/>
  <c r="M9" i="2"/>
  <c r="M24" i="2"/>
  <c r="AB7" i="2"/>
  <c r="AC7" i="2" s="1"/>
  <c r="AD7" i="2" s="1"/>
  <c r="AB11" i="2"/>
  <c r="AB25" i="2" s="1"/>
  <c r="L27" i="2"/>
  <c r="K24" i="2"/>
  <c r="AB13" i="2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E21" i="2"/>
  <c r="N9" i="2"/>
  <c r="N27" i="2"/>
  <c r="N24" i="2"/>
  <c r="N15" i="2"/>
  <c r="E15" i="2"/>
  <c r="I15" i="2"/>
  <c r="F15" i="2"/>
  <c r="F27" i="2"/>
  <c r="J24" i="2"/>
  <c r="J17" i="2"/>
  <c r="J19" i="2" s="1"/>
  <c r="J20" i="2" s="1"/>
  <c r="G15" i="2"/>
  <c r="K15" i="2"/>
  <c r="K17" i="2" l="1"/>
  <c r="K19" i="2" s="1"/>
  <c r="K28" i="2"/>
  <c r="I17" i="2"/>
  <c r="I19" i="2" s="1"/>
  <c r="I20" i="2" s="1"/>
  <c r="I28" i="2"/>
  <c r="F17" i="2"/>
  <c r="F19" i="2" s="1"/>
  <c r="F20" i="2" s="1"/>
  <c r="F28" i="2"/>
  <c r="E17" i="2"/>
  <c r="E19" i="2" s="1"/>
  <c r="E20" i="2" s="1"/>
  <c r="E28" i="2"/>
  <c r="G17" i="2"/>
  <c r="G19" i="2" s="1"/>
  <c r="G20" i="2" s="1"/>
  <c r="G28" i="2"/>
  <c r="H15" i="2"/>
  <c r="AC12" i="2"/>
  <c r="AB26" i="2"/>
  <c r="K20" i="2"/>
  <c r="K48" i="2"/>
  <c r="L20" i="2"/>
  <c r="L48" i="2"/>
  <c r="N17" i="2"/>
  <c r="N18" i="2" s="1"/>
  <c r="N28" i="2"/>
  <c r="M17" i="2"/>
  <c r="M18" i="2" s="1"/>
  <c r="AB18" i="2" s="1"/>
  <c r="M28" i="2"/>
  <c r="AB14" i="2"/>
  <c r="AC11" i="2"/>
  <c r="AC25" i="2" s="1"/>
  <c r="AB8" i="2"/>
  <c r="AB24" i="2" s="1"/>
  <c r="AB9" i="2"/>
  <c r="AF21" i="2"/>
  <c r="N19" i="2"/>
  <c r="N20" i="2" s="1"/>
  <c r="H17" i="2" l="1"/>
  <c r="H19" i="2" s="1"/>
  <c r="H20" i="2" s="1"/>
  <c r="H28" i="2"/>
  <c r="AD12" i="2"/>
  <c r="AC26" i="2"/>
  <c r="M19" i="2"/>
  <c r="M20" i="2" s="1"/>
  <c r="AC8" i="2"/>
  <c r="AC24" i="2" s="1"/>
  <c r="AC14" i="2"/>
  <c r="AD11" i="2"/>
  <c r="AD25" i="2" s="1"/>
  <c r="AB10" i="2"/>
  <c r="AG21" i="2"/>
  <c r="AE12" i="2" l="1"/>
  <c r="AD26" i="2"/>
  <c r="AB15" i="2"/>
  <c r="AB27" i="2"/>
  <c r="AE7" i="2"/>
  <c r="AD8" i="2"/>
  <c r="AD24" i="2" s="1"/>
  <c r="AE11" i="2"/>
  <c r="AE25" i="2" s="1"/>
  <c r="AD14" i="2"/>
  <c r="AC10" i="2"/>
  <c r="AC9" i="2" s="1"/>
  <c r="AH21" i="2"/>
  <c r="AF12" i="2" l="1"/>
  <c r="AE26" i="2"/>
  <c r="AC15" i="2"/>
  <c r="AC27" i="2"/>
  <c r="AB17" i="2"/>
  <c r="AB19" i="2" s="1"/>
  <c r="AB20" i="2" s="1"/>
  <c r="AB28" i="2"/>
  <c r="AD10" i="2"/>
  <c r="AD15" i="2" s="1"/>
  <c r="AE14" i="2"/>
  <c r="AF11" i="2"/>
  <c r="AF25" i="2" s="1"/>
  <c r="AF7" i="2"/>
  <c r="AE8" i="2"/>
  <c r="AE24" i="2" s="1"/>
  <c r="AI21" i="2"/>
  <c r="AG12" i="2" l="1"/>
  <c r="AF26" i="2"/>
  <c r="AD17" i="2"/>
  <c r="AD18" i="2" s="1"/>
  <c r="AD19" i="2" s="1"/>
  <c r="AD20" i="2" s="1"/>
  <c r="AD28" i="2"/>
  <c r="AD9" i="2"/>
  <c r="AD27" i="2"/>
  <c r="AC17" i="2"/>
  <c r="AC28" i="2"/>
  <c r="AE10" i="2"/>
  <c r="AE27" i="2" s="1"/>
  <c r="AG7" i="2"/>
  <c r="AF8" i="2"/>
  <c r="AG11" i="2"/>
  <c r="AG25" i="2" s="1"/>
  <c r="AF14" i="2"/>
  <c r="AE15" i="2"/>
  <c r="AJ21" i="2"/>
  <c r="AH12" i="2" l="1"/>
  <c r="AG26" i="2"/>
  <c r="AE17" i="2"/>
  <c r="AE28" i="2"/>
  <c r="AF10" i="2"/>
  <c r="AF27" i="2" s="1"/>
  <c r="AF24" i="2"/>
  <c r="AE9" i="2"/>
  <c r="AC18" i="2"/>
  <c r="AC19" i="2" s="1"/>
  <c r="AC20" i="2" s="1"/>
  <c r="AE18" i="2"/>
  <c r="AE19" i="2" s="1"/>
  <c r="AH11" i="2"/>
  <c r="AH25" i="2" s="1"/>
  <c r="AG14" i="2"/>
  <c r="AF9" i="2"/>
  <c r="AF15" i="2"/>
  <c r="AH7" i="2"/>
  <c r="AG8" i="2"/>
  <c r="AK21" i="2"/>
  <c r="AI12" i="2" l="1"/>
  <c r="AH26" i="2"/>
  <c r="AF17" i="2"/>
  <c r="AF18" i="2" s="1"/>
  <c r="AF19" i="2" s="1"/>
  <c r="AF20" i="2" s="1"/>
  <c r="AF28" i="2"/>
  <c r="AG10" i="2"/>
  <c r="AG27" i="2" s="1"/>
  <c r="AG24" i="2"/>
  <c r="AE20" i="2"/>
  <c r="AI7" i="2"/>
  <c r="AH8" i="2"/>
  <c r="AI11" i="2"/>
  <c r="AI25" i="2" s="1"/>
  <c r="AH14" i="2"/>
  <c r="AL21" i="2"/>
  <c r="AJ12" i="2" l="1"/>
  <c r="AI26" i="2"/>
  <c r="AG15" i="2"/>
  <c r="AH10" i="2"/>
  <c r="AH27" i="2" s="1"/>
  <c r="AH24" i="2"/>
  <c r="AG9" i="2"/>
  <c r="AG17" i="2"/>
  <c r="AG18" i="2" s="1"/>
  <c r="AG19" i="2" s="1"/>
  <c r="AG20" i="2" s="1"/>
  <c r="AG28" i="2"/>
  <c r="AJ7" i="2"/>
  <c r="AI8" i="2"/>
  <c r="AH9" i="2"/>
  <c r="AH15" i="2"/>
  <c r="AJ11" i="2"/>
  <c r="AJ25" i="2" s="1"/>
  <c r="AI14" i="2"/>
  <c r="AM21" i="2"/>
  <c r="AK12" i="2" l="1"/>
  <c r="AJ26" i="2"/>
  <c r="AI10" i="2"/>
  <c r="AI24" i="2"/>
  <c r="AH17" i="2"/>
  <c r="AH28" i="2"/>
  <c r="AK11" i="2"/>
  <c r="AK25" i="2" s="1"/>
  <c r="AJ14" i="2"/>
  <c r="AH18" i="2"/>
  <c r="AH19" i="2" s="1"/>
  <c r="AK7" i="2"/>
  <c r="AJ8" i="2"/>
  <c r="AN21" i="2"/>
  <c r="AL12" i="2" l="1"/>
  <c r="AK26" i="2"/>
  <c r="AJ10" i="2"/>
  <c r="AJ24" i="2"/>
  <c r="AI9" i="2"/>
  <c r="AI27" i="2"/>
  <c r="AI15" i="2"/>
  <c r="AH20" i="2"/>
  <c r="AL7" i="2"/>
  <c r="AK8" i="2"/>
  <c r="AJ15" i="2"/>
  <c r="AL11" i="2"/>
  <c r="AL25" i="2" s="1"/>
  <c r="AK14" i="2"/>
  <c r="AO21" i="2"/>
  <c r="AM12" i="2" l="1"/>
  <c r="AL26" i="2"/>
  <c r="AJ17" i="2"/>
  <c r="AJ18" i="2" s="1"/>
  <c r="AJ19" i="2" s="1"/>
  <c r="AJ20" i="2" s="1"/>
  <c r="AJ28" i="2"/>
  <c r="AK10" i="2"/>
  <c r="AK24" i="2"/>
  <c r="AI17" i="2"/>
  <c r="AI18" i="2" s="1"/>
  <c r="AI19" i="2" s="1"/>
  <c r="AI20" i="2" s="1"/>
  <c r="AI28" i="2"/>
  <c r="AJ9" i="2"/>
  <c r="AJ27" i="2"/>
  <c r="AM7" i="2"/>
  <c r="AL8" i="2"/>
  <c r="AM11" i="2"/>
  <c r="AM25" i="2" s="1"/>
  <c r="AL14" i="2"/>
  <c r="AP21" i="2"/>
  <c r="AN12" i="2" l="1"/>
  <c r="AM26" i="2"/>
  <c r="AK9" i="2"/>
  <c r="AK27" i="2"/>
  <c r="AL10" i="2"/>
  <c r="AL27" i="2" s="1"/>
  <c r="AL24" i="2"/>
  <c r="AK15" i="2"/>
  <c r="AN11" i="2"/>
  <c r="AN25" i="2" s="1"/>
  <c r="AM14" i="2"/>
  <c r="AN7" i="2"/>
  <c r="AM8" i="2"/>
  <c r="AL9" i="2"/>
  <c r="AL15" i="2"/>
  <c r="AQ21" i="2"/>
  <c r="AO12" i="2" l="1"/>
  <c r="AN26" i="2"/>
  <c r="AL17" i="2"/>
  <c r="AL18" i="2" s="1"/>
  <c r="AL19" i="2" s="1"/>
  <c r="AL28" i="2"/>
  <c r="AK17" i="2"/>
  <c r="AK28" i="2"/>
  <c r="AM10" i="2"/>
  <c r="AM24" i="2"/>
  <c r="AL20" i="2"/>
  <c r="AO7" i="2"/>
  <c r="AN8" i="2"/>
  <c r="AN24" i="2" s="1"/>
  <c r="AM15" i="2"/>
  <c r="AO11" i="2"/>
  <c r="AO25" i="2" s="1"/>
  <c r="AN14" i="2"/>
  <c r="AP12" i="2" l="1"/>
  <c r="AO26" i="2"/>
  <c r="AM17" i="2"/>
  <c r="AM28" i="2"/>
  <c r="AM9" i="2"/>
  <c r="AM27" i="2"/>
  <c r="AK18" i="2"/>
  <c r="AK19" i="2" s="1"/>
  <c r="AK20" i="2" s="1"/>
  <c r="AM18" i="2"/>
  <c r="AM19" i="2" s="1"/>
  <c r="AM20" i="2" s="1"/>
  <c r="AN10" i="2"/>
  <c r="AP11" i="2"/>
  <c r="AP25" i="2" s="1"/>
  <c r="AO14" i="2"/>
  <c r="AP7" i="2"/>
  <c r="AO8" i="2"/>
  <c r="AO24" i="2" s="1"/>
  <c r="AQ12" i="2" l="1"/>
  <c r="AQ26" i="2" s="1"/>
  <c r="AP26" i="2"/>
  <c r="AN15" i="2"/>
  <c r="AN27" i="2"/>
  <c r="AO10" i="2"/>
  <c r="AQ7" i="2"/>
  <c r="AQ8" i="2" s="1"/>
  <c r="AP8" i="2"/>
  <c r="AP24" i="2" s="1"/>
  <c r="AQ11" i="2"/>
  <c r="AP14" i="2"/>
  <c r="AN9" i="2"/>
  <c r="AQ14" i="2" l="1"/>
  <c r="AQ25" i="2"/>
  <c r="AQ24" i="2"/>
  <c r="AO15" i="2"/>
  <c r="AO27" i="2"/>
  <c r="AN17" i="2"/>
  <c r="AN18" i="2" s="1"/>
  <c r="AN19" i="2" s="1"/>
  <c r="AN20" i="2" s="1"/>
  <c r="AN28" i="2"/>
  <c r="AP10" i="2"/>
  <c r="AQ10" i="2"/>
  <c r="AQ9" i="2" s="1"/>
  <c r="AO9" i="2"/>
  <c r="AP15" i="2" l="1"/>
  <c r="AP27" i="2"/>
  <c r="AQ15" i="2"/>
  <c r="AQ27" i="2"/>
  <c r="AO17" i="2"/>
  <c r="AO18" i="2" s="1"/>
  <c r="AO19" i="2" s="1"/>
  <c r="AO20" i="2" s="1"/>
  <c r="AO28" i="2"/>
  <c r="AP9" i="2"/>
  <c r="AQ17" i="2" l="1"/>
  <c r="AQ18" i="2" s="1"/>
  <c r="AQ19" i="2" s="1"/>
  <c r="AQ28" i="2"/>
  <c r="AP17" i="2"/>
  <c r="AP18" i="2" s="1"/>
  <c r="AP19" i="2" s="1"/>
  <c r="AP20" i="2" s="1"/>
  <c r="AP28" i="2"/>
  <c r="AQ20" i="2" l="1"/>
  <c r="AR19" i="2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BP19" i="2" s="1"/>
  <c r="BQ19" i="2" s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CB19" i="2" s="1"/>
  <c r="CC19" i="2" s="1"/>
  <c r="CD19" i="2" s="1"/>
  <c r="CE19" i="2" s="1"/>
  <c r="CF19" i="2" s="1"/>
  <c r="CG19" i="2" s="1"/>
  <c r="CH19" i="2" s="1"/>
  <c r="CI19" i="2" s="1"/>
  <c r="CJ19" i="2" s="1"/>
  <c r="CK19" i="2" s="1"/>
  <c r="CL19" i="2" s="1"/>
  <c r="CM19" i="2" s="1"/>
  <c r="CN19" i="2" s="1"/>
  <c r="CO19" i="2" s="1"/>
  <c r="CP19" i="2" s="1"/>
  <c r="CQ19" i="2" s="1"/>
  <c r="CR19" i="2" s="1"/>
  <c r="CS19" i="2" s="1"/>
  <c r="CT19" i="2" s="1"/>
  <c r="CU19" i="2" s="1"/>
  <c r="CV19" i="2" s="1"/>
  <c r="CW19" i="2" s="1"/>
  <c r="CX19" i="2" s="1"/>
  <c r="CY19" i="2" s="1"/>
  <c r="CZ19" i="2" s="1"/>
  <c r="DA19" i="2" s="1"/>
  <c r="DB19" i="2" s="1"/>
  <c r="DC19" i="2" s="1"/>
  <c r="DD19" i="2" s="1"/>
  <c r="DE19" i="2" s="1"/>
  <c r="AT26" i="2" s="1"/>
  <c r="AT27" i="2" s="1"/>
</calcChain>
</file>

<file path=xl/comments1.xml><?xml version="1.0" encoding="utf-8"?>
<comments xmlns="http://schemas.openxmlformats.org/spreadsheetml/2006/main">
  <authors>
    <author>Martin Shkreli</author>
  </authors>
  <commentList>
    <comment ref="M8" authorId="0" shapeId="0">
      <text>
        <r>
          <rPr>
            <b/>
            <sz val="9"/>
            <color indexed="81"/>
            <rFont val="Tahoma"/>
            <family val="2"/>
          </rPr>
          <t>Martin Shkreli:</t>
        </r>
        <r>
          <rPr>
            <sz val="9"/>
            <color indexed="81"/>
            <rFont val="Tahoma"/>
            <family val="2"/>
          </rPr>
          <t xml:space="preserve">
2.11-2.12 guidance from Q217</t>
        </r>
      </text>
    </comment>
  </commentList>
</comments>
</file>

<file path=xl/sharedStrings.xml><?xml version="1.0" encoding="utf-8"?>
<sst xmlns="http://schemas.openxmlformats.org/spreadsheetml/2006/main" count="109" uniqueCount="101">
  <si>
    <t>Price</t>
  </si>
  <si>
    <t>Shares</t>
  </si>
  <si>
    <t>MC</t>
  </si>
  <si>
    <t>Cash</t>
  </si>
  <si>
    <t>Debt</t>
  </si>
  <si>
    <t>EV</t>
  </si>
  <si>
    <t>Q216</t>
  </si>
  <si>
    <t>Main</t>
  </si>
  <si>
    <t>Subscription</t>
  </si>
  <si>
    <t>Services</t>
  </si>
  <si>
    <t>Q115</t>
  </si>
  <si>
    <t>Q215</t>
  </si>
  <si>
    <t>Q315</t>
  </si>
  <si>
    <t>Q415</t>
  </si>
  <si>
    <t>Q116</t>
  </si>
  <si>
    <t>Q316</t>
  </si>
  <si>
    <t>Q416</t>
  </si>
  <si>
    <t>Revenue</t>
  </si>
  <si>
    <t>Revenue Y/Y</t>
  </si>
  <si>
    <t>Gross Margin</t>
  </si>
  <si>
    <t>COGS</t>
  </si>
  <si>
    <t>Gross Profit</t>
  </si>
  <si>
    <t>M&amp;S</t>
  </si>
  <si>
    <t>R&amp;D</t>
  </si>
  <si>
    <t>G&amp;A</t>
  </si>
  <si>
    <t>Operating Margin</t>
  </si>
  <si>
    <t>Operating Expenses</t>
  </si>
  <si>
    <t>Operating Profit</t>
  </si>
  <si>
    <t>Net Income</t>
  </si>
  <si>
    <t>Taxes</t>
  </si>
  <si>
    <t>Pretax Income</t>
  </si>
  <si>
    <t>Interest Income</t>
  </si>
  <si>
    <t>EPS</t>
  </si>
  <si>
    <t>CFFO</t>
  </si>
  <si>
    <t>CapEx</t>
  </si>
  <si>
    <t>SBC</t>
  </si>
  <si>
    <t>Q217</t>
  </si>
  <si>
    <t>Q117</t>
  </si>
  <si>
    <t>SG&amp;A Y/Y</t>
  </si>
  <si>
    <t>R&amp;D Y/Y</t>
  </si>
  <si>
    <t>Q317</t>
  </si>
  <si>
    <t>Q417</t>
  </si>
  <si>
    <t>Maturity</t>
  </si>
  <si>
    <t>Discount</t>
  </si>
  <si>
    <t>NPV</t>
  </si>
  <si>
    <t>Share</t>
  </si>
  <si>
    <t>A/R</t>
  </si>
  <si>
    <t>Commissions</t>
  </si>
  <si>
    <t>Prepaids</t>
  </si>
  <si>
    <t>PP&amp;E</t>
  </si>
  <si>
    <t>Capitalized Software</t>
  </si>
  <si>
    <t>Goodwill</t>
  </si>
  <si>
    <t>OA</t>
  </si>
  <si>
    <t>Assets</t>
  </si>
  <si>
    <t>AP</t>
  </si>
  <si>
    <t>DR</t>
  </si>
  <si>
    <t>ONCL</t>
  </si>
  <si>
    <t>SE</t>
  </si>
  <si>
    <t>L+SE</t>
  </si>
  <si>
    <t>Model NI</t>
  </si>
  <si>
    <t>Reported NI</t>
  </si>
  <si>
    <t>WC</t>
  </si>
  <si>
    <t>Amort of Commissions</t>
  </si>
  <si>
    <t>Amort of Debt</t>
  </si>
  <si>
    <t>D&amp;A</t>
  </si>
  <si>
    <t>Acquisitions</t>
  </si>
  <si>
    <t>Strategic Investments</t>
  </si>
  <si>
    <t>CFFI</t>
  </si>
  <si>
    <t>Investments</t>
  </si>
  <si>
    <t>Payment on Lease</t>
  </si>
  <si>
    <t>ESOP Cash</t>
  </si>
  <si>
    <t>Term Loan Sale</t>
  </si>
  <si>
    <t>CFFF</t>
  </si>
  <si>
    <t>CIC</t>
  </si>
  <si>
    <t>FX</t>
  </si>
  <si>
    <t>Net Cash</t>
  </si>
  <si>
    <t>GOS</t>
  </si>
  <si>
    <t>CFFO+SBC-CapEx+ESOPC</t>
  </si>
  <si>
    <t>Americas</t>
  </si>
  <si>
    <t>Europe</t>
  </si>
  <si>
    <t>APAC</t>
  </si>
  <si>
    <t>Demandware</t>
  </si>
  <si>
    <t>LinkedIn</t>
  </si>
  <si>
    <t>MetaMind</t>
  </si>
  <si>
    <t>SteelBrick</t>
  </si>
  <si>
    <t>Quip</t>
  </si>
  <si>
    <t>BeyondCore</t>
  </si>
  <si>
    <t>Sales Cloud</t>
  </si>
  <si>
    <t>Service Cloud</t>
  </si>
  <si>
    <t>App Cloud</t>
  </si>
  <si>
    <t>Marketing Cloud</t>
  </si>
  <si>
    <t>Sales</t>
  </si>
  <si>
    <t>Service</t>
  </si>
  <si>
    <t>Marketing</t>
  </si>
  <si>
    <t>Unbilled DR</t>
  </si>
  <si>
    <t>Customer Service</t>
  </si>
  <si>
    <t>CRM</t>
  </si>
  <si>
    <t>Force, Heroku</t>
  </si>
  <si>
    <t>Unbilled DR Y/Y</t>
  </si>
  <si>
    <t>Stock Price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</si>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</sst>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9" fontId="0" fillId="0" borderId="0" xfId="0" applyNumberFormat="1" applyFont="1" applyAlignment="1">
      <alignment horizontal="right"/>
    </xf>
    <xf numFmtId="9" fontId="0" fillId="0" borderId="0" xfId="0" applyNumberFormat="1"/>
    <xf numFmtId="3" fontId="0" fillId="0" borderId="0" xfId="0" applyNumberFormat="1" applyFont="1" applyAlignment="1">
      <alignment horizontal="right"/>
    </xf>
    <xf numFmtId="3" fontId="0" fillId="0" borderId="0" xfId="0" applyNumberFormat="1" applyFont="1"/>
    <xf numFmtId="164" fontId="0" fillId="0" borderId="0" xfId="0" applyNumberFormat="1"/>
    <xf numFmtId="0" fontId="4" fillId="0" borderId="0" xfId="1"/>
    <xf numFmtId="4" fontId="1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19050</xdr:rowOff>
    </xdr:from>
    <xdr:to>
      <xdr:col>12</xdr:col>
      <xdr:colOff>9525</xdr:colOff>
      <xdr:row>106</xdr:row>
      <xdr:rowOff>28575</xdr:rowOff>
    </xdr:to>
    <xdr:cxnSp macro="">
      <xdr:nvCxnSpPr>
        <xdr:cNvPr id="3" name="Straight Connector 2"/>
        <xdr:cNvCxnSpPr/>
      </xdr:nvCxnSpPr>
      <xdr:spPr>
        <a:xfrm>
          <a:off x="8524875" y="19050"/>
          <a:ext cx="0" cy="1668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0</xdr:row>
      <xdr:rowOff>0</xdr:rowOff>
    </xdr:from>
    <xdr:to>
      <xdr:col>27</xdr:col>
      <xdr:colOff>9525</xdr:colOff>
      <xdr:row>93</xdr:row>
      <xdr:rowOff>104775</xdr:rowOff>
    </xdr:to>
    <xdr:cxnSp macro="">
      <xdr:nvCxnSpPr>
        <xdr:cNvPr id="4" name="Straight Connector 3"/>
        <xdr:cNvCxnSpPr/>
      </xdr:nvCxnSpPr>
      <xdr:spPr>
        <a:xfrm>
          <a:off x="13630275" y="0"/>
          <a:ext cx="0" cy="145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/>
  </sheetViews>
  <sheetFormatPr defaultRowHeight="12.75" x14ac:dyDescent="0.2"/>
  <cols>
    <col min="2" max="2" width="15.28515625" customWidth="1"/>
    <col min="4" max="4" width="15.7109375" bestFit="1" customWidth="1"/>
  </cols>
  <sheetData>
    <row r="2" spans="2:14" x14ac:dyDescent="0.2">
      <c r="L2" t="s">
        <v>0</v>
      </c>
      <c r="M2" s="8">
        <v>74</v>
      </c>
    </row>
    <row r="3" spans="2:14" x14ac:dyDescent="0.2">
      <c r="B3" t="s">
        <v>87</v>
      </c>
      <c r="C3" s="16">
        <v>0.4</v>
      </c>
      <c r="D3" t="s">
        <v>96</v>
      </c>
      <c r="L3" t="s">
        <v>1</v>
      </c>
      <c r="M3" s="1">
        <v>685</v>
      </c>
      <c r="N3" s="2" t="s">
        <v>6</v>
      </c>
    </row>
    <row r="4" spans="2:14" x14ac:dyDescent="0.2">
      <c r="B4" t="s">
        <v>88</v>
      </c>
      <c r="C4" s="16">
        <v>0.31</v>
      </c>
      <c r="D4" t="s">
        <v>95</v>
      </c>
      <c r="L4" t="s">
        <v>2</v>
      </c>
      <c r="M4" s="1">
        <f>+M3*M2</f>
        <v>50690</v>
      </c>
      <c r="N4" s="2"/>
    </row>
    <row r="5" spans="2:14" x14ac:dyDescent="0.2">
      <c r="B5" t="s">
        <v>89</v>
      </c>
      <c r="C5" s="16">
        <v>0.19</v>
      </c>
      <c r="D5" t="s">
        <v>97</v>
      </c>
      <c r="L5" t="s">
        <v>3</v>
      </c>
      <c r="M5" s="1">
        <f>1115.226+59.057+545.663+548.258</f>
        <v>2268.2040000000002</v>
      </c>
      <c r="N5" s="2" t="s">
        <v>6</v>
      </c>
    </row>
    <row r="6" spans="2:14" x14ac:dyDescent="0.2">
      <c r="B6" t="s">
        <v>90</v>
      </c>
      <c r="C6" s="16">
        <v>0.11</v>
      </c>
      <c r="L6" t="s">
        <v>4</v>
      </c>
      <c r="M6" s="1">
        <f>1102.15+496.646+198.133</f>
        <v>1796.9290000000001</v>
      </c>
      <c r="N6" s="2" t="s">
        <v>6</v>
      </c>
    </row>
    <row r="7" spans="2:14" x14ac:dyDescent="0.2">
      <c r="L7" t="s">
        <v>5</v>
      </c>
      <c r="M7" s="1">
        <f>+M4-M5+M6</f>
        <v>50218.725000000006</v>
      </c>
    </row>
    <row r="16" spans="2:14" x14ac:dyDescent="0.2">
      <c r="B16" t="s">
        <v>81</v>
      </c>
    </row>
    <row r="17" spans="2:2" x14ac:dyDescent="0.2">
      <c r="B17" t="s">
        <v>82</v>
      </c>
    </row>
    <row r="18" spans="2:2" x14ac:dyDescent="0.2">
      <c r="B18" t="s">
        <v>83</v>
      </c>
    </row>
    <row r="19" spans="2:2" x14ac:dyDescent="0.2">
      <c r="B19" t="s">
        <v>84</v>
      </c>
    </row>
    <row r="20" spans="2:2" x14ac:dyDescent="0.2">
      <c r="B20" t="s">
        <v>85</v>
      </c>
    </row>
    <row r="21" spans="2:2" x14ac:dyDescent="0.2">
      <c r="B2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100"/>
  <sheetViews>
    <sheetView tabSelected="1" zoomScaleNormal="100" workbookViewId="0">
      <pane xSplit="2" ySplit="3" topLeftCell="AD4" activePane="bottomRight" state="frozen"/>
      <selection pane="topRight" activeCell="C1" sqref="C1"/>
      <selection pane="bottomLeft" activeCell="A3" sqref="A3"/>
      <selection pane="bottomRight" activeCell="AS12" sqref="AS12"/>
    </sheetView>
  </sheetViews>
  <sheetFormatPr defaultRowHeight="12.75" x14ac:dyDescent="0.2"/>
  <cols>
    <col min="1" max="1" width="5" bestFit="1" customWidth="1"/>
    <col min="2" max="2" width="25" customWidth="1"/>
    <col min="3" max="4" width="9.140625" style="2"/>
    <col min="5" max="5" width="10.140625" style="2" bestFit="1" customWidth="1"/>
    <col min="6" max="7" width="9.140625" style="2"/>
    <col min="8" max="8" width="9.7109375" style="2" customWidth="1"/>
    <col min="9" max="9" width="10.85546875" style="2" customWidth="1"/>
    <col min="10" max="12" width="10.140625" style="2" customWidth="1"/>
    <col min="13" max="13" width="11" style="2" customWidth="1"/>
    <col min="14" max="14" width="10.140625" style="2" customWidth="1"/>
    <col min="15" max="25" width="9.140625" style="2"/>
    <col min="26" max="26" width="9.28515625" style="2" customWidth="1"/>
    <col min="27" max="28" width="9.5703125" style="2" customWidth="1"/>
    <col min="29" max="41" width="9.140625" style="2"/>
    <col min="46" max="46" width="8" customWidth="1"/>
  </cols>
  <sheetData>
    <row r="1" spans="1:43" x14ac:dyDescent="0.2">
      <c r="A1" s="20" t="s">
        <v>7</v>
      </c>
    </row>
    <row r="2" spans="1:43" x14ac:dyDescent="0.2">
      <c r="D2" s="9">
        <v>41851</v>
      </c>
      <c r="E2" s="9">
        <v>41943</v>
      </c>
      <c r="F2" s="9">
        <v>42035</v>
      </c>
      <c r="G2" s="9">
        <v>42124</v>
      </c>
      <c r="H2" s="9">
        <v>42216</v>
      </c>
      <c r="I2" s="9">
        <v>42308</v>
      </c>
      <c r="J2" s="9">
        <v>42400</v>
      </c>
      <c r="K2" s="9">
        <v>42490</v>
      </c>
      <c r="L2" s="9">
        <v>42582</v>
      </c>
      <c r="M2" s="9">
        <f>+I2+366</f>
        <v>42674</v>
      </c>
      <c r="N2" s="9">
        <f>+J2+366</f>
        <v>42766</v>
      </c>
      <c r="P2" s="9">
        <f>+Q2-365</f>
        <v>38383</v>
      </c>
      <c r="Q2" s="9">
        <f>+R2-365</f>
        <v>38748</v>
      </c>
      <c r="R2" s="9">
        <f>+S2-365</f>
        <v>39113</v>
      </c>
      <c r="S2" s="9">
        <f>+T2-366</f>
        <v>39478</v>
      </c>
      <c r="T2" s="9">
        <f t="shared" ref="T2:U2" si="0">+U2-365</f>
        <v>39844</v>
      </c>
      <c r="U2" s="9">
        <f t="shared" si="0"/>
        <v>40209</v>
      </c>
      <c r="V2" s="9">
        <f>+W2-365</f>
        <v>40574</v>
      </c>
      <c r="W2" s="9">
        <f>+X2-366</f>
        <v>40939</v>
      </c>
      <c r="X2" s="9">
        <f>+Y2-365</f>
        <v>41305</v>
      </c>
      <c r="Y2" s="9">
        <v>41670</v>
      </c>
      <c r="Z2" s="9">
        <f>+F2</f>
        <v>42035</v>
      </c>
      <c r="AA2" s="9">
        <f>+J2</f>
        <v>42400</v>
      </c>
      <c r="AB2" s="9">
        <f>+N2</f>
        <v>42766</v>
      </c>
      <c r="AC2" s="9">
        <f>+AB2+365</f>
        <v>43131</v>
      </c>
      <c r="AD2" s="9">
        <f t="shared" ref="AD2:AQ2" si="1">+AC2+365</f>
        <v>43496</v>
      </c>
      <c r="AE2" s="9">
        <f t="shared" si="1"/>
        <v>43861</v>
      </c>
      <c r="AF2" s="9">
        <f t="shared" si="1"/>
        <v>44226</v>
      </c>
      <c r="AG2" s="9">
        <f t="shared" si="1"/>
        <v>44591</v>
      </c>
      <c r="AH2" s="9">
        <f t="shared" si="1"/>
        <v>44956</v>
      </c>
      <c r="AI2" s="9">
        <f t="shared" si="1"/>
        <v>45321</v>
      </c>
      <c r="AJ2" s="9">
        <f t="shared" si="1"/>
        <v>45686</v>
      </c>
      <c r="AK2" s="9">
        <f t="shared" si="1"/>
        <v>46051</v>
      </c>
      <c r="AL2" s="9">
        <f t="shared" si="1"/>
        <v>46416</v>
      </c>
      <c r="AM2" s="9">
        <f t="shared" si="1"/>
        <v>46781</v>
      </c>
      <c r="AN2" s="9">
        <f t="shared" si="1"/>
        <v>47146</v>
      </c>
      <c r="AO2" s="9">
        <f t="shared" si="1"/>
        <v>47511</v>
      </c>
      <c r="AP2" s="9">
        <f t="shared" si="1"/>
        <v>47876</v>
      </c>
      <c r="AQ2" s="9">
        <f t="shared" si="1"/>
        <v>48241</v>
      </c>
    </row>
    <row r="3" spans="1:43" x14ac:dyDescent="0.2"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6</v>
      </c>
      <c r="I3" s="2" t="s">
        <v>15</v>
      </c>
      <c r="J3" s="2" t="s">
        <v>16</v>
      </c>
      <c r="K3" s="2" t="s">
        <v>37</v>
      </c>
      <c r="L3" s="2" t="s">
        <v>36</v>
      </c>
      <c r="M3" s="2" t="s">
        <v>40</v>
      </c>
      <c r="N3" s="2" t="s">
        <v>41</v>
      </c>
      <c r="P3" s="2">
        <v>2005</v>
      </c>
      <c r="Q3" s="2">
        <v>2006</v>
      </c>
      <c r="R3" s="2">
        <v>2007</v>
      </c>
      <c r="S3" s="2">
        <v>2008</v>
      </c>
      <c r="T3" s="2">
        <v>2009</v>
      </c>
      <c r="U3" s="2">
        <v>2010</v>
      </c>
      <c r="V3" s="2">
        <v>2011</v>
      </c>
      <c r="W3" s="2">
        <v>2012</v>
      </c>
      <c r="X3" s="2">
        <v>2013</v>
      </c>
      <c r="Y3" s="2">
        <v>2014</v>
      </c>
      <c r="Z3" s="2">
        <v>2015</v>
      </c>
      <c r="AA3" s="2">
        <v>2016</v>
      </c>
      <c r="AB3" s="2">
        <v>2017</v>
      </c>
      <c r="AC3" s="2">
        <f>+AB3+1</f>
        <v>2018</v>
      </c>
      <c r="AD3" s="2">
        <f t="shared" ref="AD3:AQ3" si="2">+AC3+1</f>
        <v>2019</v>
      </c>
      <c r="AE3" s="2">
        <f t="shared" si="2"/>
        <v>2020</v>
      </c>
      <c r="AF3" s="2">
        <f t="shared" si="2"/>
        <v>2021</v>
      </c>
      <c r="AG3" s="2">
        <f t="shared" si="2"/>
        <v>2022</v>
      </c>
      <c r="AH3" s="2">
        <f t="shared" si="2"/>
        <v>2023</v>
      </c>
      <c r="AI3" s="2">
        <f t="shared" si="2"/>
        <v>2024</v>
      </c>
      <c r="AJ3" s="2">
        <f t="shared" si="2"/>
        <v>2025</v>
      </c>
      <c r="AK3" s="2">
        <f t="shared" si="2"/>
        <v>2026</v>
      </c>
      <c r="AL3" s="2">
        <f t="shared" si="2"/>
        <v>2027</v>
      </c>
      <c r="AM3" s="2">
        <f t="shared" si="2"/>
        <v>2028</v>
      </c>
      <c r="AN3" s="2">
        <f t="shared" si="2"/>
        <v>2029</v>
      </c>
      <c r="AO3" s="2">
        <f t="shared" si="2"/>
        <v>2030</v>
      </c>
      <c r="AP3" s="2">
        <f t="shared" si="2"/>
        <v>2031</v>
      </c>
      <c r="AQ3" s="2">
        <f t="shared" si="2"/>
        <v>2032</v>
      </c>
    </row>
    <row r="4" spans="1:43" x14ac:dyDescent="0.2">
      <c r="B4" t="s">
        <v>94</v>
      </c>
      <c r="G4" s="3">
        <v>6000</v>
      </c>
      <c r="H4" s="3">
        <v>6200</v>
      </c>
      <c r="I4" s="3">
        <v>6700</v>
      </c>
      <c r="J4" s="3">
        <v>7100</v>
      </c>
      <c r="K4" s="3">
        <v>7600</v>
      </c>
      <c r="L4" s="3">
        <v>8000</v>
      </c>
      <c r="AP4" s="2"/>
      <c r="AQ4" s="2"/>
    </row>
    <row r="5" spans="1:43" x14ac:dyDescent="0.2">
      <c r="AP5" s="2"/>
      <c r="AQ5" s="2"/>
    </row>
    <row r="6" spans="1:43" s="1" customFormat="1" x14ac:dyDescent="0.2">
      <c r="B6" s="1" t="s">
        <v>8</v>
      </c>
      <c r="C6" s="3"/>
      <c r="D6" s="3">
        <v>1232.587</v>
      </c>
      <c r="E6" s="3">
        <v>1288.5129999999999</v>
      </c>
      <c r="F6" s="3">
        <v>1345.3579999999999</v>
      </c>
      <c r="G6" s="3">
        <v>1405.287</v>
      </c>
      <c r="H6" s="3">
        <v>1521.319</v>
      </c>
      <c r="I6" s="3">
        <v>1596.3330000000001</v>
      </c>
      <c r="J6" s="3">
        <v>1682.66</v>
      </c>
      <c r="K6" s="3">
        <v>1775.4929999999999</v>
      </c>
      <c r="L6" s="3">
        <v>1886.08</v>
      </c>
      <c r="M6" s="3">
        <f>+I6*1.26</f>
        <v>2011.37958</v>
      </c>
      <c r="N6" s="3">
        <f>+J6*1.26</f>
        <v>2120.1516000000001</v>
      </c>
      <c r="O6" s="3"/>
      <c r="P6" s="3">
        <v>157.977</v>
      </c>
      <c r="Q6" s="3">
        <v>280.63900000000001</v>
      </c>
      <c r="R6" s="3">
        <v>451.66</v>
      </c>
      <c r="S6" s="3">
        <v>680.58100000000002</v>
      </c>
      <c r="T6" s="3">
        <v>984.57399999999996</v>
      </c>
      <c r="U6" s="3">
        <v>1209.472</v>
      </c>
      <c r="V6" s="3">
        <v>1551.145</v>
      </c>
      <c r="W6" s="3">
        <v>2126.2339999999999</v>
      </c>
      <c r="X6" s="3">
        <v>2868.808</v>
      </c>
      <c r="Y6" s="3">
        <v>3824.5419999999999</v>
      </c>
      <c r="Z6" s="3">
        <v>5013.7640000000001</v>
      </c>
      <c r="AA6" s="3">
        <v>6205.5990000000002</v>
      </c>
      <c r="AB6" s="3">
        <f>SUM(K6:N6)</f>
        <v>7793.1041800000003</v>
      </c>
      <c r="AC6" s="3">
        <f>+AB6*1.2</f>
        <v>9351.7250160000003</v>
      </c>
      <c r="AD6" s="3">
        <f>+AC6*1.2</f>
        <v>11222.0700192</v>
      </c>
      <c r="AE6" s="3">
        <f>+AD6*1.1</f>
        <v>12344.277021120002</v>
      </c>
      <c r="AF6" s="3">
        <f>+AE6*1.1</f>
        <v>13578.704723232004</v>
      </c>
      <c r="AG6" s="3">
        <f>+AF6*1.05</f>
        <v>14257.639959393604</v>
      </c>
      <c r="AH6" s="3">
        <f>+AG6*1.05</f>
        <v>14970.521957363284</v>
      </c>
      <c r="AI6" s="3">
        <f>+AH6*1.01</f>
        <v>15120.227176936916</v>
      </c>
      <c r="AJ6" s="3">
        <f t="shared" ref="AJ6:AQ6" si="3">+AI6*1.01</f>
        <v>15271.429448706285</v>
      </c>
      <c r="AK6" s="3">
        <f t="shared" si="3"/>
        <v>15424.143743193348</v>
      </c>
      <c r="AL6" s="3">
        <f t="shared" si="3"/>
        <v>15578.385180625282</v>
      </c>
      <c r="AM6" s="3">
        <f t="shared" si="3"/>
        <v>15734.169032431535</v>
      </c>
      <c r="AN6" s="3">
        <f t="shared" si="3"/>
        <v>15891.510722755851</v>
      </c>
      <c r="AO6" s="3">
        <f t="shared" si="3"/>
        <v>16050.425829983409</v>
      </c>
      <c r="AP6" s="3">
        <f t="shared" si="3"/>
        <v>16210.930088283243</v>
      </c>
      <c r="AQ6" s="3">
        <f t="shared" si="3"/>
        <v>16373.039389166075</v>
      </c>
    </row>
    <row r="7" spans="1:43" s="1" customFormat="1" x14ac:dyDescent="0.2">
      <c r="B7" s="1" t="s">
        <v>9</v>
      </c>
      <c r="C7" s="3"/>
      <c r="D7" s="3">
        <v>85.963999999999999</v>
      </c>
      <c r="E7" s="3">
        <v>95.141999999999996</v>
      </c>
      <c r="F7" s="3">
        <v>99.25</v>
      </c>
      <c r="G7" s="3">
        <v>105.88</v>
      </c>
      <c r="H7" s="3">
        <v>113.36499999999999</v>
      </c>
      <c r="I7" s="3">
        <v>115.634</v>
      </c>
      <c r="J7" s="3">
        <v>126.738</v>
      </c>
      <c r="K7" s="3">
        <v>141.11000000000001</v>
      </c>
      <c r="L7" s="3">
        <v>150.53800000000001</v>
      </c>
      <c r="M7" s="3">
        <f>+I7*1.26</f>
        <v>145.69883999999999</v>
      </c>
      <c r="N7" s="3">
        <f>+J7*1.26</f>
        <v>159.68987999999999</v>
      </c>
      <c r="O7" s="3"/>
      <c r="P7" s="3">
        <v>18.398</v>
      </c>
      <c r="Q7" s="3">
        <v>29.218</v>
      </c>
      <c r="R7" s="3">
        <v>45.438000000000002</v>
      </c>
      <c r="S7" s="3">
        <v>68.119</v>
      </c>
      <c r="T7" s="3">
        <v>92.194999999999993</v>
      </c>
      <c r="U7" s="3">
        <v>96.111000000000004</v>
      </c>
      <c r="V7" s="3">
        <v>105.994</v>
      </c>
      <c r="W7" s="3">
        <v>140.30500000000001</v>
      </c>
      <c r="X7" s="3">
        <v>181.387</v>
      </c>
      <c r="Y7" s="3">
        <v>246.46100000000001</v>
      </c>
      <c r="Z7" s="3">
        <v>359.822</v>
      </c>
      <c r="AA7" s="3">
        <v>461.61700000000002</v>
      </c>
      <c r="AB7" s="3">
        <f>SUM(K7:N7)</f>
        <v>597.03672000000006</v>
      </c>
      <c r="AC7" s="3">
        <f>+AB7*1.25</f>
        <v>746.29590000000007</v>
      </c>
      <c r="AD7" s="3">
        <f>+AC7*1.25</f>
        <v>932.86987500000009</v>
      </c>
      <c r="AE7" s="3">
        <f t="shared" ref="AE7" si="4">+AD7*1.2</f>
        <v>1119.4438500000001</v>
      </c>
      <c r="AF7" s="3">
        <f t="shared" ref="AF7:AH7" si="5">+AE7*1.1</f>
        <v>1231.3882350000001</v>
      </c>
      <c r="AG7" s="3">
        <f t="shared" si="5"/>
        <v>1354.5270585000003</v>
      </c>
      <c r="AH7" s="3">
        <f t="shared" si="5"/>
        <v>1489.9797643500006</v>
      </c>
      <c r="AI7" s="3">
        <f t="shared" ref="AI7:AQ7" si="6">+AH7*1.01</f>
        <v>1504.8795619935006</v>
      </c>
      <c r="AJ7" s="3">
        <f t="shared" si="6"/>
        <v>1519.9283576134355</v>
      </c>
      <c r="AK7" s="3">
        <f t="shared" si="6"/>
        <v>1535.1276411895699</v>
      </c>
      <c r="AL7" s="3">
        <f t="shared" si="6"/>
        <v>1550.4789176014656</v>
      </c>
      <c r="AM7" s="3">
        <f t="shared" si="6"/>
        <v>1565.9837067774802</v>
      </c>
      <c r="AN7" s="3">
        <f t="shared" si="6"/>
        <v>1581.643543845255</v>
      </c>
      <c r="AO7" s="3">
        <f t="shared" si="6"/>
        <v>1597.4599792837075</v>
      </c>
      <c r="AP7" s="3">
        <f t="shared" si="6"/>
        <v>1613.4345790765447</v>
      </c>
      <c r="AQ7" s="3">
        <f t="shared" si="6"/>
        <v>1629.5689248673102</v>
      </c>
    </row>
    <row r="8" spans="1:43" s="4" customFormat="1" x14ac:dyDescent="0.2">
      <c r="B8" s="4" t="s">
        <v>17</v>
      </c>
      <c r="C8" s="5"/>
      <c r="D8" s="5">
        <f t="shared" ref="D8:L8" si="7">+D7+D6</f>
        <v>1318.5509999999999</v>
      </c>
      <c r="E8" s="5">
        <f t="shared" si="7"/>
        <v>1383.655</v>
      </c>
      <c r="F8" s="5">
        <f t="shared" si="7"/>
        <v>1444.6079999999999</v>
      </c>
      <c r="G8" s="5">
        <f t="shared" si="7"/>
        <v>1511.1669999999999</v>
      </c>
      <c r="H8" s="5">
        <f t="shared" si="7"/>
        <v>1634.684</v>
      </c>
      <c r="I8" s="5">
        <f t="shared" si="7"/>
        <v>1711.9670000000001</v>
      </c>
      <c r="J8" s="5">
        <f t="shared" si="7"/>
        <v>1809.3980000000001</v>
      </c>
      <c r="K8" s="5">
        <f t="shared" si="7"/>
        <v>1916.6030000000001</v>
      </c>
      <c r="L8" s="5">
        <f t="shared" si="7"/>
        <v>2036.6179999999999</v>
      </c>
      <c r="M8" s="5">
        <f>+M6+M7</f>
        <v>2157.0784199999998</v>
      </c>
      <c r="N8" s="5">
        <f>+N7+N6</f>
        <v>2279.84148</v>
      </c>
      <c r="O8" s="5"/>
      <c r="P8" s="5">
        <f>+P6+P7</f>
        <v>176.375</v>
      </c>
      <c r="Q8" s="5">
        <f t="shared" ref="Q8:S8" si="8">+Q6+Q7</f>
        <v>309.85700000000003</v>
      </c>
      <c r="R8" s="5">
        <f t="shared" si="8"/>
        <v>497.09800000000001</v>
      </c>
      <c r="S8" s="5">
        <f t="shared" si="8"/>
        <v>748.7</v>
      </c>
      <c r="T8" s="5">
        <f>+T6+T7</f>
        <v>1076.769</v>
      </c>
      <c r="U8" s="5">
        <f t="shared" ref="U8:V8" si="9">+U6+U7</f>
        <v>1305.5830000000001</v>
      </c>
      <c r="V8" s="5">
        <f t="shared" si="9"/>
        <v>1657.1389999999999</v>
      </c>
      <c r="W8" s="5">
        <f t="shared" ref="W8:AC8" si="10">+W7+W6</f>
        <v>2266.5389999999998</v>
      </c>
      <c r="X8" s="5">
        <f t="shared" si="10"/>
        <v>3050.1950000000002</v>
      </c>
      <c r="Y8" s="5">
        <f t="shared" si="10"/>
        <v>4071.0029999999997</v>
      </c>
      <c r="Z8" s="5">
        <f t="shared" si="10"/>
        <v>5373.5860000000002</v>
      </c>
      <c r="AA8" s="5">
        <f t="shared" si="10"/>
        <v>6667.2160000000003</v>
      </c>
      <c r="AB8" s="5">
        <f t="shared" si="10"/>
        <v>8390.1409000000003</v>
      </c>
      <c r="AC8" s="5">
        <f t="shared" si="10"/>
        <v>10098.020916000001</v>
      </c>
      <c r="AD8" s="5">
        <f t="shared" ref="AD8:AQ8" si="11">+AD7+AD6</f>
        <v>12154.939894200001</v>
      </c>
      <c r="AE8" s="5">
        <f t="shared" si="11"/>
        <v>13463.720871120002</v>
      </c>
      <c r="AF8" s="5">
        <f t="shared" si="11"/>
        <v>14810.092958232004</v>
      </c>
      <c r="AG8" s="5">
        <f t="shared" si="11"/>
        <v>15612.167017893604</v>
      </c>
      <c r="AH8" s="5">
        <f t="shared" si="11"/>
        <v>16460.501721713284</v>
      </c>
      <c r="AI8" s="5">
        <f t="shared" si="11"/>
        <v>16625.106738930415</v>
      </c>
      <c r="AJ8" s="5">
        <f t="shared" si="11"/>
        <v>16791.35780631972</v>
      </c>
      <c r="AK8" s="5">
        <f t="shared" si="11"/>
        <v>16959.271384382919</v>
      </c>
      <c r="AL8" s="5">
        <f t="shared" si="11"/>
        <v>17128.864098226746</v>
      </c>
      <c r="AM8" s="5">
        <f t="shared" si="11"/>
        <v>17300.152739209014</v>
      </c>
      <c r="AN8" s="5">
        <f t="shared" si="11"/>
        <v>17473.154266601105</v>
      </c>
      <c r="AO8" s="5">
        <f t="shared" si="11"/>
        <v>17647.885809267118</v>
      </c>
      <c r="AP8" s="5">
        <f t="shared" si="11"/>
        <v>17824.364667359787</v>
      </c>
      <c r="AQ8" s="5">
        <f t="shared" si="11"/>
        <v>18002.608314033387</v>
      </c>
    </row>
    <row r="9" spans="1:43" s="1" customFormat="1" x14ac:dyDescent="0.2">
      <c r="B9" s="1" t="s">
        <v>20</v>
      </c>
      <c r="C9" s="3"/>
      <c r="D9" s="3">
        <v>307.83100000000002</v>
      </c>
      <c r="E9" s="3">
        <v>333.21100000000001</v>
      </c>
      <c r="F9" s="3">
        <v>355.923</v>
      </c>
      <c r="G9" s="3">
        <v>381.80200000000002</v>
      </c>
      <c r="H9" s="3">
        <f>292.737+112.647</f>
        <v>405.38400000000001</v>
      </c>
      <c r="I9" s="3">
        <v>423.68299999999999</v>
      </c>
      <c r="J9" s="3">
        <v>443.67899999999997</v>
      </c>
      <c r="K9" s="3">
        <v>496.98099999999999</v>
      </c>
      <c r="L9" s="3">
        <v>525.57899999999995</v>
      </c>
      <c r="M9" s="3">
        <f>+M8-M10</f>
        <v>560.84038919999989</v>
      </c>
      <c r="N9" s="3">
        <f t="shared" ref="N9" si="12">+N8-N10</f>
        <v>592.75878480000006</v>
      </c>
      <c r="O9" s="3"/>
      <c r="P9" s="3">
        <v>33.454000000000001</v>
      </c>
      <c r="Q9" s="3">
        <v>69.126000000000005</v>
      </c>
      <c r="R9" s="3"/>
      <c r="S9" s="3"/>
      <c r="T9" s="3"/>
      <c r="U9" s="3"/>
      <c r="V9" s="3"/>
      <c r="W9" s="3">
        <v>488.88600000000002</v>
      </c>
      <c r="X9" s="3">
        <v>683.57899999999995</v>
      </c>
      <c r="Y9" s="3">
        <v>968.428</v>
      </c>
      <c r="Z9" s="3">
        <v>1289.27</v>
      </c>
      <c r="AA9" s="3">
        <v>1654.548</v>
      </c>
      <c r="AB9" s="3">
        <f>SUM(K9:N9)</f>
        <v>2176.1591739999999</v>
      </c>
      <c r="AC9" s="3">
        <f>+AC8-AC10</f>
        <v>2524.5052290000003</v>
      </c>
      <c r="AD9" s="3">
        <f t="shared" ref="AD9:AE9" si="13">+AD8-AD10</f>
        <v>2917.185574608</v>
      </c>
      <c r="AE9" s="3">
        <f t="shared" si="13"/>
        <v>3096.655800357601</v>
      </c>
      <c r="AF9" s="3">
        <f t="shared" ref="AF9" si="14">+AF8-AF10</f>
        <v>3406.3213803933613</v>
      </c>
      <c r="AG9" s="3">
        <f t="shared" ref="AG9" si="15">+AG8-AG10</f>
        <v>3590.7984141155284</v>
      </c>
      <c r="AH9" s="3">
        <f t="shared" ref="AH9" si="16">+AH8-AH10</f>
        <v>3785.9153959940559</v>
      </c>
      <c r="AI9" s="3">
        <f t="shared" ref="AI9" si="17">+AI8-AI10</f>
        <v>3823.774549953996</v>
      </c>
      <c r="AJ9" s="3">
        <f t="shared" ref="AJ9" si="18">+AJ8-AJ10</f>
        <v>3862.0122954535345</v>
      </c>
      <c r="AK9" s="3">
        <f t="shared" ref="AK9" si="19">+AK8-AK10</f>
        <v>3900.6324184080713</v>
      </c>
      <c r="AL9" s="3">
        <f t="shared" ref="AL9" si="20">+AL8-AL10</f>
        <v>3939.6387425921512</v>
      </c>
      <c r="AM9" s="3">
        <f t="shared" ref="AM9" si="21">+AM8-AM10</f>
        <v>3979.0351300180737</v>
      </c>
      <c r="AN9" s="3">
        <f t="shared" ref="AN9" si="22">+AN8-AN10</f>
        <v>4018.8254813182539</v>
      </c>
      <c r="AO9" s="3">
        <f t="shared" ref="AO9" si="23">+AO8-AO10</f>
        <v>4059.0137361314373</v>
      </c>
      <c r="AP9" s="3">
        <f t="shared" ref="AP9" si="24">+AP8-AP10</f>
        <v>4099.6038734927515</v>
      </c>
      <c r="AQ9" s="3">
        <f t="shared" ref="AQ9" si="25">+AQ8-AQ10</f>
        <v>4140.5999122276789</v>
      </c>
    </row>
    <row r="10" spans="1:43" s="1" customFormat="1" x14ac:dyDescent="0.2">
      <c r="B10" s="1" t="s">
        <v>21</v>
      </c>
      <c r="C10" s="3"/>
      <c r="D10" s="3">
        <f t="shared" ref="D10:L10" si="26">+D8-D9</f>
        <v>1010.7199999999999</v>
      </c>
      <c r="E10" s="3">
        <f t="shared" si="26"/>
        <v>1050.444</v>
      </c>
      <c r="F10" s="3">
        <f t="shared" si="26"/>
        <v>1088.6849999999999</v>
      </c>
      <c r="G10" s="3">
        <f t="shared" si="26"/>
        <v>1129.3649999999998</v>
      </c>
      <c r="H10" s="3">
        <f t="shared" si="26"/>
        <v>1229.3</v>
      </c>
      <c r="I10" s="3">
        <f t="shared" si="26"/>
        <v>1288.2840000000001</v>
      </c>
      <c r="J10" s="3">
        <f t="shared" si="26"/>
        <v>1365.7190000000001</v>
      </c>
      <c r="K10" s="3">
        <f t="shared" si="26"/>
        <v>1419.6220000000001</v>
      </c>
      <c r="L10" s="3">
        <f t="shared" si="26"/>
        <v>1511.039</v>
      </c>
      <c r="M10" s="3">
        <f>+M8*0.74</f>
        <v>1596.2380307999999</v>
      </c>
      <c r="N10" s="3">
        <f t="shared" ref="N10" si="27">+N8*0.74</f>
        <v>1687.0826952</v>
      </c>
      <c r="O10" s="3"/>
      <c r="P10" s="3">
        <f>+P8-P9</f>
        <v>142.92099999999999</v>
      </c>
      <c r="Q10" s="3">
        <f>+Q8-Q9</f>
        <v>240.73100000000002</v>
      </c>
      <c r="R10" s="3"/>
      <c r="S10" s="3"/>
      <c r="T10" s="3"/>
      <c r="U10" s="3"/>
      <c r="V10" s="3"/>
      <c r="W10" s="3">
        <f t="shared" ref="W10:Y10" si="28">+W8-W9</f>
        <v>1777.6529999999998</v>
      </c>
      <c r="X10" s="3">
        <f t="shared" si="28"/>
        <v>2366.616</v>
      </c>
      <c r="Y10" s="3">
        <f t="shared" si="28"/>
        <v>3102.5749999999998</v>
      </c>
      <c r="Z10" s="3">
        <f t="shared" ref="Z10" si="29">+Z8-Z9</f>
        <v>4084.3160000000003</v>
      </c>
      <c r="AA10" s="3">
        <f>+AA8-AA9</f>
        <v>5012.6680000000006</v>
      </c>
      <c r="AB10" s="3">
        <f>+AB8-AB9</f>
        <v>6213.981726</v>
      </c>
      <c r="AC10" s="3">
        <f>+AC8*0.75</f>
        <v>7573.515687000001</v>
      </c>
      <c r="AD10" s="3">
        <f>+AD8*0.76</f>
        <v>9237.7543195920007</v>
      </c>
      <c r="AE10" s="3">
        <f>+AE8*0.77</f>
        <v>10367.065070762401</v>
      </c>
      <c r="AF10" s="3">
        <f t="shared" ref="AF10:AQ10" si="30">+AF8*0.77</f>
        <v>11403.771577838643</v>
      </c>
      <c r="AG10" s="3">
        <f t="shared" si="30"/>
        <v>12021.368603778075</v>
      </c>
      <c r="AH10" s="3">
        <f t="shared" si="30"/>
        <v>12674.586325719229</v>
      </c>
      <c r="AI10" s="3">
        <f t="shared" si="30"/>
        <v>12801.332188976419</v>
      </c>
      <c r="AJ10" s="3">
        <f t="shared" si="30"/>
        <v>12929.345510866186</v>
      </c>
      <c r="AK10" s="3">
        <f t="shared" si="30"/>
        <v>13058.638965974847</v>
      </c>
      <c r="AL10" s="3">
        <f t="shared" si="30"/>
        <v>13189.225355634595</v>
      </c>
      <c r="AM10" s="3">
        <f t="shared" si="30"/>
        <v>13321.11760919094</v>
      </c>
      <c r="AN10" s="3">
        <f t="shared" si="30"/>
        <v>13454.328785282851</v>
      </c>
      <c r="AO10" s="3">
        <f t="shared" si="30"/>
        <v>13588.872073135681</v>
      </c>
      <c r="AP10" s="3">
        <f t="shared" si="30"/>
        <v>13724.760793867035</v>
      </c>
      <c r="AQ10" s="3">
        <f t="shared" si="30"/>
        <v>13862.008401805708</v>
      </c>
    </row>
    <row r="11" spans="1:43" s="1" customFormat="1" x14ac:dyDescent="0.2">
      <c r="B11" s="1" t="s">
        <v>22</v>
      </c>
      <c r="C11" s="3"/>
      <c r="D11" s="3">
        <v>671.95799999999997</v>
      </c>
      <c r="E11" s="3">
        <v>709.64300000000003</v>
      </c>
      <c r="F11" s="3">
        <v>736.14</v>
      </c>
      <c r="G11" s="3">
        <v>736.93799999999999</v>
      </c>
      <c r="H11" s="3">
        <v>793.69100000000003</v>
      </c>
      <c r="I11" s="3">
        <v>818.82</v>
      </c>
      <c r="J11" s="3">
        <v>890.375</v>
      </c>
      <c r="K11" s="3">
        <v>895.86</v>
      </c>
      <c r="L11" s="3">
        <v>934.93100000000004</v>
      </c>
      <c r="M11" s="3">
        <f>+I11*1.2</f>
        <v>982.58400000000006</v>
      </c>
      <c r="N11" s="3">
        <f t="shared" ref="N11:N13" si="31">+J11*1.2</f>
        <v>1068.45</v>
      </c>
      <c r="O11" s="3"/>
      <c r="P11" s="3">
        <v>96.311000000000007</v>
      </c>
      <c r="Q11" s="3">
        <v>149.59800000000001</v>
      </c>
      <c r="R11" s="3"/>
      <c r="S11" s="3"/>
      <c r="T11" s="3"/>
      <c r="U11" s="3"/>
      <c r="V11" s="3"/>
      <c r="W11" s="3">
        <v>1169.6099999999999</v>
      </c>
      <c r="X11" s="3">
        <v>1614.0260000000001</v>
      </c>
      <c r="Y11" s="3">
        <v>2168.1320000000001</v>
      </c>
      <c r="Z11" s="3">
        <v>2757.096</v>
      </c>
      <c r="AA11" s="3">
        <v>3239.8240000000001</v>
      </c>
      <c r="AB11" s="3">
        <f>SUM(K11:N11)</f>
        <v>3881.8249999999998</v>
      </c>
      <c r="AC11" s="3">
        <f>+AB11*1.1</f>
        <v>4270.0074999999997</v>
      </c>
      <c r="AD11" s="3">
        <f t="shared" ref="AD11:AE11" si="32">+AC11*1.1</f>
        <v>4697.0082499999999</v>
      </c>
      <c r="AE11" s="3">
        <f t="shared" si="32"/>
        <v>5166.7090750000007</v>
      </c>
      <c r="AF11" s="3">
        <f>+AE11*1.05</f>
        <v>5425.0445287500006</v>
      </c>
      <c r="AG11" s="3">
        <f t="shared" ref="AG11:AH11" si="33">+AF11*1.05</f>
        <v>5696.2967551875008</v>
      </c>
      <c r="AH11" s="3">
        <f t="shared" si="33"/>
        <v>5981.111592946876</v>
      </c>
      <c r="AI11" s="3">
        <f>+AH11*1.01</f>
        <v>6040.9227088763446</v>
      </c>
      <c r="AJ11" s="3">
        <f t="shared" ref="AJ11:AQ11" si="34">+AI11*1.01</f>
        <v>6101.3319359651077</v>
      </c>
      <c r="AK11" s="3">
        <f t="shared" si="34"/>
        <v>6162.3452553247589</v>
      </c>
      <c r="AL11" s="3">
        <f t="shared" si="34"/>
        <v>6223.9687078780062</v>
      </c>
      <c r="AM11" s="3">
        <f t="shared" si="34"/>
        <v>6286.2083949567859</v>
      </c>
      <c r="AN11" s="3">
        <f t="shared" si="34"/>
        <v>6349.0704789063539</v>
      </c>
      <c r="AO11" s="3">
        <f t="shared" si="34"/>
        <v>6412.5611836954176</v>
      </c>
      <c r="AP11" s="3">
        <f t="shared" si="34"/>
        <v>6476.6867955323714</v>
      </c>
      <c r="AQ11" s="3">
        <f t="shared" si="34"/>
        <v>6541.4536634876949</v>
      </c>
    </row>
    <row r="12" spans="1:43" s="1" customFormat="1" x14ac:dyDescent="0.2">
      <c r="B12" s="1" t="s">
        <v>23</v>
      </c>
      <c r="C12" s="3"/>
      <c r="D12" s="3">
        <v>203.10900000000001</v>
      </c>
      <c r="E12" s="3">
        <v>195.46</v>
      </c>
      <c r="F12" s="3">
        <v>205.99</v>
      </c>
      <c r="G12" s="3">
        <v>222.12799999999999</v>
      </c>
      <c r="H12" s="3">
        <v>234.1</v>
      </c>
      <c r="I12" s="3">
        <v>239.21199999999999</v>
      </c>
      <c r="J12" s="3">
        <v>250.86</v>
      </c>
      <c r="K12" s="3">
        <v>260.97000000000003</v>
      </c>
      <c r="L12" s="3">
        <v>291.50599999999997</v>
      </c>
      <c r="M12" s="3">
        <f t="shared" ref="M12:M13" si="35">+I12*1.2</f>
        <v>287.05439999999999</v>
      </c>
      <c r="N12" s="3">
        <f>+J12*1.15</f>
        <v>288.48899999999998</v>
      </c>
      <c r="O12" s="3"/>
      <c r="P12" s="3">
        <v>9.8219999999999992</v>
      </c>
      <c r="Q12" s="3">
        <v>23.33</v>
      </c>
      <c r="R12" s="3"/>
      <c r="S12" s="3"/>
      <c r="T12" s="3"/>
      <c r="U12" s="3"/>
      <c r="V12" s="3"/>
      <c r="W12" s="3">
        <v>295.34699999999998</v>
      </c>
      <c r="X12" s="3">
        <v>429.47899999999998</v>
      </c>
      <c r="Y12" s="3">
        <v>623.798</v>
      </c>
      <c r="Z12" s="3">
        <v>792.91700000000003</v>
      </c>
      <c r="AA12" s="3">
        <v>946.3</v>
      </c>
      <c r="AB12" s="3">
        <f>SUM(K12:N12)</f>
        <v>1128.0193999999999</v>
      </c>
      <c r="AC12" s="3">
        <f>+AB12*0.5</f>
        <v>564.00969999999995</v>
      </c>
      <c r="AD12" s="3">
        <f>+AC12*1.01</f>
        <v>569.64979699999992</v>
      </c>
      <c r="AE12" s="3">
        <f t="shared" ref="AE12:AQ12" si="36">+AD12*1.01</f>
        <v>575.34629496999992</v>
      </c>
      <c r="AF12" s="3">
        <f t="shared" si="36"/>
        <v>581.09975791969987</v>
      </c>
      <c r="AG12" s="3">
        <f t="shared" si="36"/>
        <v>586.91075549889683</v>
      </c>
      <c r="AH12" s="3">
        <f t="shared" si="36"/>
        <v>592.77986305388583</v>
      </c>
      <c r="AI12" s="3">
        <f t="shared" si="36"/>
        <v>598.70766168442469</v>
      </c>
      <c r="AJ12" s="3">
        <f t="shared" si="36"/>
        <v>604.6947383012689</v>
      </c>
      <c r="AK12" s="3">
        <f t="shared" si="36"/>
        <v>610.74168568428161</v>
      </c>
      <c r="AL12" s="3">
        <f t="shared" si="36"/>
        <v>616.84910254112447</v>
      </c>
      <c r="AM12" s="3">
        <f t="shared" si="36"/>
        <v>623.01759356653577</v>
      </c>
      <c r="AN12" s="3">
        <f t="shared" si="36"/>
        <v>629.24776950220109</v>
      </c>
      <c r="AO12" s="3">
        <f t="shared" si="36"/>
        <v>635.54024719722315</v>
      </c>
      <c r="AP12" s="3">
        <f t="shared" si="36"/>
        <v>641.89564966919534</v>
      </c>
      <c r="AQ12" s="3">
        <f t="shared" si="36"/>
        <v>648.31460616588731</v>
      </c>
    </row>
    <row r="13" spans="1:43" s="1" customFormat="1" x14ac:dyDescent="0.2">
      <c r="B13" s="1" t="s">
        <v>24</v>
      </c>
      <c r="C13" s="3"/>
      <c r="D13" s="3">
        <v>169.08699999999999</v>
      </c>
      <c r="E13" s="3">
        <v>167.38300000000001</v>
      </c>
      <c r="F13" s="3">
        <v>181.37100000000001</v>
      </c>
      <c r="G13" s="3">
        <v>175.81100000000001</v>
      </c>
      <c r="H13" s="3">
        <v>181.685</v>
      </c>
      <c r="I13" s="3">
        <v>186.81800000000001</v>
      </c>
      <c r="J13" s="3">
        <v>203.92400000000001</v>
      </c>
      <c r="K13" s="3">
        <v>210.80600000000001</v>
      </c>
      <c r="L13" s="3">
        <v>252.05099999999999</v>
      </c>
      <c r="M13" s="3">
        <f t="shared" si="35"/>
        <v>224.1816</v>
      </c>
      <c r="N13" s="3">
        <f t="shared" si="31"/>
        <v>244.7088</v>
      </c>
      <c r="O13" s="3"/>
      <c r="P13" s="3">
        <v>30.268000000000001</v>
      </c>
      <c r="Q13" s="3">
        <v>47.985999999999997</v>
      </c>
      <c r="R13" s="3"/>
      <c r="S13" s="3"/>
      <c r="T13" s="3"/>
      <c r="U13" s="3"/>
      <c r="V13" s="3"/>
      <c r="W13" s="3">
        <v>347.78100000000001</v>
      </c>
      <c r="X13" s="3">
        <v>433.82100000000003</v>
      </c>
      <c r="Y13" s="3">
        <v>596.71900000000005</v>
      </c>
      <c r="Z13" s="3">
        <v>679.93600000000004</v>
      </c>
      <c r="AA13" s="3">
        <v>748.23800000000006</v>
      </c>
      <c r="AB13" s="3">
        <f>SUM(K13:N13)</f>
        <v>931.74739999999997</v>
      </c>
      <c r="AC13" s="3">
        <f>+AB13*1.01</f>
        <v>941.06487400000003</v>
      </c>
      <c r="AD13" s="3">
        <f t="shared" ref="AD13:AQ13" si="37">+AC13*1.01</f>
        <v>950.47552274000009</v>
      </c>
      <c r="AE13" s="3">
        <f t="shared" si="37"/>
        <v>959.98027796740007</v>
      </c>
      <c r="AF13" s="3">
        <f t="shared" si="37"/>
        <v>969.58008074707413</v>
      </c>
      <c r="AG13" s="3">
        <f t="shared" si="37"/>
        <v>979.27588155454487</v>
      </c>
      <c r="AH13" s="3">
        <f t="shared" si="37"/>
        <v>989.06864037009029</v>
      </c>
      <c r="AI13" s="3">
        <f t="shared" si="37"/>
        <v>998.95932677379119</v>
      </c>
      <c r="AJ13" s="3">
        <f t="shared" si="37"/>
        <v>1008.9489200415292</v>
      </c>
      <c r="AK13" s="3">
        <f t="shared" si="37"/>
        <v>1019.0384092419445</v>
      </c>
      <c r="AL13" s="3">
        <f t="shared" si="37"/>
        <v>1029.2287933343639</v>
      </c>
      <c r="AM13" s="3">
        <f t="shared" si="37"/>
        <v>1039.5210812677076</v>
      </c>
      <c r="AN13" s="3">
        <f t="shared" si="37"/>
        <v>1049.9162920803847</v>
      </c>
      <c r="AO13" s="3">
        <f t="shared" si="37"/>
        <v>1060.4154550011885</v>
      </c>
      <c r="AP13" s="3">
        <f t="shared" si="37"/>
        <v>1071.0196095512003</v>
      </c>
      <c r="AQ13" s="3">
        <f t="shared" si="37"/>
        <v>1081.7298056467123</v>
      </c>
    </row>
    <row r="14" spans="1:43" s="1" customFormat="1" x14ac:dyDescent="0.2">
      <c r="B14" s="1" t="s">
        <v>26</v>
      </c>
      <c r="C14" s="3"/>
      <c r="D14" s="3">
        <f t="shared" ref="D14" si="38">SUM(D11:D13)</f>
        <v>1044.154</v>
      </c>
      <c r="E14" s="3">
        <f t="shared" ref="E14:M14" si="39">SUM(E11:E13)</f>
        <v>1072.4860000000001</v>
      </c>
      <c r="F14" s="3">
        <f t="shared" si="39"/>
        <v>1123.501</v>
      </c>
      <c r="G14" s="3">
        <f t="shared" si="39"/>
        <v>1134.877</v>
      </c>
      <c r="H14" s="3">
        <f t="shared" si="39"/>
        <v>1209.4759999999999</v>
      </c>
      <c r="I14" s="3">
        <f t="shared" si="39"/>
        <v>1244.8500000000001</v>
      </c>
      <c r="J14" s="3">
        <f t="shared" si="39"/>
        <v>1345.1590000000001</v>
      </c>
      <c r="K14" s="3">
        <f t="shared" si="39"/>
        <v>1367.636</v>
      </c>
      <c r="L14" s="3">
        <f t="shared" si="39"/>
        <v>1478.4879999999998</v>
      </c>
      <c r="M14" s="3">
        <f t="shared" si="39"/>
        <v>1493.8200000000002</v>
      </c>
      <c r="N14" s="3">
        <f t="shared" ref="N14" si="40">SUM(N11:N13)</f>
        <v>1601.6478000000002</v>
      </c>
      <c r="O14" s="3"/>
      <c r="P14" s="3">
        <f t="shared" ref="P14" si="41">SUM(P11:P13)</f>
        <v>136.40100000000001</v>
      </c>
      <c r="Q14" s="3">
        <f>SUM(Q11:Q13)</f>
        <v>220.91399999999999</v>
      </c>
      <c r="R14" s="3">
        <f t="shared" ref="R14:W14" si="42">SUM(R11:R13)</f>
        <v>0</v>
      </c>
      <c r="S14" s="3">
        <f t="shared" si="42"/>
        <v>0</v>
      </c>
      <c r="T14" s="3">
        <f t="shared" si="42"/>
        <v>0</v>
      </c>
      <c r="U14" s="3">
        <f t="shared" si="42"/>
        <v>0</v>
      </c>
      <c r="V14" s="3">
        <f t="shared" si="42"/>
        <v>0</v>
      </c>
      <c r="W14" s="3">
        <f t="shared" si="42"/>
        <v>1812.7379999999998</v>
      </c>
      <c r="X14" s="3">
        <f t="shared" ref="X14" si="43">SUM(X11:X13)</f>
        <v>2477.326</v>
      </c>
      <c r="Y14" s="3">
        <f t="shared" ref="Y14" si="44">SUM(Y11:Y13)</f>
        <v>3388.6490000000003</v>
      </c>
      <c r="Z14" s="3">
        <f t="shared" ref="Z14" si="45">SUM(Z11:Z13)</f>
        <v>4229.9489999999996</v>
      </c>
      <c r="AA14" s="3">
        <f t="shared" ref="AA14:AB14" si="46">SUM(AA11:AA13)</f>
        <v>4934.3620000000001</v>
      </c>
      <c r="AB14" s="3">
        <f t="shared" si="46"/>
        <v>5941.5918000000001</v>
      </c>
      <c r="AC14" s="3">
        <f t="shared" ref="AC14" si="47">SUM(AC11:AC13)</f>
        <v>5775.082073999999</v>
      </c>
      <c r="AD14" s="3">
        <f t="shared" ref="AD14" si="48">SUM(AD11:AD13)</f>
        <v>6217.13356974</v>
      </c>
      <c r="AE14" s="3">
        <f t="shared" ref="AE14" si="49">SUM(AE11:AE13)</f>
        <v>6702.0356479374004</v>
      </c>
      <c r="AF14" s="3">
        <f t="shared" ref="AF14" si="50">SUM(AF11:AF13)</f>
        <v>6975.7243674167748</v>
      </c>
      <c r="AG14" s="3">
        <f t="shared" ref="AG14" si="51">SUM(AG11:AG13)</f>
        <v>7262.4833922409425</v>
      </c>
      <c r="AH14" s="3">
        <f t="shared" ref="AH14" si="52">SUM(AH11:AH13)</f>
        <v>7562.9600963708517</v>
      </c>
      <c r="AI14" s="3">
        <f t="shared" ref="AI14" si="53">SUM(AI11:AI13)</f>
        <v>7638.5896973345607</v>
      </c>
      <c r="AJ14" s="3">
        <f t="shared" ref="AJ14" si="54">SUM(AJ11:AJ13)</f>
        <v>7714.9755943079062</v>
      </c>
      <c r="AK14" s="3">
        <f t="shared" ref="AK14" si="55">SUM(AK11:AK13)</f>
        <v>7792.1253502509853</v>
      </c>
      <c r="AL14" s="3">
        <f t="shared" ref="AL14" si="56">SUM(AL11:AL13)</f>
        <v>7870.0466037534943</v>
      </c>
      <c r="AM14" s="3">
        <f t="shared" ref="AM14" si="57">SUM(AM11:AM13)</f>
        <v>7948.7470697910294</v>
      </c>
      <c r="AN14" s="3">
        <f t="shared" ref="AN14" si="58">SUM(AN11:AN13)</f>
        <v>8028.2345404889393</v>
      </c>
      <c r="AO14" s="3">
        <f t="shared" ref="AO14" si="59">SUM(AO11:AO13)</f>
        <v>8108.5168858938287</v>
      </c>
      <c r="AP14" s="3">
        <f t="shared" ref="AP14" si="60">SUM(AP11:AP13)</f>
        <v>8189.6020547527669</v>
      </c>
      <c r="AQ14" s="3">
        <f t="shared" ref="AQ14" si="61">SUM(AQ11:AQ13)</f>
        <v>8271.4980753002947</v>
      </c>
    </row>
    <row r="15" spans="1:43" s="1" customFormat="1" x14ac:dyDescent="0.2">
      <c r="B15" s="1" t="s">
        <v>27</v>
      </c>
      <c r="C15" s="3"/>
      <c r="D15" s="3">
        <f t="shared" ref="D15" si="62">D10-D14</f>
        <v>-33.434000000000083</v>
      </c>
      <c r="E15" s="3">
        <f t="shared" ref="E15:M15" si="63">E10-E14</f>
        <v>-22.042000000000144</v>
      </c>
      <c r="F15" s="3">
        <f t="shared" si="63"/>
        <v>-34.816000000000031</v>
      </c>
      <c r="G15" s="3">
        <f t="shared" si="63"/>
        <v>-5.512000000000171</v>
      </c>
      <c r="H15" s="3">
        <f t="shared" si="63"/>
        <v>19.824000000000069</v>
      </c>
      <c r="I15" s="3">
        <f t="shared" si="63"/>
        <v>43.433999999999969</v>
      </c>
      <c r="J15" s="3">
        <f t="shared" si="63"/>
        <v>20.559999999999945</v>
      </c>
      <c r="K15" s="3">
        <f t="shared" si="63"/>
        <v>51.986000000000104</v>
      </c>
      <c r="L15" s="3">
        <f t="shared" si="63"/>
        <v>32.551000000000158</v>
      </c>
      <c r="M15" s="3">
        <f t="shared" si="63"/>
        <v>102.41803079999977</v>
      </c>
      <c r="N15" s="3">
        <f t="shared" ref="N15" si="64">N10-N14</f>
        <v>85.434895199999801</v>
      </c>
      <c r="O15" s="3"/>
      <c r="P15" s="3">
        <f t="shared" ref="P15" si="65">P10-P14</f>
        <v>6.5199999999999818</v>
      </c>
      <c r="Q15" s="3">
        <f>Q10-Q14</f>
        <v>19.817000000000036</v>
      </c>
      <c r="R15" s="3">
        <f t="shared" ref="R15:W15" si="66">R10-R14</f>
        <v>0</v>
      </c>
      <c r="S15" s="3">
        <f t="shared" si="66"/>
        <v>0</v>
      </c>
      <c r="T15" s="3">
        <f t="shared" si="66"/>
        <v>0</v>
      </c>
      <c r="U15" s="3">
        <f t="shared" si="66"/>
        <v>0</v>
      </c>
      <c r="V15" s="3">
        <f t="shared" si="66"/>
        <v>0</v>
      </c>
      <c r="W15" s="3">
        <f t="shared" si="66"/>
        <v>-35.085000000000036</v>
      </c>
      <c r="X15" s="3">
        <f t="shared" ref="X15" si="67">X10-X14</f>
        <v>-110.71000000000004</v>
      </c>
      <c r="Y15" s="3">
        <f t="shared" ref="Y15" si="68">Y10-Y14</f>
        <v>-286.07400000000052</v>
      </c>
      <c r="Z15" s="3">
        <f t="shared" ref="Z15" si="69">Z10-Z14</f>
        <v>-145.63299999999936</v>
      </c>
      <c r="AA15" s="3">
        <f t="shared" ref="AA15:AB15" si="70">AA10-AA14</f>
        <v>78.306000000000495</v>
      </c>
      <c r="AB15" s="3">
        <f t="shared" si="70"/>
        <v>272.38992599999983</v>
      </c>
      <c r="AC15" s="3">
        <f t="shared" ref="AC15" si="71">AC10-AC14</f>
        <v>1798.433613000002</v>
      </c>
      <c r="AD15" s="3">
        <f t="shared" ref="AD15" si="72">AD10-AD14</f>
        <v>3020.6207498520007</v>
      </c>
      <c r="AE15" s="3">
        <f t="shared" ref="AE15" si="73">AE10-AE14</f>
        <v>3665.0294228250004</v>
      </c>
      <c r="AF15" s="3">
        <f t="shared" ref="AF15" si="74">AF10-AF14</f>
        <v>4428.0472104218679</v>
      </c>
      <c r="AG15" s="3">
        <f t="shared" ref="AG15" si="75">AG10-AG14</f>
        <v>4758.8852115371328</v>
      </c>
      <c r="AH15" s="3">
        <f t="shared" ref="AH15" si="76">AH10-AH14</f>
        <v>5111.6262293483769</v>
      </c>
      <c r="AI15" s="3">
        <f t="shared" ref="AI15" si="77">AI10-AI14</f>
        <v>5162.7424916418586</v>
      </c>
      <c r="AJ15" s="3">
        <f t="shared" ref="AJ15" si="78">AJ10-AJ14</f>
        <v>5214.3699165582793</v>
      </c>
      <c r="AK15" s="3">
        <f t="shared" ref="AK15" si="79">AK10-AK14</f>
        <v>5266.5136157238621</v>
      </c>
      <c r="AL15" s="3">
        <f t="shared" ref="AL15" si="80">AL10-AL14</f>
        <v>5319.1787518811007</v>
      </c>
      <c r="AM15" s="3">
        <f t="shared" ref="AM15" si="81">AM10-AM14</f>
        <v>5372.3705393999107</v>
      </c>
      <c r="AN15" s="3">
        <f t="shared" ref="AN15" si="82">AN10-AN14</f>
        <v>5426.0942447939115</v>
      </c>
      <c r="AO15" s="3">
        <f>AO10-AO14</f>
        <v>5480.355187241852</v>
      </c>
      <c r="AP15" s="3">
        <f t="shared" ref="AP15" si="83">AP10-AP14</f>
        <v>5535.1587391142684</v>
      </c>
      <c r="AQ15" s="3">
        <f t="shared" ref="AQ15" si="84">AQ10-AQ14</f>
        <v>5590.5103265054131</v>
      </c>
    </row>
    <row r="16" spans="1:43" s="1" customFormat="1" x14ac:dyDescent="0.2">
      <c r="B16" s="1" t="s">
        <v>31</v>
      </c>
      <c r="C16" s="3"/>
      <c r="D16" s="3">
        <f>2.655-18.314-3.876</f>
        <v>-19.535</v>
      </c>
      <c r="E16" s="3">
        <f>2.622-17.682-0.372</f>
        <v>-15.431999999999999</v>
      </c>
      <c r="F16" s="3">
        <f>2.983-16.882-4.783</f>
        <v>-18.682000000000002</v>
      </c>
      <c r="G16" s="3">
        <f>4.561-16.675-0.918</f>
        <v>-13.032</v>
      </c>
      <c r="H16" s="3">
        <f>3.283-18.096+1.947</f>
        <v>-12.866</v>
      </c>
      <c r="I16" s="3">
        <f>3.507-18.249-7.093</f>
        <v>-21.835000000000001</v>
      </c>
      <c r="J16" s="3">
        <f>3.99-19.465-9.228</f>
        <v>-24.702999999999999</v>
      </c>
      <c r="K16" s="3">
        <f>8.122-22.011-13.806</f>
        <v>-27.695</v>
      </c>
      <c r="L16" s="3">
        <f>11.916-20.708+0.524</f>
        <v>-8.2679999999999971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>
        <f>SUM(K16:N16)</f>
        <v>-35.962999999999994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2:109" s="1" customFormat="1" x14ac:dyDescent="0.2">
      <c r="B17" s="1" t="s">
        <v>30</v>
      </c>
      <c r="C17" s="3"/>
      <c r="D17" s="3">
        <f t="shared" ref="D17:L17" si="85">+D15+D16</f>
        <v>-52.969000000000079</v>
      </c>
      <c r="E17" s="3">
        <f t="shared" si="85"/>
        <v>-37.474000000000146</v>
      </c>
      <c r="F17" s="3">
        <f t="shared" si="85"/>
        <v>-53.498000000000033</v>
      </c>
      <c r="G17" s="3">
        <f t="shared" si="85"/>
        <v>-18.544000000000171</v>
      </c>
      <c r="H17" s="3">
        <f t="shared" si="85"/>
        <v>6.9580000000000695</v>
      </c>
      <c r="I17" s="3">
        <f t="shared" si="85"/>
        <v>21.598999999999968</v>
      </c>
      <c r="J17" s="3">
        <f t="shared" si="85"/>
        <v>-4.143000000000054</v>
      </c>
      <c r="K17" s="3">
        <f t="shared" si="85"/>
        <v>24.291000000000103</v>
      </c>
      <c r="L17" s="3">
        <f t="shared" si="85"/>
        <v>24.283000000000161</v>
      </c>
      <c r="M17" s="3">
        <f t="shared" ref="M17" si="86">+M15+M16</f>
        <v>102.41803079999977</v>
      </c>
      <c r="N17" s="3">
        <f t="shared" ref="N17" si="87">+N15+N16</f>
        <v>85.434895199999801</v>
      </c>
      <c r="O17" s="3"/>
      <c r="P17" s="3"/>
      <c r="Q17" s="3"/>
      <c r="R17" s="3"/>
      <c r="S17" s="3"/>
      <c r="T17" s="3"/>
      <c r="U17" s="3"/>
      <c r="V17" s="3"/>
      <c r="W17" s="3">
        <f t="shared" ref="W17:AA17" si="88">+W15+W16</f>
        <v>-35.085000000000036</v>
      </c>
      <c r="X17" s="3">
        <f t="shared" si="88"/>
        <v>-110.71000000000004</v>
      </c>
      <c r="Y17" s="3">
        <f t="shared" si="88"/>
        <v>-286.07400000000052</v>
      </c>
      <c r="Z17" s="3">
        <f t="shared" si="88"/>
        <v>-145.63299999999936</v>
      </c>
      <c r="AA17" s="3">
        <f t="shared" si="88"/>
        <v>78.306000000000495</v>
      </c>
      <c r="AB17" s="3">
        <f>+AB15+AB16</f>
        <v>236.42692599999984</v>
      </c>
      <c r="AC17" s="3">
        <f t="shared" ref="AC17:AQ17" si="89">+AC15+AC16</f>
        <v>1798.433613000002</v>
      </c>
      <c r="AD17" s="3">
        <f t="shared" si="89"/>
        <v>3020.6207498520007</v>
      </c>
      <c r="AE17" s="3">
        <f t="shared" si="89"/>
        <v>3665.0294228250004</v>
      </c>
      <c r="AF17" s="3">
        <f t="shared" si="89"/>
        <v>4428.0472104218679</v>
      </c>
      <c r="AG17" s="3">
        <f t="shared" si="89"/>
        <v>4758.8852115371328</v>
      </c>
      <c r="AH17" s="3">
        <f t="shared" si="89"/>
        <v>5111.6262293483769</v>
      </c>
      <c r="AI17" s="3">
        <f t="shared" si="89"/>
        <v>5162.7424916418586</v>
      </c>
      <c r="AJ17" s="3">
        <f t="shared" si="89"/>
        <v>5214.3699165582793</v>
      </c>
      <c r="AK17" s="3">
        <f t="shared" si="89"/>
        <v>5266.5136157238621</v>
      </c>
      <c r="AL17" s="3">
        <f t="shared" si="89"/>
        <v>5319.1787518811007</v>
      </c>
      <c r="AM17" s="3">
        <f t="shared" si="89"/>
        <v>5372.3705393999107</v>
      </c>
      <c r="AN17" s="3">
        <f t="shared" si="89"/>
        <v>5426.0942447939115</v>
      </c>
      <c r="AO17" s="3">
        <f t="shared" si="89"/>
        <v>5480.355187241852</v>
      </c>
      <c r="AP17" s="3">
        <f t="shared" si="89"/>
        <v>5535.1587391142684</v>
      </c>
      <c r="AQ17" s="3">
        <f t="shared" si="89"/>
        <v>5590.5103265054131</v>
      </c>
    </row>
    <row r="18" spans="2:109" s="1" customFormat="1" x14ac:dyDescent="0.2">
      <c r="B18" s="1" t="s">
        <v>29</v>
      </c>
      <c r="C18" s="3"/>
      <c r="D18" s="3">
        <v>-8.1189999999999998</v>
      </c>
      <c r="E18" s="3">
        <v>17.074999999999999</v>
      </c>
      <c r="F18" s="3">
        <v>12.266999999999999</v>
      </c>
      <c r="G18" s="3">
        <v>13.981</v>
      </c>
      <c r="H18" s="3">
        <v>0</v>
      </c>
      <c r="I18" s="3">
        <v>68.548000000000002</v>
      </c>
      <c r="J18" s="3">
        <v>21.366</v>
      </c>
      <c r="K18" s="3">
        <v>-1.6040000000000001</v>
      </c>
      <c r="L18" s="3">
        <v>0</v>
      </c>
      <c r="M18" s="3">
        <f>+M17*0.15</f>
        <v>15.362704619999965</v>
      </c>
      <c r="N18" s="3">
        <f t="shared" ref="N18" si="90">+N17*0.15</f>
        <v>12.81523427999997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>
        <f>SUM(K18:N18)</f>
        <v>26.573938899999934</v>
      </c>
      <c r="AC18" s="3">
        <f>+AC17*0.25</f>
        <v>449.60840325000049</v>
      </c>
      <c r="AD18" s="3">
        <f t="shared" ref="AD18:AQ18" si="91">+AD17*0.25</f>
        <v>755.15518746300017</v>
      </c>
      <c r="AE18" s="3">
        <f t="shared" si="91"/>
        <v>916.25735570625011</v>
      </c>
      <c r="AF18" s="3">
        <f t="shared" si="91"/>
        <v>1107.011802605467</v>
      </c>
      <c r="AG18" s="3">
        <f t="shared" si="91"/>
        <v>1189.7213028842832</v>
      </c>
      <c r="AH18" s="3">
        <f t="shared" si="91"/>
        <v>1277.9065573370942</v>
      </c>
      <c r="AI18" s="3">
        <f t="shared" si="91"/>
        <v>1290.6856229104646</v>
      </c>
      <c r="AJ18" s="3">
        <f t="shared" si="91"/>
        <v>1303.5924791395698</v>
      </c>
      <c r="AK18" s="3">
        <f t="shared" si="91"/>
        <v>1316.6284039309655</v>
      </c>
      <c r="AL18" s="3">
        <f t="shared" si="91"/>
        <v>1329.7946879702752</v>
      </c>
      <c r="AM18" s="3">
        <f t="shared" si="91"/>
        <v>1343.0926348499777</v>
      </c>
      <c r="AN18" s="3">
        <f t="shared" si="91"/>
        <v>1356.5235611984779</v>
      </c>
      <c r="AO18" s="3">
        <f t="shared" si="91"/>
        <v>1370.088796810463</v>
      </c>
      <c r="AP18" s="3">
        <f t="shared" si="91"/>
        <v>1383.7896847785671</v>
      </c>
      <c r="AQ18" s="3">
        <f t="shared" si="91"/>
        <v>1397.6275816263533</v>
      </c>
    </row>
    <row r="19" spans="2:109" x14ac:dyDescent="0.2">
      <c r="B19" t="s">
        <v>28</v>
      </c>
      <c r="D19" s="3">
        <f t="shared" ref="D19:M19" si="92">+D17-D18</f>
        <v>-44.85000000000008</v>
      </c>
      <c r="E19" s="3">
        <f t="shared" si="92"/>
        <v>-54.549000000000149</v>
      </c>
      <c r="F19" s="3">
        <f t="shared" si="92"/>
        <v>-65.765000000000029</v>
      </c>
      <c r="G19" s="3">
        <f t="shared" si="92"/>
        <v>-32.525000000000169</v>
      </c>
      <c r="H19" s="3">
        <f t="shared" si="92"/>
        <v>6.9580000000000695</v>
      </c>
      <c r="I19" s="3">
        <f t="shared" si="92"/>
        <v>-46.949000000000034</v>
      </c>
      <c r="J19" s="3">
        <f t="shared" si="92"/>
        <v>-25.509000000000054</v>
      </c>
      <c r="K19" s="3">
        <f t="shared" si="92"/>
        <v>25.895000000000103</v>
      </c>
      <c r="L19" s="3">
        <f t="shared" si="92"/>
        <v>24.283000000000161</v>
      </c>
      <c r="M19" s="3">
        <f t="shared" si="92"/>
        <v>87.05532617999981</v>
      </c>
      <c r="N19" s="3">
        <f t="shared" ref="N19" si="93">+N17-N18</f>
        <v>72.619660919999831</v>
      </c>
      <c r="W19" s="3">
        <f t="shared" ref="W19:AA19" si="94">+W17-W18</f>
        <v>-35.085000000000036</v>
      </c>
      <c r="X19" s="3">
        <f t="shared" si="94"/>
        <v>-110.71000000000004</v>
      </c>
      <c r="Y19" s="3">
        <f t="shared" si="94"/>
        <v>-286.07400000000052</v>
      </c>
      <c r="Z19" s="3">
        <f t="shared" si="94"/>
        <v>-145.63299999999936</v>
      </c>
      <c r="AA19" s="3">
        <f t="shared" si="94"/>
        <v>78.306000000000495</v>
      </c>
      <c r="AB19" s="3">
        <f>+AB17-AB18</f>
        <v>209.85298709999989</v>
      </c>
      <c r="AC19" s="3">
        <f t="shared" ref="AC19:AQ19" si="95">+AC17-AC18</f>
        <v>1348.8252097500015</v>
      </c>
      <c r="AD19" s="3">
        <f t="shared" si="95"/>
        <v>2265.4655623890003</v>
      </c>
      <c r="AE19" s="3">
        <f t="shared" si="95"/>
        <v>2748.7720671187503</v>
      </c>
      <c r="AF19" s="3">
        <f t="shared" si="95"/>
        <v>3321.0354078164009</v>
      </c>
      <c r="AG19" s="3">
        <f t="shared" si="95"/>
        <v>3569.1639086528494</v>
      </c>
      <c r="AH19" s="3">
        <f t="shared" si="95"/>
        <v>3833.7196720112825</v>
      </c>
      <c r="AI19" s="3">
        <f t="shared" si="95"/>
        <v>3872.0568687313939</v>
      </c>
      <c r="AJ19" s="3">
        <f t="shared" si="95"/>
        <v>3910.7774374187093</v>
      </c>
      <c r="AK19" s="3">
        <f t="shared" si="95"/>
        <v>3949.8852117928964</v>
      </c>
      <c r="AL19" s="3">
        <f t="shared" si="95"/>
        <v>3989.3840639108257</v>
      </c>
      <c r="AM19" s="3">
        <f t="shared" si="95"/>
        <v>4029.2779045499328</v>
      </c>
      <c r="AN19" s="3">
        <f t="shared" si="95"/>
        <v>4069.5706835954334</v>
      </c>
      <c r="AO19" s="3">
        <f t="shared" si="95"/>
        <v>4110.2663904313886</v>
      </c>
      <c r="AP19" s="3">
        <f t="shared" si="95"/>
        <v>4151.3690543357015</v>
      </c>
      <c r="AQ19" s="3">
        <f t="shared" si="95"/>
        <v>4192.8827448790598</v>
      </c>
      <c r="AR19" s="3">
        <f t="shared" ref="AR19:BW19" si="96">+AQ19*(1+$AT$24)</f>
        <v>4150.953917430269</v>
      </c>
      <c r="AS19" s="3">
        <f t="shared" si="96"/>
        <v>4109.4443782559665</v>
      </c>
      <c r="AT19" s="3">
        <f t="shared" si="96"/>
        <v>4068.3499344734068</v>
      </c>
      <c r="AU19" s="3">
        <f t="shared" si="96"/>
        <v>4027.6664351286727</v>
      </c>
      <c r="AV19" s="3">
        <f t="shared" si="96"/>
        <v>3987.3897707773858</v>
      </c>
      <c r="AW19" s="3">
        <f t="shared" si="96"/>
        <v>3947.5158730696121</v>
      </c>
      <c r="AX19" s="3">
        <f t="shared" si="96"/>
        <v>3908.0407143389161</v>
      </c>
      <c r="AY19" s="3">
        <f t="shared" si="96"/>
        <v>3868.9603071955271</v>
      </c>
      <c r="AZ19" s="3">
        <f t="shared" si="96"/>
        <v>3830.2707041235717</v>
      </c>
      <c r="BA19" s="3">
        <f t="shared" si="96"/>
        <v>3791.9679970823358</v>
      </c>
      <c r="BB19" s="3">
        <f t="shared" si="96"/>
        <v>3754.0483171115125</v>
      </c>
      <c r="BC19" s="3">
        <f t="shared" si="96"/>
        <v>3716.5078339403972</v>
      </c>
      <c r="BD19" s="3">
        <f t="shared" si="96"/>
        <v>3679.3427556009933</v>
      </c>
      <c r="BE19" s="3">
        <f t="shared" si="96"/>
        <v>3642.5493280449832</v>
      </c>
      <c r="BF19" s="3">
        <f t="shared" si="96"/>
        <v>3606.1238347645335</v>
      </c>
      <c r="BG19" s="3">
        <f t="shared" si="96"/>
        <v>3570.062596416888</v>
      </c>
      <c r="BH19" s="3">
        <f t="shared" si="96"/>
        <v>3534.3619704527191</v>
      </c>
      <c r="BI19" s="3">
        <f t="shared" si="96"/>
        <v>3499.018350748192</v>
      </c>
      <c r="BJ19" s="3">
        <f t="shared" si="96"/>
        <v>3464.02816724071</v>
      </c>
      <c r="BK19" s="3">
        <f t="shared" si="96"/>
        <v>3429.3878855683029</v>
      </c>
      <c r="BL19" s="3">
        <f t="shared" si="96"/>
        <v>3395.0940067126198</v>
      </c>
      <c r="BM19" s="3">
        <f t="shared" si="96"/>
        <v>3361.1430666454935</v>
      </c>
      <c r="BN19" s="3">
        <f t="shared" si="96"/>
        <v>3327.5316359790386</v>
      </c>
      <c r="BO19" s="3">
        <f t="shared" si="96"/>
        <v>3294.2563196192482</v>
      </c>
      <c r="BP19" s="3">
        <f t="shared" si="96"/>
        <v>3261.3137564230556</v>
      </c>
      <c r="BQ19" s="3">
        <f t="shared" si="96"/>
        <v>3228.7006188588248</v>
      </c>
      <c r="BR19" s="3">
        <f t="shared" si="96"/>
        <v>3196.4136126702365</v>
      </c>
      <c r="BS19" s="3">
        <f t="shared" si="96"/>
        <v>3164.4494765435343</v>
      </c>
      <c r="BT19" s="3">
        <f t="shared" si="96"/>
        <v>3132.8049817780989</v>
      </c>
      <c r="BU19" s="3">
        <f t="shared" si="96"/>
        <v>3101.4769319603179</v>
      </c>
      <c r="BV19" s="3">
        <f t="shared" si="96"/>
        <v>3070.4621626407147</v>
      </c>
      <c r="BW19" s="3">
        <f t="shared" si="96"/>
        <v>3039.7575410143077</v>
      </c>
      <c r="BX19" s="3">
        <f t="shared" ref="BX19:DE19" si="97">+BW19*(1+$AT$24)</f>
        <v>3009.3599656041647</v>
      </c>
      <c r="BY19" s="3">
        <f t="shared" si="97"/>
        <v>2979.2663659481232</v>
      </c>
      <c r="BZ19" s="3">
        <f t="shared" si="97"/>
        <v>2949.473702288642</v>
      </c>
      <c r="CA19" s="3">
        <f t="shared" si="97"/>
        <v>2919.9789652657555</v>
      </c>
      <c r="CB19" s="3">
        <f t="shared" si="97"/>
        <v>2890.7791756130978</v>
      </c>
      <c r="CC19" s="3">
        <f t="shared" si="97"/>
        <v>2861.871383856967</v>
      </c>
      <c r="CD19" s="3">
        <f t="shared" si="97"/>
        <v>2833.2526700183971</v>
      </c>
      <c r="CE19" s="3">
        <f t="shared" si="97"/>
        <v>2804.9201433182129</v>
      </c>
      <c r="CF19" s="3">
        <f t="shared" si="97"/>
        <v>2776.8709418850308</v>
      </c>
      <c r="CG19" s="3">
        <f t="shared" si="97"/>
        <v>2749.1022324661803</v>
      </c>
      <c r="CH19" s="3">
        <f t="shared" si="97"/>
        <v>2721.6112101415183</v>
      </c>
      <c r="CI19" s="3">
        <f t="shared" si="97"/>
        <v>2694.3950980401032</v>
      </c>
      <c r="CJ19" s="3">
        <f t="shared" si="97"/>
        <v>2667.4511470597022</v>
      </c>
      <c r="CK19" s="3">
        <f t="shared" si="97"/>
        <v>2640.7766355891054</v>
      </c>
      <c r="CL19" s="3">
        <f t="shared" si="97"/>
        <v>2614.3688692332144</v>
      </c>
      <c r="CM19" s="3">
        <f t="shared" si="97"/>
        <v>2588.2251805408823</v>
      </c>
      <c r="CN19" s="3">
        <f t="shared" si="97"/>
        <v>2562.3429287354734</v>
      </c>
      <c r="CO19" s="3">
        <f t="shared" si="97"/>
        <v>2536.7194994481188</v>
      </c>
      <c r="CP19" s="3">
        <f t="shared" si="97"/>
        <v>2511.3523044536378</v>
      </c>
      <c r="CQ19" s="3">
        <f t="shared" si="97"/>
        <v>2486.2387814091012</v>
      </c>
      <c r="CR19" s="3">
        <f t="shared" si="97"/>
        <v>2461.3763935950101</v>
      </c>
      <c r="CS19" s="3">
        <f t="shared" si="97"/>
        <v>2436.7626296590602</v>
      </c>
      <c r="CT19" s="3">
        <f t="shared" si="97"/>
        <v>2412.3950033624697</v>
      </c>
      <c r="CU19" s="3">
        <f t="shared" si="97"/>
        <v>2388.271053328845</v>
      </c>
      <c r="CV19" s="3">
        <f t="shared" si="97"/>
        <v>2364.3883427955566</v>
      </c>
      <c r="CW19" s="3">
        <f t="shared" si="97"/>
        <v>2340.7444593676009</v>
      </c>
      <c r="CX19" s="3">
        <f t="shared" si="97"/>
        <v>2317.3370147739247</v>
      </c>
      <c r="CY19" s="3">
        <f t="shared" si="97"/>
        <v>2294.1636446261855</v>
      </c>
      <c r="CZ19" s="3">
        <f t="shared" si="97"/>
        <v>2271.2220081799237</v>
      </c>
      <c r="DA19" s="3">
        <f t="shared" si="97"/>
        <v>2248.5097880981243</v>
      </c>
      <c r="DB19" s="3">
        <f t="shared" si="97"/>
        <v>2226.024690217143</v>
      </c>
      <c r="DC19" s="3">
        <f t="shared" si="97"/>
        <v>2203.7644433149717</v>
      </c>
      <c r="DD19" s="3">
        <f t="shared" si="97"/>
        <v>2181.7267988818221</v>
      </c>
      <c r="DE19" s="3">
        <f t="shared" si="97"/>
        <v>2159.9095308930036</v>
      </c>
    </row>
    <row r="20" spans="2:109" x14ac:dyDescent="0.2">
      <c r="B20" s="1" t="s">
        <v>32</v>
      </c>
      <c r="D20" s="7">
        <f t="shared" ref="D20:L20" si="98">D19/D21</f>
        <v>-7.2688552646933108E-2</v>
      </c>
      <c r="E20" s="7">
        <f t="shared" si="98"/>
        <v>-8.6647880701710034E-2</v>
      </c>
      <c r="F20" s="7">
        <f t="shared" si="98"/>
        <v>-0.10320627602127373</v>
      </c>
      <c r="G20" s="7">
        <f t="shared" si="98"/>
        <v>-4.8960575634869524E-2</v>
      </c>
      <c r="H20" s="7">
        <f t="shared" si="98"/>
        <v>1.0552561096568628E-2</v>
      </c>
      <c r="I20" s="7">
        <f t="shared" si="98"/>
        <v>-7.0692378461478286E-2</v>
      </c>
      <c r="J20" s="7">
        <f t="shared" si="98"/>
        <v>-3.8128620006726288E-2</v>
      </c>
      <c r="K20" s="7">
        <f t="shared" si="98"/>
        <v>3.7703898811734006E-2</v>
      </c>
      <c r="L20" s="7">
        <f t="shared" si="98"/>
        <v>3.4890971998712821E-2</v>
      </c>
      <c r="M20" s="7">
        <f t="shared" ref="M20" si="99">M19/M21</f>
        <v>0.12508524268357138</v>
      </c>
      <c r="N20" s="7">
        <f t="shared" ref="N20" si="100">N19/N21</f>
        <v>0.10434339067313415</v>
      </c>
      <c r="W20" s="7">
        <f t="shared" ref="W20:AA20" si="101">W19/W21</f>
        <v>-6.4827201371746232E-2</v>
      </c>
      <c r="X20" s="7">
        <f t="shared" si="101"/>
        <v>-0.19598297739760956</v>
      </c>
      <c r="Y20" s="7">
        <f t="shared" si="101"/>
        <v>-0.47869440591151879</v>
      </c>
      <c r="Z20" s="7">
        <f t="shared" si="101"/>
        <v>-0.23333087665104968</v>
      </c>
      <c r="AA20" s="7">
        <f t="shared" si="101"/>
        <v>0.11835011720751472</v>
      </c>
      <c r="AB20" s="7">
        <f>AB19/AB21</f>
        <v>0.30252317037174781</v>
      </c>
      <c r="AC20" s="7">
        <f t="shared" ref="AC20" si="102">AC19/AC21</f>
        <v>1.944460664438683</v>
      </c>
      <c r="AD20" s="7">
        <f t="shared" ref="AD20" si="103">AD19/AD21</f>
        <v>3.265885483799889</v>
      </c>
      <c r="AE20" s="7">
        <f t="shared" ref="AE20" si="104">AE19/AE21</f>
        <v>3.962618077853739</v>
      </c>
      <c r="AF20" s="7">
        <f t="shared" ref="AF20" si="105">AF19/AF21</f>
        <v>4.7875904668952343</v>
      </c>
      <c r="AG20" s="7">
        <f t="shared" ref="AG20" si="106">AG19/AG21</f>
        <v>5.1452914544768937</v>
      </c>
      <c r="AH20" s="7">
        <f t="shared" ref="AH20" si="107">AH19/AH21</f>
        <v>5.5266739135846725</v>
      </c>
      <c r="AI20" s="7">
        <f t="shared" ref="AI20" si="108">AI19/AI21</f>
        <v>5.581940652720518</v>
      </c>
      <c r="AJ20" s="7">
        <f t="shared" ref="AJ20" si="109">AJ19/AJ21</f>
        <v>5.6377600592477251</v>
      </c>
      <c r="AK20" s="7">
        <f t="shared" ref="AK20" si="110">AK19/AK21</f>
        <v>5.6941376598402025</v>
      </c>
      <c r="AL20" s="7">
        <f t="shared" ref="AL20" si="111">AL19/AL21</f>
        <v>5.7510790364386049</v>
      </c>
      <c r="AM20" s="7">
        <f t="shared" ref="AM20" si="112">AM19/AM21</f>
        <v>5.8085898268029892</v>
      </c>
      <c r="AN20" s="7">
        <f t="shared" ref="AN20" si="113">AN19/AN21</f>
        <v>5.8666757250710209</v>
      </c>
      <c r="AO20" s="7">
        <f t="shared" ref="AO20" si="114">AO19/AO21</f>
        <v>5.9253424823217324</v>
      </c>
      <c r="AP20" s="7">
        <f t="shared" ref="AP20" si="115">AP19/AP21</f>
        <v>5.9845959071449482</v>
      </c>
      <c r="AQ20" s="7">
        <f t="shared" ref="AQ20" si="116">AQ19/AQ21</f>
        <v>6.0444418662163999</v>
      </c>
    </row>
    <row r="21" spans="2:109" s="1" customFormat="1" x14ac:dyDescent="0.2">
      <c r="B21" s="1" t="s">
        <v>1</v>
      </c>
      <c r="C21" s="3"/>
      <c r="D21" s="3">
        <v>617.01599999999996</v>
      </c>
      <c r="E21" s="3">
        <v>629.548</v>
      </c>
      <c r="F21" s="3">
        <v>637.21900000000005</v>
      </c>
      <c r="G21" s="3">
        <v>664.31</v>
      </c>
      <c r="H21" s="3">
        <v>659.36599999999999</v>
      </c>
      <c r="I21" s="3">
        <v>664.13099999999997</v>
      </c>
      <c r="J21" s="3">
        <v>669.02499999999998</v>
      </c>
      <c r="K21" s="3">
        <v>686.79899999999998</v>
      </c>
      <c r="L21" s="3">
        <v>695.96799999999996</v>
      </c>
      <c r="M21" s="3">
        <v>695.96799999999996</v>
      </c>
      <c r="N21" s="3">
        <f>+M21</f>
        <v>695.96799999999996</v>
      </c>
      <c r="O21" s="3"/>
      <c r="P21" s="3"/>
      <c r="Q21" s="3"/>
      <c r="R21" s="3"/>
      <c r="S21" s="3"/>
      <c r="T21" s="3"/>
      <c r="U21" s="3"/>
      <c r="V21" s="3"/>
      <c r="W21" s="3">
        <v>541.20799999999997</v>
      </c>
      <c r="X21" s="3">
        <v>564.89599999999996</v>
      </c>
      <c r="Y21" s="3">
        <v>597.61300000000006</v>
      </c>
      <c r="Z21" s="3">
        <v>624.14800000000002</v>
      </c>
      <c r="AA21" s="3">
        <v>661.64700000000005</v>
      </c>
      <c r="AB21" s="3">
        <f>AVERAGE(K21:N21)</f>
        <v>693.67574999999988</v>
      </c>
      <c r="AC21" s="3">
        <f>+AB21</f>
        <v>693.67574999999988</v>
      </c>
      <c r="AD21" s="3">
        <f t="shared" ref="AD21:AQ21" si="117">+AC21</f>
        <v>693.67574999999988</v>
      </c>
      <c r="AE21" s="3">
        <f t="shared" si="117"/>
        <v>693.67574999999988</v>
      </c>
      <c r="AF21" s="3">
        <f t="shared" si="117"/>
        <v>693.67574999999988</v>
      </c>
      <c r="AG21" s="3">
        <f t="shared" si="117"/>
        <v>693.67574999999988</v>
      </c>
      <c r="AH21" s="3">
        <f t="shared" si="117"/>
        <v>693.67574999999988</v>
      </c>
      <c r="AI21" s="3">
        <f t="shared" si="117"/>
        <v>693.67574999999988</v>
      </c>
      <c r="AJ21" s="3">
        <f t="shared" si="117"/>
        <v>693.67574999999988</v>
      </c>
      <c r="AK21" s="3">
        <f t="shared" si="117"/>
        <v>693.67574999999988</v>
      </c>
      <c r="AL21" s="3">
        <f t="shared" si="117"/>
        <v>693.67574999999988</v>
      </c>
      <c r="AM21" s="3">
        <f t="shared" si="117"/>
        <v>693.67574999999988</v>
      </c>
      <c r="AN21" s="3">
        <f t="shared" si="117"/>
        <v>693.67574999999988</v>
      </c>
      <c r="AO21" s="3">
        <f t="shared" si="117"/>
        <v>693.67574999999988</v>
      </c>
      <c r="AP21" s="3">
        <f t="shared" si="117"/>
        <v>693.67574999999988</v>
      </c>
      <c r="AQ21" s="3">
        <f t="shared" si="117"/>
        <v>693.67574999999988</v>
      </c>
    </row>
    <row r="23" spans="2:109" x14ac:dyDescent="0.2">
      <c r="B23" s="1" t="s">
        <v>98</v>
      </c>
      <c r="K23" s="6">
        <f>+K4/G4-1</f>
        <v>0.26666666666666661</v>
      </c>
      <c r="L23" s="6">
        <f>+L4/H4-1</f>
        <v>0.29032258064516125</v>
      </c>
    </row>
    <row r="24" spans="2:109" s="10" customFormat="1" x14ac:dyDescent="0.2">
      <c r="B24" s="10" t="s">
        <v>18</v>
      </c>
      <c r="C24" s="11"/>
      <c r="D24" s="11"/>
      <c r="E24" s="11"/>
      <c r="F24" s="11"/>
      <c r="G24" s="11"/>
      <c r="H24" s="12">
        <f t="shared" ref="H24:M24" si="118">H8/D8-1</f>
        <v>0.2397578857397249</v>
      </c>
      <c r="I24" s="12">
        <f t="shared" si="118"/>
        <v>0.23727880143532909</v>
      </c>
      <c r="J24" s="12">
        <f t="shared" si="118"/>
        <v>0.25251833023214609</v>
      </c>
      <c r="K24" s="12">
        <f t="shared" si="118"/>
        <v>0.26829331238704923</v>
      </c>
      <c r="L24" s="12">
        <f t="shared" si="118"/>
        <v>0.24587871417350393</v>
      </c>
      <c r="M24" s="12">
        <f t="shared" si="118"/>
        <v>0.25999999999999979</v>
      </c>
      <c r="N24" s="12">
        <f t="shared" ref="N24" si="119">N8/J8-1</f>
        <v>0.26</v>
      </c>
      <c r="O24" s="11"/>
      <c r="P24" s="11"/>
      <c r="Q24" s="12">
        <f t="shared" ref="Q24:AA24" si="120">Q8/P8-1</f>
        <v>0.75680793763288468</v>
      </c>
      <c r="R24" s="12">
        <f t="shared" si="120"/>
        <v>0.60428197523373672</v>
      </c>
      <c r="S24" s="12">
        <f t="shared" si="120"/>
        <v>0.506141646114046</v>
      </c>
      <c r="T24" s="12">
        <f t="shared" si="120"/>
        <v>0.43818485374649385</v>
      </c>
      <c r="U24" s="12">
        <f t="shared" si="120"/>
        <v>0.21250054561377607</v>
      </c>
      <c r="V24" s="12">
        <f t="shared" si="120"/>
        <v>0.26927127574424592</v>
      </c>
      <c r="W24" s="12">
        <f t="shared" si="120"/>
        <v>0.36774223526209915</v>
      </c>
      <c r="X24" s="12">
        <f t="shared" si="120"/>
        <v>0.3457500620990861</v>
      </c>
      <c r="Y24" s="12">
        <f t="shared" si="120"/>
        <v>0.33466975062250093</v>
      </c>
      <c r="Z24" s="12">
        <f t="shared" si="120"/>
        <v>0.31996611154548416</v>
      </c>
      <c r="AA24" s="12">
        <f t="shared" si="120"/>
        <v>0.24073867990574627</v>
      </c>
      <c r="AB24" s="12">
        <f t="shared" ref="AB24" si="121">AB8/AA8-1</f>
        <v>0.25841744140282841</v>
      </c>
      <c r="AC24" s="12">
        <f>AC8/AB8-1</f>
        <v>0.20355796599315767</v>
      </c>
      <c r="AD24" s="12">
        <f t="shared" ref="AD24:AQ24" si="122">AD8/AC8-1</f>
        <v>0.20369525824024337</v>
      </c>
      <c r="AE24" s="12">
        <f t="shared" si="122"/>
        <v>0.10767482096267011</v>
      </c>
      <c r="AF24" s="12">
        <f t="shared" si="122"/>
        <v>0.10000000000000009</v>
      </c>
      <c r="AG24" s="12">
        <f t="shared" si="122"/>
        <v>5.4157260317247102E-2</v>
      </c>
      <c r="AH24" s="12">
        <f t="shared" si="122"/>
        <v>5.433804947432197E-2</v>
      </c>
      <c r="AI24" s="12">
        <f t="shared" si="122"/>
        <v>9.9999999999997868E-3</v>
      </c>
      <c r="AJ24" s="12">
        <f t="shared" si="122"/>
        <v>1.0000000000000009E-2</v>
      </c>
      <c r="AK24" s="12">
        <f t="shared" si="122"/>
        <v>1.0000000000000009E-2</v>
      </c>
      <c r="AL24" s="12">
        <f t="shared" si="122"/>
        <v>9.9999999999997868E-3</v>
      </c>
      <c r="AM24" s="12">
        <f t="shared" si="122"/>
        <v>1.0000000000000009E-2</v>
      </c>
      <c r="AN24" s="12">
        <f t="shared" si="122"/>
        <v>1.0000000000000009E-2</v>
      </c>
      <c r="AO24" s="12">
        <f t="shared" si="122"/>
        <v>1.0000000000000231E-2</v>
      </c>
      <c r="AP24" s="12">
        <f t="shared" si="122"/>
        <v>9.9999999999997868E-3</v>
      </c>
      <c r="AQ24" s="12">
        <f t="shared" si="122"/>
        <v>1.0000000000000009E-2</v>
      </c>
      <c r="AS24" t="s">
        <v>42</v>
      </c>
      <c r="AT24" s="16">
        <v>-0.01</v>
      </c>
      <c r="AV24" s="13"/>
    </row>
    <row r="25" spans="2:109" s="13" customFormat="1" x14ac:dyDescent="0.2">
      <c r="B25" s="13" t="s">
        <v>38</v>
      </c>
      <c r="C25" s="14"/>
      <c r="D25" s="14"/>
      <c r="E25" s="14"/>
      <c r="F25" s="14"/>
      <c r="G25" s="14"/>
      <c r="H25" s="15">
        <f>H11/D11-1</f>
        <v>0.18116162022031146</v>
      </c>
      <c r="I25" s="15">
        <f>I11/E11-1</f>
        <v>0.15384777979913844</v>
      </c>
      <c r="J25" s="15">
        <f t="shared" ref="J25:M25" si="123">J11/F11-1</f>
        <v>0.20951856983725925</v>
      </c>
      <c r="K25" s="15">
        <f t="shared" si="123"/>
        <v>0.21565179160254999</v>
      </c>
      <c r="L25" s="15">
        <f t="shared" si="123"/>
        <v>0.17795338488152201</v>
      </c>
      <c r="M25" s="15">
        <f t="shared" si="123"/>
        <v>0.19999999999999996</v>
      </c>
      <c r="N25" s="15">
        <f t="shared" ref="N25:N26" si="124">N11/J11-1</f>
        <v>0.19999999999999996</v>
      </c>
      <c r="O25" s="14"/>
      <c r="P25" s="14"/>
      <c r="Q25" s="14"/>
      <c r="R25" s="14"/>
      <c r="S25" s="14"/>
      <c r="T25" s="14"/>
      <c r="U25" s="14"/>
      <c r="V25" s="14"/>
      <c r="W25" s="14"/>
      <c r="X25" s="15">
        <f t="shared" ref="X25:Z25" si="125">+X11/W11-1</f>
        <v>0.37996939150657072</v>
      </c>
      <c r="Y25" s="15">
        <f t="shared" si="125"/>
        <v>0.34330673731402084</v>
      </c>
      <c r="Z25" s="15">
        <f t="shared" si="125"/>
        <v>0.27164582230233214</v>
      </c>
      <c r="AA25" s="15">
        <f>+AA11/Z11-1</f>
        <v>0.17508566984972607</v>
      </c>
      <c r="AB25" s="15">
        <f t="shared" ref="AB25:AQ25" si="126">+AB11/AA11-1</f>
        <v>0.19815922099472072</v>
      </c>
      <c r="AC25" s="15">
        <f t="shared" si="126"/>
        <v>9.9999999999999867E-2</v>
      </c>
      <c r="AD25" s="15">
        <f t="shared" si="126"/>
        <v>0.10000000000000009</v>
      </c>
      <c r="AE25" s="15">
        <f t="shared" si="126"/>
        <v>0.10000000000000009</v>
      </c>
      <c r="AF25" s="15">
        <f t="shared" si="126"/>
        <v>5.0000000000000044E-2</v>
      </c>
      <c r="AG25" s="15">
        <f t="shared" si="126"/>
        <v>5.0000000000000044E-2</v>
      </c>
      <c r="AH25" s="15">
        <f t="shared" si="126"/>
        <v>5.0000000000000044E-2</v>
      </c>
      <c r="AI25" s="15">
        <f t="shared" si="126"/>
        <v>1.0000000000000009E-2</v>
      </c>
      <c r="AJ25" s="15">
        <f t="shared" si="126"/>
        <v>1.0000000000000009E-2</v>
      </c>
      <c r="AK25" s="15">
        <f t="shared" si="126"/>
        <v>1.0000000000000009E-2</v>
      </c>
      <c r="AL25" s="15">
        <f t="shared" si="126"/>
        <v>1.0000000000000009E-2</v>
      </c>
      <c r="AM25" s="15">
        <f t="shared" si="126"/>
        <v>1.0000000000000009E-2</v>
      </c>
      <c r="AN25" s="15">
        <f t="shared" si="126"/>
        <v>1.0000000000000009E-2</v>
      </c>
      <c r="AO25" s="15">
        <f t="shared" si="126"/>
        <v>1.0000000000000009E-2</v>
      </c>
      <c r="AP25" s="15">
        <f t="shared" si="126"/>
        <v>1.0000000000000009E-2</v>
      </c>
      <c r="AQ25" s="15">
        <f t="shared" si="126"/>
        <v>1.0000000000000009E-2</v>
      </c>
      <c r="AS25" t="s">
        <v>43</v>
      </c>
      <c r="AT25" s="19">
        <v>7.0000000000000007E-2</v>
      </c>
    </row>
    <row r="26" spans="2:109" s="13" customFormat="1" x14ac:dyDescent="0.2">
      <c r="B26" s="13" t="s">
        <v>39</v>
      </c>
      <c r="C26" s="14"/>
      <c r="D26" s="14"/>
      <c r="E26" s="14"/>
      <c r="F26" s="14"/>
      <c r="G26" s="14"/>
      <c r="H26" s="15">
        <f t="shared" ref="H26:I26" si="127">H12/D12-1</f>
        <v>0.15258309577615958</v>
      </c>
      <c r="I26" s="15">
        <f t="shared" si="127"/>
        <v>0.22384119512943812</v>
      </c>
      <c r="J26" s="15">
        <f t="shared" ref="J26" si="128">J12/F12-1</f>
        <v>0.21782610806349822</v>
      </c>
      <c r="K26" s="15">
        <f t="shared" ref="K26" si="129">K12/G12-1</f>
        <v>0.17486314197219643</v>
      </c>
      <c r="L26" s="15">
        <f t="shared" ref="L26" si="130">L12/H12-1</f>
        <v>0.24521999145664242</v>
      </c>
      <c r="M26" s="15">
        <f t="shared" ref="M26" si="131">M12/I12-1</f>
        <v>0.19999999999999996</v>
      </c>
      <c r="N26" s="15">
        <f t="shared" si="124"/>
        <v>0.14999999999999991</v>
      </c>
      <c r="O26" s="14"/>
      <c r="P26" s="14"/>
      <c r="Q26" s="14"/>
      <c r="R26" s="14"/>
      <c r="S26" s="14"/>
      <c r="T26" s="14"/>
      <c r="U26" s="14"/>
      <c r="V26" s="14"/>
      <c r="W26" s="14"/>
      <c r="X26" s="15">
        <f t="shared" ref="X26:Z26" si="132">+X12/W12-1</f>
        <v>0.45415054156636092</v>
      </c>
      <c r="Y26" s="15">
        <f t="shared" si="132"/>
        <v>0.45245285566931104</v>
      </c>
      <c r="Z26" s="15">
        <f t="shared" si="132"/>
        <v>0.27111180221802567</v>
      </c>
      <c r="AA26" s="15">
        <f>+AA12/Z12-1</f>
        <v>0.19344143207927167</v>
      </c>
      <c r="AB26" s="15">
        <f t="shared" ref="AB26:AQ26" si="133">+AB12/AA12-1</f>
        <v>0.19203149107048501</v>
      </c>
      <c r="AC26" s="15">
        <f t="shared" si="133"/>
        <v>-0.5</v>
      </c>
      <c r="AD26" s="15">
        <f t="shared" si="133"/>
        <v>1.0000000000000009E-2</v>
      </c>
      <c r="AE26" s="15">
        <f t="shared" si="133"/>
        <v>1.0000000000000009E-2</v>
      </c>
      <c r="AF26" s="15">
        <f t="shared" si="133"/>
        <v>1.0000000000000009E-2</v>
      </c>
      <c r="AG26" s="15">
        <f t="shared" si="133"/>
        <v>1.0000000000000009E-2</v>
      </c>
      <c r="AH26" s="15">
        <f t="shared" si="133"/>
        <v>1.0000000000000009E-2</v>
      </c>
      <c r="AI26" s="15">
        <f t="shared" si="133"/>
        <v>1.0000000000000009E-2</v>
      </c>
      <c r="AJ26" s="15">
        <f t="shared" si="133"/>
        <v>1.0000000000000009E-2</v>
      </c>
      <c r="AK26" s="15">
        <f t="shared" si="133"/>
        <v>1.0000000000000009E-2</v>
      </c>
      <c r="AL26" s="15">
        <f t="shared" si="133"/>
        <v>1.0000000000000009E-2</v>
      </c>
      <c r="AM26" s="15">
        <f t="shared" si="133"/>
        <v>1.0000000000000009E-2</v>
      </c>
      <c r="AN26" s="15">
        <f t="shared" si="133"/>
        <v>1.0000000000000009E-2</v>
      </c>
      <c r="AO26" s="15">
        <f t="shared" si="133"/>
        <v>1.0000000000000009E-2</v>
      </c>
      <c r="AP26" s="15">
        <f t="shared" si="133"/>
        <v>1.0000000000000009E-2</v>
      </c>
      <c r="AQ26" s="15">
        <f t="shared" si="133"/>
        <v>1.0000000000000009E-2</v>
      </c>
      <c r="AS26" t="s">
        <v>44</v>
      </c>
      <c r="AT26" s="1">
        <f>NPV(AT25,AC19:DE19)+Main!M5-Main!M6</f>
        <v>49702.57035673756</v>
      </c>
    </row>
    <row r="27" spans="2:109" x14ac:dyDescent="0.2">
      <c r="B27" t="s">
        <v>19</v>
      </c>
      <c r="D27" s="6">
        <f t="shared" ref="D27:I27" si="134">+D10/D8</f>
        <v>0.7665384198260059</v>
      </c>
      <c r="E27" s="6">
        <f t="shared" si="134"/>
        <v>0.75918057608291079</v>
      </c>
      <c r="F27" s="6">
        <f t="shared" si="134"/>
        <v>0.75361966706539074</v>
      </c>
      <c r="G27" s="6">
        <f t="shared" si="134"/>
        <v>0.74734625623772877</v>
      </c>
      <c r="H27" s="6">
        <f t="shared" si="134"/>
        <v>0.75201078618252826</v>
      </c>
      <c r="I27" s="6">
        <f t="shared" si="134"/>
        <v>0.75251684173818778</v>
      </c>
      <c r="J27" s="6">
        <f t="shared" ref="J27:K27" si="135">+J10/J8</f>
        <v>0.75479192527017269</v>
      </c>
      <c r="K27" s="6">
        <f t="shared" si="135"/>
        <v>0.74069695184657436</v>
      </c>
      <c r="L27" s="6">
        <f>+L10/L8</f>
        <v>0.741935404675791</v>
      </c>
      <c r="M27" s="6">
        <f>+M10/M8</f>
        <v>0.74</v>
      </c>
      <c r="N27" s="6">
        <f t="shared" ref="N27" si="136">+N10/N8</f>
        <v>0.74</v>
      </c>
      <c r="W27" s="6">
        <f t="shared" ref="W27:AA27" si="137">+W10/W8</f>
        <v>0.78430285117529408</v>
      </c>
      <c r="X27" s="6">
        <f t="shared" si="137"/>
        <v>0.77589006604495769</v>
      </c>
      <c r="Y27" s="6">
        <f t="shared" si="137"/>
        <v>0.76211562605087735</v>
      </c>
      <c r="Z27" s="6">
        <f t="shared" si="137"/>
        <v>0.76007269633350993</v>
      </c>
      <c r="AA27" s="6">
        <f t="shared" si="137"/>
        <v>0.75183824852832126</v>
      </c>
      <c r="AB27" s="6">
        <f t="shared" ref="AB27:AQ27" si="138">+AB10/AB8</f>
        <v>0.74062900731500225</v>
      </c>
      <c r="AC27" s="6">
        <f t="shared" si="138"/>
        <v>0.75</v>
      </c>
      <c r="AD27" s="6">
        <f t="shared" si="138"/>
        <v>0.76</v>
      </c>
      <c r="AE27" s="6">
        <f t="shared" si="138"/>
        <v>0.76999999999999991</v>
      </c>
      <c r="AF27" s="6">
        <f t="shared" si="138"/>
        <v>0.77</v>
      </c>
      <c r="AG27" s="6">
        <f t="shared" si="138"/>
        <v>0.77</v>
      </c>
      <c r="AH27" s="6">
        <f t="shared" si="138"/>
        <v>0.77</v>
      </c>
      <c r="AI27" s="6">
        <f t="shared" si="138"/>
        <v>0.77</v>
      </c>
      <c r="AJ27" s="6">
        <f t="shared" si="138"/>
        <v>0.77</v>
      </c>
      <c r="AK27" s="6">
        <f t="shared" si="138"/>
        <v>0.77</v>
      </c>
      <c r="AL27" s="6">
        <f t="shared" si="138"/>
        <v>0.77</v>
      </c>
      <c r="AM27" s="6">
        <f t="shared" si="138"/>
        <v>0.77</v>
      </c>
      <c r="AN27" s="6">
        <f t="shared" si="138"/>
        <v>0.77</v>
      </c>
      <c r="AO27" s="6">
        <f t="shared" si="138"/>
        <v>0.77</v>
      </c>
      <c r="AP27" s="6">
        <f t="shared" si="138"/>
        <v>0.77</v>
      </c>
      <c r="AQ27" s="6">
        <f t="shared" si="138"/>
        <v>0.77</v>
      </c>
      <c r="AS27" t="s">
        <v>45</v>
      </c>
      <c r="AT27" s="8">
        <f>+AT26/Main!M3</f>
        <v>72.558496871149728</v>
      </c>
    </row>
    <row r="28" spans="2:109" x14ac:dyDescent="0.2">
      <c r="B28" t="s">
        <v>25</v>
      </c>
      <c r="D28" s="6">
        <f t="shared" ref="D28:K28" si="139">D15/D8</f>
        <v>-2.535662253488874E-2</v>
      </c>
      <c r="E28" s="6">
        <f t="shared" si="139"/>
        <v>-1.5930271635631817E-2</v>
      </c>
      <c r="F28" s="6">
        <f t="shared" si="139"/>
        <v>-2.410065567960307E-2</v>
      </c>
      <c r="G28" s="6">
        <f t="shared" si="139"/>
        <v>-3.6475121545138105E-3</v>
      </c>
      <c r="H28" s="6">
        <f t="shared" si="139"/>
        <v>1.2127114475947687E-2</v>
      </c>
      <c r="I28" s="6">
        <f t="shared" si="139"/>
        <v>2.5370816143068159E-2</v>
      </c>
      <c r="J28" s="6">
        <f t="shared" si="139"/>
        <v>1.136289528340362E-2</v>
      </c>
      <c r="K28" s="6">
        <f t="shared" si="139"/>
        <v>2.7124031424348237E-2</v>
      </c>
      <c r="L28" s="6">
        <f>L15/L8</f>
        <v>1.5982869639765612E-2</v>
      </c>
      <c r="M28" s="6">
        <f t="shared" ref="M28:N28" si="140">M15/M8</f>
        <v>4.7479975623695582E-2</v>
      </c>
      <c r="N28" s="6">
        <f t="shared" si="140"/>
        <v>3.7474050695840394E-2</v>
      </c>
      <c r="W28" s="6">
        <f t="shared" ref="W28:AA28" si="141">W15/W8</f>
        <v>-1.5479548333384089E-2</v>
      </c>
      <c r="X28" s="6">
        <f t="shared" si="141"/>
        <v>-3.6296040089240207E-2</v>
      </c>
      <c r="Y28" s="6">
        <f t="shared" si="141"/>
        <v>-7.0271134656496329E-2</v>
      </c>
      <c r="Z28" s="6">
        <f t="shared" si="141"/>
        <v>-2.7101641250367882E-2</v>
      </c>
      <c r="AA28" s="6">
        <f t="shared" si="141"/>
        <v>1.1744932217585345E-2</v>
      </c>
      <c r="AB28" s="6">
        <f t="shared" ref="AB28:AQ28" si="142">AB15/AB8</f>
        <v>3.2465476950452619E-2</v>
      </c>
      <c r="AC28" s="6">
        <f t="shared" si="142"/>
        <v>0.17809763199741838</v>
      </c>
      <c r="AD28" s="6">
        <f t="shared" si="142"/>
        <v>0.24850972330133503</v>
      </c>
      <c r="AE28" s="6">
        <f t="shared" si="142"/>
        <v>0.27221519652019632</v>
      </c>
      <c r="AF28" s="6">
        <f t="shared" si="142"/>
        <v>0.29898848190284949</v>
      </c>
      <c r="AG28" s="6">
        <f t="shared" si="142"/>
        <v>0.30481900469568524</v>
      </c>
      <c r="AH28" s="6">
        <f t="shared" si="142"/>
        <v>0.31053890797299072</v>
      </c>
      <c r="AI28" s="6">
        <f t="shared" si="142"/>
        <v>0.31053890797299061</v>
      </c>
      <c r="AJ28" s="6">
        <f t="shared" si="142"/>
        <v>0.31053890797299072</v>
      </c>
      <c r="AK28" s="6">
        <f t="shared" si="142"/>
        <v>0.31053890797299072</v>
      </c>
      <c r="AL28" s="6">
        <f t="shared" si="142"/>
        <v>0.31053890797299077</v>
      </c>
      <c r="AM28" s="6">
        <f t="shared" si="142"/>
        <v>0.31053890797299066</v>
      </c>
      <c r="AN28" s="6">
        <f t="shared" si="142"/>
        <v>0.31053890797299077</v>
      </c>
      <c r="AO28" s="6">
        <f t="shared" si="142"/>
        <v>0.31053890797299083</v>
      </c>
      <c r="AP28" s="6">
        <f t="shared" si="142"/>
        <v>0.31053890797299072</v>
      </c>
      <c r="AQ28" s="6">
        <f t="shared" si="142"/>
        <v>0.31053890797299083</v>
      </c>
      <c r="AT28" s="8"/>
    </row>
    <row r="30" spans="2:109" x14ac:dyDescent="0.2">
      <c r="B30" t="s">
        <v>75</v>
      </c>
      <c r="G30" s="3">
        <f t="shared" ref="G30:J30" si="143">+G31-G43</f>
        <v>646.97299999999996</v>
      </c>
      <c r="H30" s="3">
        <f t="shared" si="143"/>
        <v>1263.2370000000001</v>
      </c>
      <c r="I30" s="3">
        <f t="shared" si="143"/>
        <v>1510.3540000000003</v>
      </c>
      <c r="J30" s="3">
        <f t="shared" si="143"/>
        <v>1952.1510000000005</v>
      </c>
      <c r="K30" s="3">
        <f>+K31-K43</f>
        <v>2943.0320000000002</v>
      </c>
      <c r="L30" s="3">
        <f>+L31-L43</f>
        <v>471.27500000000009</v>
      </c>
      <c r="AT30" s="1"/>
    </row>
    <row r="31" spans="2:109" s="4" customFormat="1" x14ac:dyDescent="0.2">
      <c r="B31" s="18" t="s">
        <v>3</v>
      </c>
      <c r="C31" s="5"/>
      <c r="D31" s="5"/>
      <c r="E31" s="5"/>
      <c r="F31" s="5"/>
      <c r="G31" s="17">
        <f>941.956+77.059+903.461</f>
        <v>1922.4760000000001</v>
      </c>
      <c r="H31" s="17">
        <f>1089.351+81.118+896.494+477.886</f>
        <v>2544.8490000000002</v>
      </c>
      <c r="I31" s="17">
        <f>1223.318+134.687+943.301+496.809</f>
        <v>2798.1150000000002</v>
      </c>
      <c r="J31" s="17">
        <f>1158.363+183.018+1383.996+520.721</f>
        <v>3246.0980000000004</v>
      </c>
      <c r="K31" s="17">
        <f>1799.083+232.109+1684.26+520.75</f>
        <v>4236.2020000000002</v>
      </c>
      <c r="L31" s="17">
        <f>1115.226+59.057+545.663+548.258</f>
        <v>2268.2040000000002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S31" s="18"/>
      <c r="AT31" s="18"/>
    </row>
    <row r="32" spans="2:109" s="1" customFormat="1" x14ac:dyDescent="0.2">
      <c r="B32" s="1" t="s">
        <v>46</v>
      </c>
      <c r="C32" s="3"/>
      <c r="D32" s="3"/>
      <c r="E32" s="3"/>
      <c r="F32" s="3"/>
      <c r="G32" s="3">
        <v>926.38099999999997</v>
      </c>
      <c r="H32" s="3">
        <v>1067.799</v>
      </c>
      <c r="I32" s="3">
        <v>1060.7260000000001</v>
      </c>
      <c r="J32" s="3">
        <v>2496.165</v>
      </c>
      <c r="K32" s="3">
        <v>1192.9649999999999</v>
      </c>
      <c r="L32" s="3">
        <v>1323.114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S32" s="4"/>
      <c r="AT32" s="4"/>
    </row>
    <row r="33" spans="2:46" s="1" customFormat="1" x14ac:dyDescent="0.2">
      <c r="B33" s="1" t="s">
        <v>47</v>
      </c>
      <c r="C33" s="3"/>
      <c r="D33" s="3"/>
      <c r="E33" s="3"/>
      <c r="F33" s="3"/>
      <c r="G33" s="3">
        <f>208.101+153.018</f>
        <v>361.11900000000003</v>
      </c>
      <c r="H33" s="3">
        <f>211.314+143.871</f>
        <v>355.185</v>
      </c>
      <c r="I33" s="3">
        <f>208.133+148.147</f>
        <v>356.28</v>
      </c>
      <c r="J33" s="3">
        <f>259.187+189.943</f>
        <v>449.13</v>
      </c>
      <c r="K33" s="3">
        <f>243.89+180.245</f>
        <v>424.13499999999999</v>
      </c>
      <c r="L33" s="3">
        <f>236.75+169.245</f>
        <v>405.995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6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S33" s="4"/>
      <c r="AT33" s="4"/>
    </row>
    <row r="34" spans="2:46" s="1" customFormat="1" x14ac:dyDescent="0.2">
      <c r="B34" s="1" t="s">
        <v>48</v>
      </c>
      <c r="C34" s="3"/>
      <c r="D34" s="3"/>
      <c r="E34" s="3"/>
      <c r="F34" s="3"/>
      <c r="G34" s="3">
        <v>310.983</v>
      </c>
      <c r="H34" s="3">
        <v>330.291</v>
      </c>
      <c r="I34" s="3">
        <v>311.90899999999999</v>
      </c>
      <c r="J34" s="3">
        <v>250.59399999999999</v>
      </c>
      <c r="K34" s="3">
        <v>306.625</v>
      </c>
      <c r="L34" s="3">
        <v>543.85199999999998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2:46" s="1" customFormat="1" x14ac:dyDescent="0.2">
      <c r="B35" s="1" t="s">
        <v>49</v>
      </c>
      <c r="C35" s="3"/>
      <c r="D35" s="3"/>
      <c r="E35" s="3"/>
      <c r="F35" s="3"/>
      <c r="G35" s="3">
        <f>1737.094+140.345</f>
        <v>1877.4390000000001</v>
      </c>
      <c r="H35" s="3">
        <f>1725.184+136.914</f>
        <v>1862.098</v>
      </c>
      <c r="I35" s="3">
        <v>1742.1420000000001</v>
      </c>
      <c r="J35" s="3">
        <v>1715.828</v>
      </c>
      <c r="K35" s="3">
        <v>1711.472</v>
      </c>
      <c r="L35" s="3">
        <v>1728.2429999999999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2:46" s="1" customFormat="1" x14ac:dyDescent="0.2">
      <c r="B36" s="1" t="s">
        <v>50</v>
      </c>
      <c r="C36" s="3"/>
      <c r="D36" s="3"/>
      <c r="E36" s="3"/>
      <c r="F36" s="3"/>
      <c r="G36" s="3">
        <v>421.32299999999998</v>
      </c>
      <c r="H36" s="3">
        <v>414.03500000000003</v>
      </c>
      <c r="I36" s="3">
        <v>397.01299999999998</v>
      </c>
      <c r="J36" s="3">
        <v>384.25799999999998</v>
      </c>
      <c r="K36" s="3">
        <v>407.03</v>
      </c>
      <c r="L36" s="3">
        <v>626.21400000000006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2:46" s="1" customFormat="1" x14ac:dyDescent="0.2">
      <c r="B37" s="1" t="s">
        <v>51</v>
      </c>
      <c r="C37" s="3"/>
      <c r="D37" s="3"/>
      <c r="E37" s="3"/>
      <c r="F37" s="3"/>
      <c r="G37" s="3">
        <v>3791.5830000000001</v>
      </c>
      <c r="H37" s="3">
        <v>3804.288</v>
      </c>
      <c r="I37" s="3">
        <v>3849.0540000000001</v>
      </c>
      <c r="J37" s="3">
        <v>3849.9369999999999</v>
      </c>
      <c r="K37" s="3">
        <v>4129.6559999999999</v>
      </c>
      <c r="L37" s="3">
        <v>6029.8950000000004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2:46" s="1" customFormat="1" x14ac:dyDescent="0.2">
      <c r="B38" s="1" t="s">
        <v>52</v>
      </c>
      <c r="C38" s="3"/>
      <c r="D38" s="3"/>
      <c r="E38" s="3"/>
      <c r="F38" s="3"/>
      <c r="G38" s="3">
        <v>754.37800000000004</v>
      </c>
      <c r="H38" s="3">
        <v>415.43200000000002</v>
      </c>
      <c r="I38" s="3">
        <v>396.72699999999998</v>
      </c>
      <c r="J38" s="3">
        <v>378.762</v>
      </c>
      <c r="K38" s="3">
        <v>409.185</v>
      </c>
      <c r="L38" s="3">
        <v>1455.797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2:46" s="1" customFormat="1" x14ac:dyDescent="0.2">
      <c r="B39" s="1" t="s">
        <v>53</v>
      </c>
      <c r="C39" s="3"/>
      <c r="D39" s="3"/>
      <c r="E39" s="3"/>
      <c r="F39" s="3"/>
      <c r="G39" s="3">
        <f t="shared" ref="G39:L39" si="144">SUM(G31:G38)</f>
        <v>10365.682000000001</v>
      </c>
      <c r="H39" s="3">
        <f t="shared" si="144"/>
        <v>10793.977000000001</v>
      </c>
      <c r="I39" s="3">
        <f t="shared" si="144"/>
        <v>10911.966</v>
      </c>
      <c r="J39" s="3">
        <f t="shared" si="144"/>
        <v>12770.772000000001</v>
      </c>
      <c r="K39" s="3">
        <f t="shared" si="144"/>
        <v>12817.269999999999</v>
      </c>
      <c r="L39" s="3">
        <f t="shared" si="144"/>
        <v>14381.314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1" spans="2:46" s="1" customFormat="1" x14ac:dyDescent="0.2">
      <c r="B41" s="1" t="s">
        <v>54</v>
      </c>
      <c r="C41" s="3"/>
      <c r="D41" s="3"/>
      <c r="E41" s="3"/>
      <c r="F41" s="3"/>
      <c r="G41" s="3">
        <v>928.10500000000002</v>
      </c>
      <c r="H41" s="3">
        <v>1098.0540000000001</v>
      </c>
      <c r="I41" s="3">
        <v>1149.693</v>
      </c>
      <c r="J41" s="3">
        <v>1349.338</v>
      </c>
      <c r="K41" s="3">
        <v>1093.1969999999999</v>
      </c>
      <c r="L41" s="3">
        <v>1567.896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2:46" s="1" customFormat="1" x14ac:dyDescent="0.2">
      <c r="B42" s="1" t="s">
        <v>55</v>
      </c>
      <c r="C42" s="3"/>
      <c r="D42" s="3"/>
      <c r="E42" s="5"/>
      <c r="F42" s="5">
        <f>3286.768+34.681</f>
        <v>3321.4490000000001</v>
      </c>
      <c r="G42" s="5">
        <f>3032.771+24.049</f>
        <v>3056.82</v>
      </c>
      <c r="H42" s="5">
        <f>3014.94+20.051</f>
        <v>3034.991</v>
      </c>
      <c r="I42" s="5">
        <f>2827.285+19.225</f>
        <v>2846.5099999999998</v>
      </c>
      <c r="J42" s="5">
        <f>4267.667+23.886</f>
        <v>4291.5530000000008</v>
      </c>
      <c r="K42" s="5">
        <f>3991.906+15.008</f>
        <v>4006.9139999999998</v>
      </c>
      <c r="L42" s="5">
        <f>3808.2+15.361</f>
        <v>3823.5609999999997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2:46" s="1" customFormat="1" x14ac:dyDescent="0.2">
      <c r="B43" s="1" t="s">
        <v>4</v>
      </c>
      <c r="C43" s="3"/>
      <c r="D43" s="3"/>
      <c r="E43" s="3"/>
      <c r="F43" s="3"/>
      <c r="G43" s="3">
        <f>1076.727+198.776</f>
        <v>1275.5030000000002</v>
      </c>
      <c r="H43" s="3">
        <f>1082.799+198.813</f>
        <v>1281.6120000000001</v>
      </c>
      <c r="I43" s="3">
        <f>1088.91+198.851</f>
        <v>1287.761</v>
      </c>
      <c r="J43" s="3">
        <f>1095.059+198.888</f>
        <v>1293.9469999999999</v>
      </c>
      <c r="K43" s="3">
        <f>1095.104+198.066</f>
        <v>1293.17</v>
      </c>
      <c r="L43" s="3">
        <f>1102.15+496.646+198.133</f>
        <v>1796.9290000000001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2:46" s="1" customFormat="1" x14ac:dyDescent="0.2">
      <c r="B44" s="1" t="s">
        <v>56</v>
      </c>
      <c r="C44" s="3"/>
      <c r="D44" s="3"/>
      <c r="E44" s="3"/>
      <c r="F44" s="3"/>
      <c r="G44" s="3">
        <v>870.05100000000004</v>
      </c>
      <c r="H44" s="3">
        <v>843.51700000000005</v>
      </c>
      <c r="I44" s="3">
        <v>878.048</v>
      </c>
      <c r="J44" s="3">
        <v>833.06500000000005</v>
      </c>
      <c r="K44" s="3">
        <v>839.72500000000002</v>
      </c>
      <c r="L44" s="3">
        <v>1060.3520000000001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2:46" s="1" customFormat="1" x14ac:dyDescent="0.2">
      <c r="B45" s="1" t="s">
        <v>57</v>
      </c>
      <c r="C45" s="3"/>
      <c r="D45" s="3"/>
      <c r="E45" s="3"/>
      <c r="F45" s="3"/>
      <c r="G45" s="3">
        <v>4235.2030000000004</v>
      </c>
      <c r="H45" s="3">
        <v>4535.8029999999999</v>
      </c>
      <c r="I45" s="3">
        <v>4749.9539999999997</v>
      </c>
      <c r="J45" s="3">
        <v>5002.8689999999997</v>
      </c>
      <c r="K45" s="3">
        <v>5584.2640000000001</v>
      </c>
      <c r="L45" s="3">
        <v>6132.576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2:46" s="1" customFormat="1" x14ac:dyDescent="0.2">
      <c r="B46" s="1" t="s">
        <v>58</v>
      </c>
      <c r="C46" s="3"/>
      <c r="D46" s="3"/>
      <c r="E46" s="3"/>
      <c r="F46" s="3"/>
      <c r="G46" s="3">
        <f t="shared" ref="G46:L46" si="145">SUM(G41:G45)</f>
        <v>10365.682000000001</v>
      </c>
      <c r="H46" s="3">
        <f t="shared" si="145"/>
        <v>10793.976999999999</v>
      </c>
      <c r="I46" s="3">
        <f t="shared" si="145"/>
        <v>10911.966</v>
      </c>
      <c r="J46" s="3">
        <f t="shared" si="145"/>
        <v>12770.772000000001</v>
      </c>
      <c r="K46" s="3">
        <f t="shared" si="145"/>
        <v>12817.27</v>
      </c>
      <c r="L46" s="3">
        <f t="shared" si="145"/>
        <v>14381.313999999998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8" spans="2:46" s="1" customFormat="1" x14ac:dyDescent="0.2">
      <c r="B48" s="1" t="s">
        <v>59</v>
      </c>
      <c r="C48" s="3"/>
      <c r="D48" s="3"/>
      <c r="E48" s="3"/>
      <c r="F48" s="3"/>
      <c r="G48" s="3"/>
      <c r="H48" s="3"/>
      <c r="I48" s="3"/>
      <c r="J48" s="3"/>
      <c r="K48" s="3">
        <f>+K19</f>
        <v>25.895000000000103</v>
      </c>
      <c r="L48" s="3">
        <f>+L19</f>
        <v>24.283000000000161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2:41" s="1" customFormat="1" x14ac:dyDescent="0.2">
      <c r="B49" s="1" t="s">
        <v>60</v>
      </c>
      <c r="C49" s="3"/>
      <c r="D49" s="3"/>
      <c r="E49" s="3"/>
      <c r="F49" s="3"/>
      <c r="G49" s="3"/>
      <c r="H49" s="3"/>
      <c r="I49" s="3"/>
      <c r="J49" s="3"/>
      <c r="K49" s="3">
        <v>38.759</v>
      </c>
      <c r="L49" s="3">
        <v>229.62200000000001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2:41" s="1" customFormat="1" x14ac:dyDescent="0.2">
      <c r="B50" s="1" t="s">
        <v>64</v>
      </c>
      <c r="C50" s="3"/>
      <c r="D50" s="3"/>
      <c r="E50" s="3"/>
      <c r="F50" s="3"/>
      <c r="G50" s="3"/>
      <c r="H50" s="3"/>
      <c r="I50" s="3"/>
      <c r="J50" s="3"/>
      <c r="K50" s="3">
        <v>132.77199999999999</v>
      </c>
      <c r="L50" s="3">
        <v>149.36099999999999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2:41" s="1" customFormat="1" x14ac:dyDescent="0.2">
      <c r="B51" s="1" t="s">
        <v>63</v>
      </c>
      <c r="C51" s="3"/>
      <c r="D51" s="3"/>
      <c r="E51" s="3"/>
      <c r="F51" s="3"/>
      <c r="G51" s="3"/>
      <c r="H51" s="3"/>
      <c r="I51" s="3"/>
      <c r="J51" s="3"/>
      <c r="K51" s="3">
        <v>7.1849999999999996</v>
      </c>
      <c r="L51" s="3">
        <v>6.8680000000000003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2:41" s="1" customFormat="1" x14ac:dyDescent="0.2">
      <c r="B52" s="1" t="s">
        <v>76</v>
      </c>
      <c r="C52" s="3"/>
      <c r="D52" s="3"/>
      <c r="E52" s="3"/>
      <c r="F52" s="3"/>
      <c r="G52" s="3"/>
      <c r="H52" s="3"/>
      <c r="I52" s="3"/>
      <c r="J52" s="3"/>
      <c r="K52" s="3">
        <v>-12.864000000000001</v>
      </c>
      <c r="L52" s="3">
        <v>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2:41" s="1" customFormat="1" x14ac:dyDescent="0.2">
      <c r="B53" s="1" t="s">
        <v>62</v>
      </c>
      <c r="C53" s="3"/>
      <c r="D53" s="3"/>
      <c r="E53" s="3"/>
      <c r="F53" s="3"/>
      <c r="G53" s="3"/>
      <c r="H53" s="3"/>
      <c r="I53" s="3"/>
      <c r="J53" s="3"/>
      <c r="K53" s="3">
        <v>88.513999999999996</v>
      </c>
      <c r="L53" s="3">
        <v>88.783000000000001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2:41" s="1" customFormat="1" x14ac:dyDescent="0.2">
      <c r="B54" s="1" t="s">
        <v>35</v>
      </c>
      <c r="C54" s="3"/>
      <c r="D54" s="3"/>
      <c r="E54" s="3"/>
      <c r="F54" s="3"/>
      <c r="G54" s="3"/>
      <c r="H54" s="3"/>
      <c r="I54" s="3"/>
      <c r="J54" s="3"/>
      <c r="K54" s="3">
        <v>188.91900000000001</v>
      </c>
      <c r="L54" s="3">
        <v>182.31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2:41" s="1" customFormat="1" x14ac:dyDescent="0.2">
      <c r="B55" s="1" t="s">
        <v>61</v>
      </c>
      <c r="C55" s="3"/>
      <c r="D55" s="3"/>
      <c r="E55" s="3"/>
      <c r="F55" s="3"/>
      <c r="G55" s="3"/>
      <c r="H55" s="3"/>
      <c r="I55" s="3"/>
      <c r="J55" s="3"/>
      <c r="K55" s="3">
        <f>1307.312-63.519-56.671-286.228-293.117</f>
        <v>607.77699999999982</v>
      </c>
      <c r="L55" s="3">
        <f>-73.167-70.643-9.728-46.666-206.062</f>
        <v>-406.26600000000002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2:41" s="1" customFormat="1" x14ac:dyDescent="0.2">
      <c r="B56" s="1" t="s">
        <v>33</v>
      </c>
      <c r="C56" s="3"/>
      <c r="D56" s="3"/>
      <c r="E56" s="3"/>
      <c r="F56" s="3"/>
      <c r="G56" s="3"/>
      <c r="H56" s="3"/>
      <c r="I56" s="3"/>
      <c r="J56" s="3"/>
      <c r="K56" s="3">
        <f>SUM(K49:K55)</f>
        <v>1051.0619999999999</v>
      </c>
      <c r="L56" s="3">
        <f>SUM(L49:L55)</f>
        <v>250.67799999999994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8" spans="2:41" s="1" customFormat="1" x14ac:dyDescent="0.2">
      <c r="B58" s="1" t="s">
        <v>65</v>
      </c>
      <c r="C58" s="3"/>
      <c r="D58" s="3"/>
      <c r="E58" s="3"/>
      <c r="F58" s="3"/>
      <c r="G58" s="3"/>
      <c r="H58" s="3"/>
      <c r="I58" s="3"/>
      <c r="J58" s="3"/>
      <c r="K58" s="3">
        <v>-1.7989999999999999</v>
      </c>
      <c r="L58" s="3">
        <v>-2798.194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2:41" s="1" customFormat="1" x14ac:dyDescent="0.2">
      <c r="B59" s="1" t="s">
        <v>66</v>
      </c>
      <c r="C59" s="3"/>
      <c r="D59" s="3"/>
      <c r="E59" s="3"/>
      <c r="F59" s="3"/>
      <c r="G59" s="3"/>
      <c r="H59" s="3"/>
      <c r="I59" s="3"/>
      <c r="J59" s="3"/>
      <c r="K59" s="3">
        <v>-22.061</v>
      </c>
      <c r="L59" s="3">
        <v>-0.39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2:41" s="1" customFormat="1" x14ac:dyDescent="0.2">
      <c r="B60" s="1" t="s">
        <v>68</v>
      </c>
      <c r="C60" s="3"/>
      <c r="D60" s="3"/>
      <c r="E60" s="3"/>
      <c r="F60" s="3"/>
      <c r="G60" s="3"/>
      <c r="H60" s="3"/>
      <c r="I60" s="3"/>
      <c r="J60" s="3"/>
      <c r="K60" s="3">
        <f>-589.336+222.934+23.285</f>
        <v>-343.11700000000002</v>
      </c>
      <c r="L60" s="3">
        <f>-285.795+1610.724+27.253</f>
        <v>1352.1819999999998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2:41" s="1" customFormat="1" x14ac:dyDescent="0.2">
      <c r="B61" s="1" t="s">
        <v>34</v>
      </c>
      <c r="C61" s="3"/>
      <c r="D61" s="3"/>
      <c r="E61" s="3"/>
      <c r="F61" s="3"/>
      <c r="G61" s="3"/>
      <c r="H61" s="3"/>
      <c r="I61" s="3"/>
      <c r="J61" s="3"/>
      <c r="K61" s="3">
        <v>-83.301000000000002</v>
      </c>
      <c r="L61" s="3">
        <v>-96.03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2:41" s="1" customFormat="1" x14ac:dyDescent="0.2">
      <c r="B62" s="1" t="s">
        <v>67</v>
      </c>
      <c r="C62" s="3"/>
      <c r="D62" s="3"/>
      <c r="E62" s="3"/>
      <c r="F62" s="3"/>
      <c r="G62" s="3"/>
      <c r="H62" s="3"/>
      <c r="I62" s="3"/>
      <c r="J62" s="3"/>
      <c r="K62" s="3">
        <f>SUM(K58:K61)</f>
        <v>-450.27800000000002</v>
      </c>
      <c r="L62" s="3">
        <f>SUM(L58:L61)</f>
        <v>-1542.432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4" spans="2:41" s="1" customFormat="1" x14ac:dyDescent="0.2">
      <c r="B64" s="1" t="s">
        <v>71</v>
      </c>
      <c r="C64" s="3"/>
      <c r="D64" s="3"/>
      <c r="E64" s="3"/>
      <c r="F64" s="3"/>
      <c r="G64" s="3"/>
      <c r="H64" s="3"/>
      <c r="I64" s="3"/>
      <c r="J64" s="3"/>
      <c r="K64" s="3">
        <v>0</v>
      </c>
      <c r="L64" s="3">
        <v>495.55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2:41" s="1" customFormat="1" x14ac:dyDescent="0.2">
      <c r="B65" s="1" t="s">
        <v>70</v>
      </c>
      <c r="C65" s="3"/>
      <c r="D65" s="3"/>
      <c r="E65" s="3"/>
      <c r="F65" s="3"/>
      <c r="G65" s="3"/>
      <c r="H65" s="3"/>
      <c r="I65" s="3"/>
      <c r="J65" s="3"/>
      <c r="K65" s="3">
        <v>89.141000000000005</v>
      </c>
      <c r="L65" s="3">
        <v>133.87799999999999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2:41" s="1" customFormat="1" x14ac:dyDescent="0.2">
      <c r="B66" s="1" t="s">
        <v>69</v>
      </c>
      <c r="C66" s="3"/>
      <c r="D66" s="3"/>
      <c r="E66" s="3"/>
      <c r="F66" s="3"/>
      <c r="G66" s="3"/>
      <c r="H66" s="3"/>
      <c r="I66" s="3"/>
      <c r="J66" s="3"/>
      <c r="K66" s="3">
        <v>-49.968000000000004</v>
      </c>
      <c r="L66" s="3">
        <v>-12.795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2:41" s="1" customFormat="1" x14ac:dyDescent="0.2">
      <c r="B67" s="1" t="s">
        <v>72</v>
      </c>
      <c r="C67" s="3"/>
      <c r="D67" s="3"/>
      <c r="E67" s="3"/>
      <c r="F67" s="3"/>
      <c r="G67" s="3"/>
      <c r="H67" s="3"/>
      <c r="I67" s="3"/>
      <c r="J67" s="3"/>
      <c r="K67" s="3">
        <f>SUM(K64:K66)</f>
        <v>39.173000000000002</v>
      </c>
      <c r="L67" s="3">
        <f>SUM(L64:L66)</f>
        <v>616.63300000000004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2:41" x14ac:dyDescent="0.2">
      <c r="B68" s="1" t="s">
        <v>74</v>
      </c>
      <c r="K68" s="3">
        <v>0.76300000000000001</v>
      </c>
      <c r="L68" s="3">
        <v>-87.36</v>
      </c>
    </row>
    <row r="69" spans="2:41" x14ac:dyDescent="0.2">
      <c r="B69" s="1" t="s">
        <v>73</v>
      </c>
      <c r="K69" s="3">
        <f>+K68+K67+K62+K56</f>
        <v>640.7199999999998</v>
      </c>
      <c r="L69" s="3">
        <f>+L68+L67+L62+L56</f>
        <v>-762.48099999999999</v>
      </c>
    </row>
    <row r="71" spans="2:41" x14ac:dyDescent="0.2">
      <c r="B71" s="1" t="s">
        <v>77</v>
      </c>
      <c r="K71" s="3">
        <f>+K56+K61-K54+K65</f>
        <v>867.98299999999983</v>
      </c>
      <c r="L71" s="3">
        <f>+L56+L61-L54+L65</f>
        <v>106.21599999999992</v>
      </c>
    </row>
    <row r="72" spans="2:41" x14ac:dyDescent="0.2">
      <c r="U72" s="6"/>
    </row>
    <row r="73" spans="2:41" x14ac:dyDescent="0.2">
      <c r="B73" s="1" t="s">
        <v>99</v>
      </c>
      <c r="P73" s="2">
        <v>3.36</v>
      </c>
      <c r="Q73" s="11">
        <v>10.66</v>
      </c>
      <c r="R73" s="2">
        <v>10.96</v>
      </c>
      <c r="S73" s="14">
        <v>12.98</v>
      </c>
      <c r="T73" s="22">
        <v>6.9</v>
      </c>
      <c r="U73" s="21">
        <v>15.887499999999999</v>
      </c>
      <c r="V73" s="7">
        <v>32.29</v>
      </c>
      <c r="W73" s="7">
        <v>29.2</v>
      </c>
      <c r="X73" s="7">
        <v>43.03</v>
      </c>
      <c r="Y73" s="7">
        <v>60.53</v>
      </c>
      <c r="Z73" s="7">
        <v>56.45</v>
      </c>
      <c r="AA73" s="7">
        <v>68.06</v>
      </c>
    </row>
    <row r="74" spans="2:41" x14ac:dyDescent="0.2">
      <c r="B74" s="1"/>
      <c r="Q74" s="6">
        <f>Q73/P73-1</f>
        <v>2.1726190476190479</v>
      </c>
      <c r="R74" s="6">
        <f t="shared" ref="R74" si="146">R73/Q73-1</f>
        <v>2.8142589118199002E-2</v>
      </c>
      <c r="S74" s="6">
        <f t="shared" ref="S74" si="147">S73/R73-1</f>
        <v>0.18430656934306566</v>
      </c>
      <c r="T74" s="6">
        <f t="shared" ref="T74" si="148">T73/S73-1</f>
        <v>-0.46841294298921421</v>
      </c>
      <c r="U74" s="6">
        <f t="shared" ref="U74" si="149">U73/T73-1</f>
        <v>1.3025362318840576</v>
      </c>
      <c r="V74" s="6">
        <f t="shared" ref="V74" si="150">V73/U73-1</f>
        <v>1.0324154209284027</v>
      </c>
      <c r="W74" s="6">
        <f t="shared" ref="W74" si="151">W73/V73-1</f>
        <v>-9.5695261690926015E-2</v>
      </c>
      <c r="X74" s="6">
        <f t="shared" ref="X74" si="152">X73/W73-1</f>
        <v>0.47363013698630141</v>
      </c>
      <c r="Y74" s="6">
        <f t="shared" ref="Y74" si="153">Y73/X73-1</f>
        <v>0.40669300488031612</v>
      </c>
      <c r="Z74" s="6">
        <f t="shared" ref="Z74" si="154">Z73/Y73-1</f>
        <v>-6.7404592763918636E-2</v>
      </c>
      <c r="AA74" s="6">
        <f t="shared" ref="AA74" si="155">AA73/Z73-1</f>
        <v>0.20566873339238256</v>
      </c>
    </row>
    <row r="75" spans="2:41" x14ac:dyDescent="0.2">
      <c r="B75" s="10" t="s">
        <v>17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5">
        <f>+P8</f>
        <v>176.375</v>
      </c>
      <c r="Q75" s="5">
        <f t="shared" ref="Q75:AA75" si="156">+Q8</f>
        <v>309.85700000000003</v>
      </c>
      <c r="R75" s="5">
        <f t="shared" si="156"/>
        <v>497.09800000000001</v>
      </c>
      <c r="S75" s="5">
        <f t="shared" si="156"/>
        <v>748.7</v>
      </c>
      <c r="T75" s="5">
        <f t="shared" si="156"/>
        <v>1076.769</v>
      </c>
      <c r="U75" s="5">
        <f t="shared" si="156"/>
        <v>1305.5830000000001</v>
      </c>
      <c r="V75" s="5">
        <f t="shared" si="156"/>
        <v>1657.1389999999999</v>
      </c>
      <c r="W75" s="5">
        <f t="shared" si="156"/>
        <v>2266.5389999999998</v>
      </c>
      <c r="X75" s="5">
        <f t="shared" si="156"/>
        <v>3050.1950000000002</v>
      </c>
      <c r="Y75" s="5">
        <f t="shared" si="156"/>
        <v>4071.0029999999997</v>
      </c>
      <c r="Z75" s="5">
        <f t="shared" si="156"/>
        <v>5373.5860000000002</v>
      </c>
      <c r="AA75" s="5">
        <f t="shared" si="156"/>
        <v>6667.2160000000003</v>
      </c>
    </row>
    <row r="76" spans="2:41" x14ac:dyDescent="0.2">
      <c r="Q76" s="6">
        <f>Q75/P75-1</f>
        <v>0.75680793763288468</v>
      </c>
      <c r="R76" s="6">
        <f t="shared" ref="R76:AA76" si="157">R75/Q75-1</f>
        <v>0.60428197523373672</v>
      </c>
      <c r="S76" s="6">
        <f t="shared" si="157"/>
        <v>0.506141646114046</v>
      </c>
      <c r="T76" s="6">
        <f t="shared" si="157"/>
        <v>0.43818485374649385</v>
      </c>
      <c r="U76" s="15">
        <f t="shared" si="157"/>
        <v>0.21250054561377607</v>
      </c>
      <c r="V76" s="15">
        <f t="shared" si="157"/>
        <v>0.26927127574424592</v>
      </c>
      <c r="W76" s="15">
        <f t="shared" si="157"/>
        <v>0.36774223526209915</v>
      </c>
      <c r="X76" s="15">
        <f t="shared" si="157"/>
        <v>0.3457500620990861</v>
      </c>
      <c r="Y76" s="15">
        <f t="shared" si="157"/>
        <v>0.33466975062250093</v>
      </c>
      <c r="Z76" s="15">
        <f t="shared" si="157"/>
        <v>0.31996611154548416</v>
      </c>
      <c r="AA76" s="15">
        <f t="shared" si="157"/>
        <v>0.24073867990574627</v>
      </c>
    </row>
    <row r="77" spans="2:41" x14ac:dyDescent="0.2">
      <c r="Q77" s="7">
        <f>Q75/$Q$81</f>
        <v>0.46806193353474324</v>
      </c>
      <c r="R77" s="7">
        <f t="shared" ref="R77:AA77" si="158">R75/$Q$81</f>
        <v>0.75090332326283993</v>
      </c>
      <c r="S77" s="7">
        <f t="shared" si="158"/>
        <v>1.1309667673716013</v>
      </c>
      <c r="T77" s="7">
        <f t="shared" si="158"/>
        <v>1.6265392749244714</v>
      </c>
      <c r="U77" s="7">
        <f t="shared" si="158"/>
        <v>1.9721797583081573</v>
      </c>
      <c r="V77" s="7">
        <f t="shared" si="158"/>
        <v>2.5032311178247735</v>
      </c>
      <c r="W77" s="7">
        <f t="shared" si="158"/>
        <v>3.4237749244712989</v>
      </c>
      <c r="X77" s="7">
        <f t="shared" si="158"/>
        <v>4.6075453172205441</v>
      </c>
      <c r="Y77" s="7">
        <f t="shared" si="158"/>
        <v>6.1495513595166162</v>
      </c>
      <c r="Z77" s="7">
        <f t="shared" si="158"/>
        <v>8.1171993957703936</v>
      </c>
      <c r="AA77" s="7">
        <f t="shared" si="158"/>
        <v>10.071323262839879</v>
      </c>
    </row>
    <row r="78" spans="2:4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2:41" x14ac:dyDescent="0.2">
      <c r="B79" t="s">
        <v>100</v>
      </c>
      <c r="Q79" s="21">
        <f>Q73/Q77</f>
        <v>22.774763842675814</v>
      </c>
      <c r="R79" s="21">
        <f t="shared" ref="R79:AA79" si="159">R73/R77</f>
        <v>14.595753754792817</v>
      </c>
      <c r="S79" s="21">
        <f t="shared" si="159"/>
        <v>11.476906638172833</v>
      </c>
      <c r="T79" s="21">
        <f t="shared" si="159"/>
        <v>4.2421354998147232</v>
      </c>
      <c r="U79" s="21">
        <f t="shared" si="159"/>
        <v>8.0558072523922259</v>
      </c>
      <c r="V79" s="21">
        <f t="shared" si="159"/>
        <v>12.899328300160699</v>
      </c>
      <c r="W79" s="21">
        <f t="shared" si="159"/>
        <v>8.5285980077995571</v>
      </c>
      <c r="X79" s="21">
        <f t="shared" si="159"/>
        <v>9.3390291440383315</v>
      </c>
      <c r="Y79" s="21">
        <f t="shared" si="159"/>
        <v>9.8429944659829527</v>
      </c>
      <c r="Z79" s="21">
        <f t="shared" si="159"/>
        <v>6.9543690191242868</v>
      </c>
      <c r="AA79" s="21">
        <f t="shared" si="159"/>
        <v>6.7578011571846481</v>
      </c>
    </row>
    <row r="80" spans="2:41" x14ac:dyDescent="0.2"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2:41" x14ac:dyDescent="0.2">
      <c r="Q81" s="2">
        <v>662</v>
      </c>
    </row>
    <row r="83" spans="2:41" x14ac:dyDescent="0.2">
      <c r="B83" t="s">
        <v>91</v>
      </c>
      <c r="H83" s="3">
        <v>671</v>
      </c>
      <c r="I83" s="3"/>
      <c r="J83" s="3"/>
      <c r="K83" s="3"/>
      <c r="L83" s="3">
        <v>754.9</v>
      </c>
    </row>
    <row r="84" spans="2:41" x14ac:dyDescent="0.2">
      <c r="B84" t="s">
        <v>92</v>
      </c>
      <c r="H84" s="3">
        <v>445.2</v>
      </c>
      <c r="I84" s="3"/>
      <c r="J84" s="3"/>
      <c r="K84" s="3"/>
      <c r="L84" s="3">
        <v>575.4</v>
      </c>
    </row>
    <row r="85" spans="2:41" x14ac:dyDescent="0.2">
      <c r="B85" t="s">
        <v>89</v>
      </c>
      <c r="H85" s="3">
        <v>247.2</v>
      </c>
      <c r="I85" s="3"/>
      <c r="J85" s="3"/>
      <c r="K85" s="3"/>
      <c r="L85" s="3">
        <v>353.4</v>
      </c>
    </row>
    <row r="86" spans="2:41" x14ac:dyDescent="0.2">
      <c r="B86" t="s">
        <v>93</v>
      </c>
      <c r="H86" s="3">
        <v>157.9</v>
      </c>
      <c r="I86" s="3"/>
      <c r="J86" s="3"/>
      <c r="K86" s="3"/>
      <c r="L86" s="3">
        <v>202.4</v>
      </c>
    </row>
    <row r="87" spans="2:41" x14ac:dyDescent="0.2">
      <c r="H87" s="3">
        <f>SUM(H83:H86)</f>
        <v>1521.3000000000002</v>
      </c>
      <c r="L87" s="3">
        <f>SUM(L83:L86)</f>
        <v>1886.1</v>
      </c>
    </row>
    <row r="89" spans="2:41" x14ac:dyDescent="0.2">
      <c r="H89" s="6">
        <f>H83/$H$87</f>
        <v>0.44107013738250178</v>
      </c>
      <c r="L89" s="6">
        <f>L83/$L$87</f>
        <v>0.40024388950744927</v>
      </c>
    </row>
    <row r="90" spans="2:41" x14ac:dyDescent="0.2">
      <c r="H90" s="6">
        <f t="shared" ref="H90:H92" si="160">H84/$H$87</f>
        <v>0.29264444882666135</v>
      </c>
      <c r="L90" s="6">
        <f t="shared" ref="L90:L92" si="161">L84/$L$87</f>
        <v>0.30507396214410687</v>
      </c>
    </row>
    <row r="91" spans="2:41" x14ac:dyDescent="0.2">
      <c r="H91" s="6">
        <f t="shared" si="160"/>
        <v>0.16249260500887397</v>
      </c>
      <c r="L91" s="6">
        <f t="shared" si="161"/>
        <v>0.18737076507078099</v>
      </c>
    </row>
    <row r="92" spans="2:41" x14ac:dyDescent="0.2">
      <c r="H92" s="6">
        <f t="shared" si="160"/>
        <v>0.10379280878196279</v>
      </c>
      <c r="L92" s="6">
        <f t="shared" si="161"/>
        <v>0.10731138327766292</v>
      </c>
    </row>
    <row r="95" spans="2:41" s="1" customFormat="1" x14ac:dyDescent="0.2">
      <c r="B95" s="1" t="s">
        <v>78</v>
      </c>
      <c r="C95" s="3"/>
      <c r="D95" s="3"/>
      <c r="E95" s="3"/>
      <c r="F95" s="3"/>
      <c r="G95" s="3"/>
      <c r="H95" s="3">
        <v>1202.173</v>
      </c>
      <c r="I95" s="3"/>
      <c r="J95" s="3"/>
      <c r="K95" s="3"/>
      <c r="L95" s="3">
        <v>1495.201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2:41" s="1" customFormat="1" x14ac:dyDescent="0.2">
      <c r="B96" s="1" t="s">
        <v>79</v>
      </c>
      <c r="C96" s="3"/>
      <c r="D96" s="3"/>
      <c r="E96" s="3"/>
      <c r="F96" s="3"/>
      <c r="G96" s="3"/>
      <c r="H96" s="3">
        <v>286.904</v>
      </c>
      <c r="I96" s="3"/>
      <c r="J96" s="3"/>
      <c r="K96" s="3"/>
      <c r="L96" s="3">
        <v>347.32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2:41" s="1" customFormat="1" x14ac:dyDescent="0.2">
      <c r="B97" s="1" t="s">
        <v>80</v>
      </c>
      <c r="C97" s="3"/>
      <c r="D97" s="3"/>
      <c r="E97" s="3"/>
      <c r="F97" s="3"/>
      <c r="G97" s="3"/>
      <c r="H97" s="3">
        <v>145.607</v>
      </c>
      <c r="I97" s="3"/>
      <c r="J97" s="3"/>
      <c r="K97" s="3"/>
      <c r="L97" s="3">
        <v>194.09700000000001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2:41" x14ac:dyDescent="0.2">
      <c r="H98" s="3">
        <f>SUM(H95:H97)</f>
        <v>1634.684</v>
      </c>
      <c r="L98" s="3">
        <f>SUM(L95:L97)</f>
        <v>2036.6179999999999</v>
      </c>
    </row>
    <row r="100" spans="2:41" x14ac:dyDescent="0.2">
      <c r="H100" s="6">
        <f>H95/H98</f>
        <v>0.73541614159066826</v>
      </c>
      <c r="L100" s="6">
        <f>L95/L98</f>
        <v>0.73415878677297364</v>
      </c>
    </row>
  </sheetData>
  <hyperlinks>
    <hyperlink ref="A1" location="Main!A1" display="Main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2016-09-11T22:09:53Z</dcterms:created>
  <dcterms:modified xsi:type="dcterms:W3CDTF">2016-09-18T22:30:29Z</dcterms:modified>
</cp:coreProperties>
</file>