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645" windowHeight="12225" activeTab="1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2" l="1"/>
  <c r="K47" i="2"/>
  <c r="K40" i="2"/>
  <c r="K34" i="2"/>
  <c r="K31" i="2"/>
  <c r="K29" i="2"/>
  <c r="K18" i="2" l="1"/>
  <c r="K16" i="2"/>
  <c r="X22" i="2"/>
  <c r="W22" i="2"/>
  <c r="K13" i="2"/>
  <c r="K10" i="2"/>
  <c r="X14" i="2"/>
  <c r="W14" i="2"/>
  <c r="K14" i="2"/>
  <c r="J8" i="2"/>
  <c r="I8" i="2"/>
  <c r="H8" i="2"/>
  <c r="G8" i="2"/>
  <c r="F8" i="2"/>
  <c r="E8" i="2"/>
  <c r="D8" i="2"/>
  <c r="K7" i="2"/>
  <c r="K8" i="2" s="1"/>
  <c r="K22" i="2" l="1"/>
  <c r="Y7" i="2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Z9" i="2" l="1"/>
  <c r="DG19" i="2"/>
  <c r="DF19" i="2"/>
  <c r="DE19" i="2"/>
  <c r="DD19" i="2"/>
  <c r="DC19" i="2"/>
  <c r="Y9" i="2"/>
  <c r="Y8" i="2" s="1"/>
  <c r="X15" i="2"/>
  <c r="X12" i="2"/>
  <c r="X13" i="2" s="1"/>
  <c r="X9" i="2"/>
  <c r="X8" i="2" s="1"/>
  <c r="M4" i="1"/>
  <c r="M7" i="1" s="1"/>
  <c r="W13" i="2"/>
  <c r="W9" i="2"/>
  <c r="W21" i="2" s="1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Y12" i="2" l="1"/>
  <c r="W16" i="2"/>
  <c r="AB9" i="2"/>
  <c r="Z8" i="2"/>
  <c r="X16" i="2"/>
  <c r="X17" i="2" s="1"/>
  <c r="X18" i="2" s="1"/>
  <c r="X24" i="2" s="1"/>
  <c r="Y15" i="2" s="1"/>
  <c r="X21" i="2"/>
  <c r="W17" i="2"/>
  <c r="W18" i="2" s="1"/>
  <c r="Y13" i="2" l="1"/>
  <c r="Y14" i="2" s="1"/>
  <c r="Z12" i="2"/>
  <c r="Y16" i="2"/>
  <c r="Y17" i="2" s="1"/>
  <c r="Y18" i="2" s="1"/>
  <c r="Y24" i="2" s="1"/>
  <c r="AB8" i="2"/>
  <c r="AC9" i="2"/>
  <c r="AA9" i="2"/>
  <c r="Z13" i="2" l="1"/>
  <c r="Z14" i="2" s="1"/>
  <c r="AA12" i="2"/>
  <c r="AD9" i="2"/>
  <c r="AD8" i="2"/>
  <c r="AC8" i="2"/>
  <c r="AA8" i="2"/>
  <c r="Z15" i="2"/>
  <c r="Z16" i="2" s="1"/>
  <c r="Z17" i="2" s="1"/>
  <c r="Z18" i="2" s="1"/>
  <c r="Z24" i="2" s="1"/>
  <c r="AA13" i="2" l="1"/>
  <c r="AA14" i="2" s="1"/>
  <c r="AB12" i="2"/>
  <c r="AE9" i="2"/>
  <c r="AA15" i="2"/>
  <c r="AA16" i="2" s="1"/>
  <c r="AA17" i="2" s="1"/>
  <c r="AA18" i="2" s="1"/>
  <c r="AA24" i="2" s="1"/>
  <c r="AB15" i="2" s="1"/>
  <c r="AB13" i="2" l="1"/>
  <c r="AB14" i="2" s="1"/>
  <c r="AB16" i="2" s="1"/>
  <c r="AB17" i="2" s="1"/>
  <c r="AB18" i="2" s="1"/>
  <c r="AB24" i="2" s="1"/>
  <c r="AC12" i="2"/>
  <c r="AE8" i="2"/>
  <c r="AF9" i="2"/>
  <c r="AF8" i="2"/>
  <c r="AC13" i="2" l="1"/>
  <c r="AC14" i="2" s="1"/>
  <c r="AD12" i="2"/>
  <c r="AG9" i="2"/>
  <c r="AC15" i="2"/>
  <c r="AC16" i="2" s="1"/>
  <c r="AC17" i="2" s="1"/>
  <c r="AC18" i="2" s="1"/>
  <c r="AC24" i="2" s="1"/>
  <c r="AD13" i="2" l="1"/>
  <c r="AD14" i="2" s="1"/>
  <c r="AE12" i="2"/>
  <c r="AG8" i="2"/>
  <c r="AH9" i="2"/>
  <c r="AD15" i="2"/>
  <c r="AD16" i="2" s="1"/>
  <c r="AE13" i="2" l="1"/>
  <c r="AE14" i="2" s="1"/>
  <c r="AF12" i="2"/>
  <c r="AH8" i="2"/>
  <c r="AI9" i="2"/>
  <c r="AD17" i="2"/>
  <c r="AD18" i="2" s="1"/>
  <c r="AG12" i="2" l="1"/>
  <c r="AF13" i="2"/>
  <c r="AF14" i="2" s="1"/>
  <c r="AD24" i="2"/>
  <c r="AE15" i="2" s="1"/>
  <c r="AE16" i="2" s="1"/>
  <c r="AD19" i="2"/>
  <c r="AI8" i="2"/>
  <c r="AJ9" i="2"/>
  <c r="AJ8" i="2"/>
  <c r="AH12" i="2" l="1"/>
  <c r="AG13" i="2"/>
  <c r="AG14" i="2" s="1"/>
  <c r="AK9" i="2"/>
  <c r="AE17" i="2"/>
  <c r="AE18" i="2" s="1"/>
  <c r="AH13" i="2" l="1"/>
  <c r="AH14" i="2" s="1"/>
  <c r="AI12" i="2"/>
  <c r="AE24" i="2"/>
  <c r="AF15" i="2" s="1"/>
  <c r="AF16" i="2" s="1"/>
  <c r="AE19" i="2"/>
  <c r="AK8" i="2"/>
  <c r="AI13" i="2" l="1"/>
  <c r="AI14" i="2" s="1"/>
  <c r="AJ12" i="2"/>
  <c r="AF17" i="2"/>
  <c r="AF18" i="2" s="1"/>
  <c r="AJ13" i="2" l="1"/>
  <c r="AJ14" i="2" s="1"/>
  <c r="AK12" i="2"/>
  <c r="AK13" i="2" s="1"/>
  <c r="AK14" i="2" s="1"/>
  <c r="AF24" i="2"/>
  <c r="AG15" i="2" s="1"/>
  <c r="AG16" i="2" s="1"/>
  <c r="AF19" i="2"/>
  <c r="AG17" i="2" l="1"/>
  <c r="AG18" i="2" s="1"/>
  <c r="AG24" i="2" l="1"/>
  <c r="AH15" i="2" s="1"/>
  <c r="AH16" i="2" s="1"/>
  <c r="AG19" i="2"/>
  <c r="AH17" i="2" l="1"/>
  <c r="AH18" i="2" s="1"/>
  <c r="AH24" i="2" l="1"/>
  <c r="AI15" i="2" s="1"/>
  <c r="AI16" i="2" s="1"/>
  <c r="AH19" i="2"/>
  <c r="AI17" i="2" l="1"/>
  <c r="AI18" i="2" s="1"/>
  <c r="AI24" i="2" l="1"/>
  <c r="AJ15" i="2" s="1"/>
  <c r="AJ16" i="2" s="1"/>
  <c r="AI19" i="2"/>
  <c r="AJ17" i="2" l="1"/>
  <c r="AJ18" i="2" s="1"/>
  <c r="AJ24" i="2" l="1"/>
  <c r="AK15" i="2" s="1"/>
  <c r="AK16" i="2" s="1"/>
  <c r="AJ19" i="2"/>
  <c r="AK17" i="2" l="1"/>
  <c r="AK18" i="2" s="1"/>
  <c r="AK24" i="2" l="1"/>
  <c r="AK19" i="2"/>
  <c r="AL18" i="2"/>
  <c r="AL19" i="2" l="1"/>
  <c r="AM18" i="2"/>
  <c r="AN18" i="2" l="1"/>
  <c r="AM19" i="2"/>
  <c r="AO18" i="2" l="1"/>
  <c r="AN19" i="2"/>
  <c r="AP18" i="2" l="1"/>
  <c r="AO19" i="2"/>
  <c r="AQ18" i="2" l="1"/>
  <c r="AP19" i="2"/>
  <c r="AR18" i="2" l="1"/>
  <c r="AQ19" i="2"/>
  <c r="AS18" i="2" l="1"/>
  <c r="AR19" i="2"/>
  <c r="AT18" i="2" l="1"/>
  <c r="AS19" i="2"/>
  <c r="AU18" i="2" l="1"/>
  <c r="AT19" i="2"/>
  <c r="AV18" i="2" l="1"/>
  <c r="AU19" i="2"/>
  <c r="AW18" i="2" l="1"/>
  <c r="AV19" i="2"/>
  <c r="AX18" i="2" l="1"/>
  <c r="AW19" i="2"/>
  <c r="AY18" i="2" l="1"/>
  <c r="AX19" i="2"/>
  <c r="AZ18" i="2" l="1"/>
  <c r="AY19" i="2"/>
  <c r="BA18" i="2" l="1"/>
  <c r="AZ19" i="2"/>
  <c r="BB18" i="2" l="1"/>
  <c r="BA19" i="2"/>
  <c r="BC18" i="2" l="1"/>
  <c r="BB19" i="2"/>
  <c r="BD18" i="2" l="1"/>
  <c r="BC19" i="2"/>
  <c r="BE18" i="2" l="1"/>
  <c r="BD19" i="2"/>
  <c r="BF18" i="2" l="1"/>
  <c r="BE19" i="2"/>
  <c r="BG18" i="2" l="1"/>
  <c r="BF19" i="2"/>
  <c r="BH18" i="2" l="1"/>
  <c r="BG19" i="2"/>
  <c r="BI18" i="2" l="1"/>
  <c r="BH19" i="2"/>
  <c r="BJ18" i="2" l="1"/>
  <c r="BI19" i="2"/>
  <c r="BK18" i="2" l="1"/>
  <c r="BJ19" i="2"/>
  <c r="BL18" i="2" l="1"/>
  <c r="BK19" i="2"/>
  <c r="BM18" i="2" l="1"/>
  <c r="BL19" i="2"/>
  <c r="BN18" i="2" l="1"/>
  <c r="BM19" i="2"/>
  <c r="BO18" i="2" l="1"/>
  <c r="BN19" i="2"/>
  <c r="BP18" i="2" l="1"/>
  <c r="BO19" i="2"/>
  <c r="BQ18" i="2" l="1"/>
  <c r="BP19" i="2"/>
  <c r="BR18" i="2" l="1"/>
  <c r="BQ19" i="2"/>
  <c r="BS18" i="2" l="1"/>
  <c r="BR19" i="2"/>
  <c r="BT18" i="2" l="1"/>
  <c r="BS19" i="2"/>
  <c r="BU18" i="2" l="1"/>
  <c r="BT19" i="2"/>
  <c r="BV18" i="2" l="1"/>
  <c r="BU19" i="2"/>
  <c r="BW18" i="2" l="1"/>
  <c r="BV19" i="2"/>
  <c r="BX18" i="2" l="1"/>
  <c r="BW19" i="2"/>
  <c r="BY18" i="2" l="1"/>
  <c r="BX19" i="2"/>
  <c r="BZ18" i="2" l="1"/>
  <c r="BY19" i="2"/>
  <c r="BZ19" i="2" l="1"/>
  <c r="CA18" i="2"/>
  <c r="CB18" i="2" l="1"/>
  <c r="CA19" i="2"/>
  <c r="CC18" i="2" l="1"/>
  <c r="CB19" i="2"/>
  <c r="CC19" i="2" l="1"/>
  <c r="CD18" i="2"/>
  <c r="CD19" i="2" l="1"/>
  <c r="CE18" i="2"/>
  <c r="CF18" i="2" l="1"/>
  <c r="CE19" i="2"/>
  <c r="CF19" i="2" l="1"/>
  <c r="CG18" i="2"/>
  <c r="CG19" i="2" l="1"/>
  <c r="CH18" i="2"/>
  <c r="CH19" i="2" l="1"/>
  <c r="CI18" i="2"/>
  <c r="CJ18" i="2" l="1"/>
  <c r="CI19" i="2"/>
  <c r="CJ19" i="2" l="1"/>
  <c r="CK18" i="2"/>
  <c r="CK19" i="2" l="1"/>
  <c r="CL18" i="2"/>
  <c r="CL19" i="2" l="1"/>
  <c r="CM18" i="2"/>
  <c r="CN18" i="2" l="1"/>
  <c r="CM19" i="2"/>
  <c r="CO18" i="2" l="1"/>
  <c r="CN19" i="2"/>
  <c r="CP18" i="2" l="1"/>
  <c r="CO19" i="2"/>
  <c r="CQ18" i="2" l="1"/>
  <c r="CP19" i="2"/>
  <c r="CR18" i="2" l="1"/>
  <c r="CQ19" i="2"/>
  <c r="CS18" i="2" l="1"/>
  <c r="CR19" i="2"/>
  <c r="CT18" i="2" l="1"/>
  <c r="CS19" i="2"/>
  <c r="CU18" i="2" l="1"/>
  <c r="CT19" i="2"/>
  <c r="CV18" i="2" l="1"/>
  <c r="CU19" i="2"/>
  <c r="CW18" i="2" l="1"/>
  <c r="CV19" i="2"/>
  <c r="CX18" i="2" l="1"/>
  <c r="CW19" i="2"/>
  <c r="CY18" i="2" l="1"/>
  <c r="CX19" i="2"/>
  <c r="CZ18" i="2" l="1"/>
  <c r="CY19" i="2"/>
  <c r="DA18" i="2" l="1"/>
  <c r="CZ19" i="2"/>
  <c r="DB18" i="2" l="1"/>
  <c r="DB19" i="2" s="1"/>
  <c r="Z22" i="2" s="1"/>
  <c r="DA19" i="2"/>
</calcChain>
</file>

<file path=xl/comments1.xml><?xml version="1.0" encoding="utf-8"?>
<comments xmlns="http://schemas.openxmlformats.org/spreadsheetml/2006/main">
  <authors>
    <author>Martin Shkreli</author>
  </authors>
  <commentList>
    <comment ref="X7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Amco did 530-560 in 2015
Q116: reaffirmed 1020-1060</t>
        </r>
      </text>
    </comment>
  </commentList>
</comments>
</file>

<file path=xl/sharedStrings.xml><?xml version="1.0" encoding="utf-8"?>
<sst xmlns="http://schemas.openxmlformats.org/spreadsheetml/2006/main" count="71" uniqueCount="61">
  <si>
    <t>Revenue</t>
  </si>
  <si>
    <t>Main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</si>
  <si>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</si>
  <si>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</si>
  <si>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</si>
  <si>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</si>
  <si>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</si>
  <si>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</si>
  <si>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</si>
  <si>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</si>
  <si>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</si>
  <si>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</si>
  <si>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</si>
  <si>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</si>
  <si>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Shares</t>
  </si>
  <si>
    <t>COGS</t>
  </si>
  <si>
    <t>Gross Margin</t>
  </si>
  <si>
    <t>G&amp;A</t>
  </si>
  <si>
    <t>S&amp;M</t>
  </si>
  <si>
    <t>R&amp;D</t>
  </si>
  <si>
    <t>Operating Expenses</t>
  </si>
  <si>
    <t>Operating Income</t>
  </si>
  <si>
    <t>Interest Income</t>
  </si>
  <si>
    <t>Pretax Income</t>
  </si>
  <si>
    <t>Taxes</t>
  </si>
  <si>
    <t>Net Income</t>
  </si>
  <si>
    <t>AmCo</t>
  </si>
  <si>
    <t>Net Cash</t>
  </si>
  <si>
    <t>Price CAD</t>
  </si>
  <si>
    <t>MC CAD</t>
  </si>
  <si>
    <t>EV CAD</t>
  </si>
  <si>
    <t>Name</t>
  </si>
  <si>
    <t>Photofrin</t>
  </si>
  <si>
    <t>Cash USD</t>
  </si>
  <si>
    <t>NA</t>
  </si>
  <si>
    <t>Debt USD</t>
  </si>
  <si>
    <t>Zonegran</t>
  </si>
  <si>
    <t>Donnatal</t>
  </si>
  <si>
    <t>Nilandron</t>
  </si>
  <si>
    <t>Plaquenil</t>
  </si>
  <si>
    <t>Lanoxin</t>
  </si>
  <si>
    <t>4/21/2015: Completed Covis acquisition.</t>
  </si>
  <si>
    <t>Operating Margin</t>
  </si>
  <si>
    <t>Orphan</t>
  </si>
  <si>
    <t>Cash</t>
  </si>
  <si>
    <t>AR</t>
  </si>
  <si>
    <t>Inventory</t>
  </si>
  <si>
    <t>Prepaid</t>
  </si>
  <si>
    <t>OCA</t>
  </si>
  <si>
    <t>Intangibles</t>
  </si>
  <si>
    <t>PP&amp;E</t>
  </si>
  <si>
    <t>OA</t>
  </si>
  <si>
    <t>Assets</t>
  </si>
  <si>
    <t>AL</t>
  </si>
  <si>
    <t>Provisions</t>
  </si>
  <si>
    <t>Dividend</t>
  </si>
  <si>
    <t>Debt</t>
  </si>
  <si>
    <t>CoCo</t>
  </si>
  <si>
    <t>OLTL</t>
  </si>
  <si>
    <t>L</t>
  </si>
  <si>
    <t>L+SE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</si>
</sst>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1"/>
    <xf numFmtId="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0</xdr:row>
      <xdr:rowOff>47625</xdr:rowOff>
    </xdr:from>
    <xdr:to>
      <xdr:col>23</xdr:col>
      <xdr:colOff>19050</xdr:colOff>
      <xdr:row>53</xdr:row>
      <xdr:rowOff>66675</xdr:rowOff>
    </xdr:to>
    <xdr:cxnSp macro="">
      <xdr:nvCxnSpPr>
        <xdr:cNvPr id="3" name="Straight Connector 2"/>
        <xdr:cNvCxnSpPr/>
      </xdr:nvCxnSpPr>
      <xdr:spPr>
        <a:xfrm>
          <a:off x="13963650" y="47625"/>
          <a:ext cx="0" cy="762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0</xdr:row>
      <xdr:rowOff>0</xdr:rowOff>
    </xdr:from>
    <xdr:to>
      <xdr:col>11</xdr:col>
      <xdr:colOff>38100</xdr:colOff>
      <xdr:row>53</xdr:row>
      <xdr:rowOff>19050</xdr:rowOff>
    </xdr:to>
    <xdr:cxnSp macro="">
      <xdr:nvCxnSpPr>
        <xdr:cNvPr id="4" name="Straight Connector 3"/>
        <xdr:cNvCxnSpPr/>
      </xdr:nvCxnSpPr>
      <xdr:spPr>
        <a:xfrm>
          <a:off x="7067550" y="0"/>
          <a:ext cx="0" cy="811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workbookViewId="0">
      <selection activeCell="B20" sqref="B20"/>
    </sheetView>
  </sheetViews>
  <sheetFormatPr defaultRowHeight="12.75" x14ac:dyDescent="0.2"/>
  <cols>
    <col min="12" max="12" width="10.7109375" customWidth="1"/>
  </cols>
  <sheetData>
    <row r="2" spans="2:14" x14ac:dyDescent="0.2">
      <c r="B2" s="15" t="s">
        <v>31</v>
      </c>
      <c r="C2" s="16"/>
      <c r="D2" s="16"/>
      <c r="E2" s="16"/>
      <c r="F2" s="16"/>
      <c r="G2" s="16"/>
      <c r="H2" s="16"/>
      <c r="I2" s="17"/>
      <c r="L2" t="s">
        <v>28</v>
      </c>
      <c r="M2" s="8">
        <v>33.97</v>
      </c>
    </row>
    <row r="3" spans="2:14" x14ac:dyDescent="0.2">
      <c r="B3" s="9" t="s">
        <v>32</v>
      </c>
      <c r="C3" s="10"/>
      <c r="D3" s="10"/>
      <c r="E3" s="10"/>
      <c r="F3" s="10"/>
      <c r="G3" s="10"/>
      <c r="H3" s="10"/>
      <c r="I3" s="11"/>
      <c r="L3" t="s">
        <v>14</v>
      </c>
      <c r="M3" s="2">
        <v>51.015872000000002</v>
      </c>
      <c r="N3" s="1" t="s">
        <v>10</v>
      </c>
    </row>
    <row r="4" spans="2:14" x14ac:dyDescent="0.2">
      <c r="B4" s="9" t="s">
        <v>36</v>
      </c>
      <c r="C4" s="10"/>
      <c r="D4" s="10"/>
      <c r="E4" s="10"/>
      <c r="F4" s="10"/>
      <c r="G4" s="10"/>
      <c r="H4" s="10"/>
      <c r="I4" s="11"/>
      <c r="L4" t="s">
        <v>29</v>
      </c>
      <c r="M4" s="2">
        <f>+M3*M2</f>
        <v>1733.0091718399999</v>
      </c>
      <c r="N4" s="1"/>
    </row>
    <row r="5" spans="2:14" x14ac:dyDescent="0.2">
      <c r="B5" s="9" t="s">
        <v>37</v>
      </c>
      <c r="C5" s="10"/>
      <c r="D5" s="10"/>
      <c r="E5" s="10"/>
      <c r="F5" s="10"/>
      <c r="G5" s="10"/>
      <c r="H5" s="10"/>
      <c r="I5" s="11"/>
      <c r="L5" t="s">
        <v>33</v>
      </c>
      <c r="M5" s="2">
        <v>178.5</v>
      </c>
      <c r="N5" s="1" t="s">
        <v>10</v>
      </c>
    </row>
    <row r="6" spans="2:14" x14ac:dyDescent="0.2">
      <c r="B6" s="9" t="s">
        <v>38</v>
      </c>
      <c r="C6" s="10"/>
      <c r="D6" s="10"/>
      <c r="E6" s="10"/>
      <c r="F6" s="10"/>
      <c r="G6" s="10"/>
      <c r="H6" s="10"/>
      <c r="I6" s="11"/>
      <c r="L6" t="s">
        <v>35</v>
      </c>
      <c r="M6" s="2">
        <v>3306.0819999999999</v>
      </c>
      <c r="N6" s="1" t="s">
        <v>10</v>
      </c>
    </row>
    <row r="7" spans="2:14" x14ac:dyDescent="0.2">
      <c r="B7" s="9" t="s">
        <v>39</v>
      </c>
      <c r="C7" s="10"/>
      <c r="D7" s="10"/>
      <c r="E7" s="10"/>
      <c r="F7" s="10"/>
      <c r="G7" s="10"/>
      <c r="H7" s="10"/>
      <c r="I7" s="11"/>
      <c r="L7" t="s">
        <v>30</v>
      </c>
      <c r="M7" s="2">
        <f>+M4-M5+M6</f>
        <v>4860.5911718400002</v>
      </c>
    </row>
    <row r="8" spans="2:14" x14ac:dyDescent="0.2">
      <c r="B8" s="9" t="s">
        <v>40</v>
      </c>
      <c r="C8" s="10"/>
      <c r="D8" s="10"/>
      <c r="E8" s="10"/>
      <c r="F8" s="10"/>
      <c r="G8" s="10"/>
      <c r="H8" s="10"/>
      <c r="I8" s="11"/>
    </row>
    <row r="9" spans="2:14" x14ac:dyDescent="0.2">
      <c r="B9" s="9"/>
      <c r="C9" s="10"/>
      <c r="D9" s="10"/>
      <c r="E9" s="10"/>
      <c r="F9" s="10"/>
      <c r="G9" s="10"/>
      <c r="H9" s="10"/>
      <c r="I9" s="11"/>
    </row>
    <row r="10" spans="2:14" x14ac:dyDescent="0.2">
      <c r="B10" s="9"/>
      <c r="C10" s="10"/>
      <c r="D10" s="10"/>
      <c r="E10" s="10"/>
      <c r="F10" s="10"/>
      <c r="G10" s="10"/>
      <c r="H10" s="10"/>
      <c r="I10" s="11"/>
    </row>
    <row r="11" spans="2:14" x14ac:dyDescent="0.2">
      <c r="B11" s="9"/>
      <c r="C11" s="10"/>
      <c r="D11" s="10"/>
      <c r="E11" s="10"/>
      <c r="F11" s="10"/>
      <c r="G11" s="10"/>
      <c r="H11" s="10"/>
      <c r="I11" s="11"/>
    </row>
    <row r="12" spans="2:14" x14ac:dyDescent="0.2">
      <c r="B12" s="15"/>
      <c r="C12" s="16"/>
      <c r="D12" s="16"/>
      <c r="E12" s="16"/>
      <c r="F12" s="16"/>
      <c r="G12" s="16"/>
      <c r="H12" s="16"/>
      <c r="I12" s="17"/>
    </row>
    <row r="13" spans="2:14" x14ac:dyDescent="0.2">
      <c r="B13" s="9"/>
      <c r="C13" s="10"/>
      <c r="D13" s="10"/>
      <c r="E13" s="10"/>
      <c r="F13" s="10"/>
      <c r="G13" s="10"/>
      <c r="H13" s="10"/>
      <c r="I13" s="11"/>
    </row>
    <row r="14" spans="2:14" x14ac:dyDescent="0.2">
      <c r="B14" s="9"/>
      <c r="C14" s="10"/>
      <c r="D14" s="10"/>
      <c r="E14" s="10"/>
      <c r="F14" s="10"/>
      <c r="G14" s="10"/>
      <c r="H14" s="10"/>
      <c r="I14" s="11"/>
    </row>
    <row r="15" spans="2:14" x14ac:dyDescent="0.2">
      <c r="B15" s="12"/>
      <c r="C15" s="13"/>
      <c r="D15" s="13"/>
      <c r="E15" s="13"/>
      <c r="F15" s="13"/>
      <c r="G15" s="13"/>
      <c r="H15" s="13"/>
      <c r="I15" s="14"/>
    </row>
    <row r="19" spans="2:2" x14ac:dyDescent="0.2">
      <c r="B1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47"/>
  <sheetViews>
    <sheetView tabSelected="1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K24" sqref="K24"/>
    </sheetView>
  </sheetViews>
  <sheetFormatPr defaultRowHeight="12.75" x14ac:dyDescent="0.2"/>
  <cols>
    <col min="1" max="1" width="5" bestFit="1" customWidth="1"/>
    <col min="2" max="2" width="18.140625" bestFit="1" customWidth="1"/>
    <col min="3" max="25" width="9.140625" style="1"/>
    <col min="26" max="26" width="9.7109375" bestFit="1" customWidth="1"/>
  </cols>
  <sheetData>
    <row r="1" spans="1:37" x14ac:dyDescent="0.2">
      <c r="A1" s="7" t="s">
        <v>1</v>
      </c>
    </row>
    <row r="2" spans="1:37" x14ac:dyDescent="0.2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R2" s="1">
        <v>2010</v>
      </c>
      <c r="S2" s="1">
        <f>+R2+1</f>
        <v>2011</v>
      </c>
      <c r="T2" s="1">
        <f t="shared" ref="T2:AC2" si="0">+S2+1</f>
        <v>2012</v>
      </c>
      <c r="U2" s="1">
        <f t="shared" si="0"/>
        <v>2013</v>
      </c>
      <c r="V2" s="1">
        <f t="shared" si="0"/>
        <v>2014</v>
      </c>
      <c r="W2" s="1">
        <f t="shared" si="0"/>
        <v>2015</v>
      </c>
      <c r="X2" s="1">
        <f t="shared" si="0"/>
        <v>2016</v>
      </c>
      <c r="Y2" s="1">
        <f t="shared" si="0"/>
        <v>2017</v>
      </c>
      <c r="Z2" s="1">
        <f t="shared" si="0"/>
        <v>2018</v>
      </c>
      <c r="AA2" s="1">
        <f t="shared" si="0"/>
        <v>2019</v>
      </c>
      <c r="AB2" s="1">
        <f t="shared" si="0"/>
        <v>2020</v>
      </c>
      <c r="AC2" s="1">
        <f t="shared" si="0"/>
        <v>2021</v>
      </c>
      <c r="AD2" s="1">
        <f t="shared" ref="AD2" si="1">+AC2+1</f>
        <v>2022</v>
      </c>
      <c r="AE2" s="1">
        <f t="shared" ref="AE2" si="2">+AD2+1</f>
        <v>2023</v>
      </c>
      <c r="AF2" s="1">
        <f t="shared" ref="AF2" si="3">+AE2+1</f>
        <v>2024</v>
      </c>
      <c r="AG2" s="1">
        <f t="shared" ref="AG2" si="4">+AF2+1</f>
        <v>2025</v>
      </c>
      <c r="AH2" s="1">
        <f t="shared" ref="AH2" si="5">+AG2+1</f>
        <v>2026</v>
      </c>
      <c r="AI2" s="1">
        <f t="shared" ref="AI2" si="6">+AH2+1</f>
        <v>2027</v>
      </c>
      <c r="AJ2" s="1">
        <f t="shared" ref="AJ2" si="7">+AI2+1</f>
        <v>2028</v>
      </c>
      <c r="AK2" s="1">
        <f t="shared" ref="AK2" si="8">+AJ2+1</f>
        <v>2029</v>
      </c>
    </row>
    <row r="3" spans="1:37" x14ac:dyDescent="0.2">
      <c r="B3" t="s">
        <v>26</v>
      </c>
      <c r="G3" s="1">
        <v>0</v>
      </c>
      <c r="J3" s="3">
        <v>115.7</v>
      </c>
      <c r="K3" s="3">
        <v>139.91300000000001</v>
      </c>
      <c r="X3" s="1">
        <v>550</v>
      </c>
      <c r="Z3" s="1"/>
      <c r="AA3" s="1"/>
      <c r="AB3" s="1"/>
      <c r="AC3" s="1"/>
      <c r="AD3" s="1"/>
    </row>
    <row r="4" spans="1:37" x14ac:dyDescent="0.2">
      <c r="B4" t="s">
        <v>34</v>
      </c>
      <c r="G4" s="1">
        <v>54.9</v>
      </c>
      <c r="K4" s="3">
        <v>89.5</v>
      </c>
      <c r="Z4" s="1"/>
      <c r="AA4" s="1"/>
      <c r="AB4" s="1"/>
      <c r="AC4" s="1"/>
      <c r="AD4" s="1"/>
    </row>
    <row r="5" spans="1:37" x14ac:dyDescent="0.2">
      <c r="B5" t="s">
        <v>34</v>
      </c>
      <c r="G5" s="1">
        <v>31.033000000000001</v>
      </c>
      <c r="K5" s="3">
        <v>85.947999999999993</v>
      </c>
      <c r="L5" s="18"/>
      <c r="Z5" s="1"/>
      <c r="AA5" s="1"/>
      <c r="AB5" s="1"/>
      <c r="AC5" s="1"/>
      <c r="AD5" s="1"/>
    </row>
    <row r="6" spans="1:37" x14ac:dyDescent="0.2">
      <c r="B6" t="s">
        <v>43</v>
      </c>
      <c r="G6" s="1">
        <v>3.08</v>
      </c>
      <c r="K6" s="18">
        <v>2.6739999999999999</v>
      </c>
      <c r="Z6" s="1"/>
      <c r="AA6" s="1"/>
      <c r="AB6" s="1"/>
      <c r="AC6" s="1"/>
      <c r="AD6" s="1"/>
    </row>
    <row r="7" spans="1:37" s="4" customFormat="1" x14ac:dyDescent="0.2">
      <c r="B7" s="4" t="s">
        <v>0</v>
      </c>
      <c r="C7" s="5"/>
      <c r="D7" s="5">
        <v>20.324000000000002</v>
      </c>
      <c r="E7" s="5">
        <v>32.250999999999998</v>
      </c>
      <c r="F7" s="5">
        <v>39.487000000000002</v>
      </c>
      <c r="G7" s="5">
        <v>34.113</v>
      </c>
      <c r="H7" s="5">
        <v>75.197999999999993</v>
      </c>
      <c r="I7" s="5">
        <v>93.004999999999995</v>
      </c>
      <c r="J7" s="5">
        <v>191.90799999999999</v>
      </c>
      <c r="K7" s="5">
        <f>K4+K3</f>
        <v>229.41300000000001</v>
      </c>
      <c r="L7" s="5"/>
      <c r="M7" s="5"/>
      <c r="N7" s="5"/>
      <c r="O7" s="5"/>
      <c r="P7" s="5"/>
      <c r="Q7" s="5"/>
      <c r="R7" s="5"/>
      <c r="S7" s="5"/>
      <c r="T7" s="5"/>
      <c r="U7" s="5"/>
      <c r="V7" s="5">
        <v>104.941</v>
      </c>
      <c r="W7" s="5">
        <v>394.22399999999999</v>
      </c>
      <c r="X7" s="5">
        <v>1050</v>
      </c>
      <c r="Y7" s="5">
        <f>+X7*0.9</f>
        <v>945</v>
      </c>
      <c r="Z7" s="5">
        <f t="shared" ref="Z7:AK7" si="9">+Y7*0.9</f>
        <v>850.5</v>
      </c>
      <c r="AA7" s="5">
        <f t="shared" si="9"/>
        <v>765.45</v>
      </c>
      <c r="AB7" s="5">
        <f t="shared" si="9"/>
        <v>688.90500000000009</v>
      </c>
      <c r="AC7" s="5">
        <f t="shared" si="9"/>
        <v>620.01450000000011</v>
      </c>
      <c r="AD7" s="5">
        <f t="shared" si="9"/>
        <v>558.01305000000013</v>
      </c>
      <c r="AE7" s="5">
        <f t="shared" si="9"/>
        <v>502.21174500000012</v>
      </c>
      <c r="AF7" s="5">
        <f t="shared" si="9"/>
        <v>451.9905705000001</v>
      </c>
      <c r="AG7" s="5">
        <f t="shared" si="9"/>
        <v>406.79151345000008</v>
      </c>
      <c r="AH7" s="5">
        <f t="shared" si="9"/>
        <v>366.1123621050001</v>
      </c>
      <c r="AI7" s="5">
        <f t="shared" si="9"/>
        <v>329.50112589450009</v>
      </c>
      <c r="AJ7" s="5">
        <f t="shared" si="9"/>
        <v>296.55101330505011</v>
      </c>
      <c r="AK7" s="5">
        <f t="shared" si="9"/>
        <v>266.89591197454513</v>
      </c>
    </row>
    <row r="8" spans="1:37" s="2" customFormat="1" x14ac:dyDescent="0.2">
      <c r="B8" s="2" t="s">
        <v>15</v>
      </c>
      <c r="C8" s="3"/>
      <c r="D8" s="3">
        <f>+D7-D9</f>
        <v>3.5980000000000025</v>
      </c>
      <c r="E8" s="3">
        <f t="shared" ref="E8:K8" si="10">+E7-E9</f>
        <v>3.7709999999999972</v>
      </c>
      <c r="F8" s="3">
        <f t="shared" si="10"/>
        <v>4.3629999999999995</v>
      </c>
      <c r="G8" s="3">
        <f t="shared" si="10"/>
        <v>3.8290000000000006</v>
      </c>
      <c r="H8" s="3">
        <f t="shared" si="10"/>
        <v>6.2319999999999993</v>
      </c>
      <c r="I8" s="3">
        <f t="shared" si="10"/>
        <v>8.0519999999999925</v>
      </c>
      <c r="J8" s="3">
        <f t="shared" si="10"/>
        <v>42.248999999999995</v>
      </c>
      <c r="K8" s="3">
        <f t="shared" si="10"/>
        <v>50.918000000000006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94.293999999999997</v>
      </c>
      <c r="X8" s="3">
        <f>+X7-X9</f>
        <v>262.5</v>
      </c>
      <c r="Y8" s="3">
        <f t="shared" ref="Y8" si="11">+Y7-Y9</f>
        <v>236.25</v>
      </c>
      <c r="Z8" s="3">
        <f t="shared" ref="Z8" si="12">+Z7-Z9</f>
        <v>212.625</v>
      </c>
      <c r="AA8" s="3">
        <f t="shared" ref="AA8" si="13">+AA7-AA9</f>
        <v>191.36249999999995</v>
      </c>
      <c r="AB8" s="3">
        <f t="shared" ref="AB8" si="14">+AB7-AB9</f>
        <v>172.22625000000005</v>
      </c>
      <c r="AC8" s="3">
        <f t="shared" ref="AC8" si="15">+AC7-AC9</f>
        <v>155.00362500000006</v>
      </c>
      <c r="AD8" s="3">
        <f t="shared" ref="AD8" si="16">+AD7-AD9</f>
        <v>139.50326250000001</v>
      </c>
      <c r="AE8" s="3">
        <f t="shared" ref="AE8" si="17">+AE7-AE9</f>
        <v>125.55293625000002</v>
      </c>
      <c r="AF8" s="3">
        <f t="shared" ref="AF8" si="18">+AF7-AF9</f>
        <v>112.99764262500003</v>
      </c>
      <c r="AG8" s="3">
        <f t="shared" ref="AG8" si="19">+AG7-AG9</f>
        <v>101.69787836250003</v>
      </c>
      <c r="AH8" s="3">
        <f t="shared" ref="AH8" si="20">+AH7-AH9</f>
        <v>91.528090526250026</v>
      </c>
      <c r="AI8" s="3">
        <f t="shared" ref="AI8" si="21">+AI7-AI9</f>
        <v>82.375281473625023</v>
      </c>
      <c r="AJ8" s="3">
        <f t="shared" ref="AJ8" si="22">+AJ7-AJ9</f>
        <v>74.137753326262526</v>
      </c>
      <c r="AK8" s="3">
        <f t="shared" ref="AK8" si="23">+AK7-AK9</f>
        <v>66.723977993636282</v>
      </c>
    </row>
    <row r="9" spans="1:37" s="2" customFormat="1" x14ac:dyDescent="0.2">
      <c r="B9" s="2" t="s">
        <v>16</v>
      </c>
      <c r="C9" s="3"/>
      <c r="D9" s="3">
        <v>16.725999999999999</v>
      </c>
      <c r="E9" s="3">
        <v>28.48</v>
      </c>
      <c r="F9" s="3">
        <v>35.124000000000002</v>
      </c>
      <c r="G9" s="3">
        <v>30.283999999999999</v>
      </c>
      <c r="H9" s="3">
        <v>68.965999999999994</v>
      </c>
      <c r="I9" s="3">
        <v>84.953000000000003</v>
      </c>
      <c r="J9" s="3">
        <v>149.65899999999999</v>
      </c>
      <c r="K9" s="3">
        <v>178.495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f>+W7-W8</f>
        <v>299.93</v>
      </c>
      <c r="X9" s="3">
        <f>+X7*0.75</f>
        <v>787.5</v>
      </c>
      <c r="Y9" s="3">
        <f t="shared" ref="Y9:AA9" si="24">+Y7*0.75</f>
        <v>708.75</v>
      </c>
      <c r="Z9" s="3">
        <f t="shared" si="24"/>
        <v>637.875</v>
      </c>
      <c r="AA9" s="3">
        <f t="shared" si="24"/>
        <v>574.08750000000009</v>
      </c>
      <c r="AB9" s="3">
        <f t="shared" ref="AB9:AC9" si="25">+AB7*0.75</f>
        <v>516.67875000000004</v>
      </c>
      <c r="AC9" s="3">
        <f t="shared" si="25"/>
        <v>465.01087500000006</v>
      </c>
      <c r="AD9" s="3">
        <f t="shared" ref="AD9:AK9" si="26">+AD7*0.75</f>
        <v>418.50978750000013</v>
      </c>
      <c r="AE9" s="3">
        <f t="shared" si="26"/>
        <v>376.65880875000011</v>
      </c>
      <c r="AF9" s="3">
        <f t="shared" si="26"/>
        <v>338.99292787500008</v>
      </c>
      <c r="AG9" s="3">
        <f t="shared" si="26"/>
        <v>305.09363508750005</v>
      </c>
      <c r="AH9" s="3">
        <f t="shared" si="26"/>
        <v>274.58427157875008</v>
      </c>
      <c r="AI9" s="3">
        <f t="shared" si="26"/>
        <v>247.12584442087507</v>
      </c>
      <c r="AJ9" s="3">
        <f t="shared" si="26"/>
        <v>222.41325997878758</v>
      </c>
      <c r="AK9" s="3">
        <f t="shared" si="26"/>
        <v>200.17193398090885</v>
      </c>
    </row>
    <row r="10" spans="1:37" s="2" customFormat="1" x14ac:dyDescent="0.2"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>
        <f>15.467+8.357</f>
        <v>23.823999999999998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29.696999999999999</v>
      </c>
      <c r="X10" s="3">
        <v>60</v>
      </c>
      <c r="Y10" s="3">
        <v>60</v>
      </c>
      <c r="Z10" s="3">
        <v>60</v>
      </c>
      <c r="AA10" s="3">
        <v>60</v>
      </c>
      <c r="AB10" s="3">
        <v>60</v>
      </c>
      <c r="AC10" s="3">
        <v>60</v>
      </c>
      <c r="AD10" s="3">
        <v>60</v>
      </c>
      <c r="AE10" s="3">
        <v>60</v>
      </c>
      <c r="AF10" s="3">
        <v>60</v>
      </c>
      <c r="AG10" s="3">
        <v>60</v>
      </c>
      <c r="AH10" s="3">
        <v>60</v>
      </c>
      <c r="AI10" s="3">
        <v>60</v>
      </c>
      <c r="AJ10" s="3">
        <v>60</v>
      </c>
      <c r="AK10" s="3">
        <v>60</v>
      </c>
    </row>
    <row r="11" spans="1:37" s="2" customFormat="1" x14ac:dyDescent="0.2">
      <c r="B11" s="2" t="s">
        <v>18</v>
      </c>
      <c r="C11" s="3"/>
      <c r="D11" s="3"/>
      <c r="E11" s="3"/>
      <c r="F11" s="3"/>
      <c r="G11" s="3"/>
      <c r="H11" s="3"/>
      <c r="I11" s="3"/>
      <c r="J11" s="3"/>
      <c r="K11" s="3">
        <v>13.313000000000001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23.486000000000001</v>
      </c>
      <c r="X11" s="3">
        <v>50</v>
      </c>
      <c r="Y11" s="3">
        <v>50</v>
      </c>
      <c r="Z11" s="3">
        <v>50</v>
      </c>
      <c r="AA11" s="3">
        <v>50</v>
      </c>
      <c r="AB11" s="3">
        <v>50</v>
      </c>
      <c r="AC11" s="3">
        <v>50</v>
      </c>
      <c r="AD11" s="3">
        <v>50</v>
      </c>
      <c r="AE11" s="3">
        <v>50</v>
      </c>
      <c r="AF11" s="3">
        <v>50</v>
      </c>
      <c r="AG11" s="3">
        <v>50</v>
      </c>
      <c r="AH11" s="3">
        <v>50</v>
      </c>
      <c r="AI11" s="3">
        <v>50</v>
      </c>
      <c r="AJ11" s="3">
        <v>50</v>
      </c>
      <c r="AK11" s="3">
        <v>50</v>
      </c>
    </row>
    <row r="12" spans="1:37" s="2" customFormat="1" x14ac:dyDescent="0.2">
      <c r="B12" s="2" t="s">
        <v>19</v>
      </c>
      <c r="C12" s="3"/>
      <c r="D12" s="3"/>
      <c r="E12" s="3"/>
      <c r="F12" s="3"/>
      <c r="G12" s="3"/>
      <c r="H12" s="3"/>
      <c r="I12" s="3"/>
      <c r="J12" s="3"/>
      <c r="K12" s="3">
        <v>8.8670000000000009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14.992000000000001</v>
      </c>
      <c r="X12" s="3">
        <f t="shared" ref="X12:AA12" si="27">+W12</f>
        <v>14.992000000000001</v>
      </c>
      <c r="Y12" s="3">
        <f t="shared" si="27"/>
        <v>14.992000000000001</v>
      </c>
      <c r="Z12" s="3">
        <f t="shared" si="27"/>
        <v>14.992000000000001</v>
      </c>
      <c r="AA12" s="3">
        <f t="shared" si="27"/>
        <v>14.992000000000001</v>
      </c>
      <c r="AB12" s="3">
        <f t="shared" ref="AB12:AC12" si="28">+AA12</f>
        <v>14.992000000000001</v>
      </c>
      <c r="AC12" s="3">
        <f t="shared" si="28"/>
        <v>14.992000000000001</v>
      </c>
      <c r="AD12" s="3">
        <f t="shared" ref="AD12:AK12" si="29">+AC12</f>
        <v>14.992000000000001</v>
      </c>
      <c r="AE12" s="3">
        <f t="shared" si="29"/>
        <v>14.992000000000001</v>
      </c>
      <c r="AF12" s="3">
        <f t="shared" si="29"/>
        <v>14.992000000000001</v>
      </c>
      <c r="AG12" s="3">
        <f t="shared" si="29"/>
        <v>14.992000000000001</v>
      </c>
      <c r="AH12" s="3">
        <f t="shared" si="29"/>
        <v>14.992000000000001</v>
      </c>
      <c r="AI12" s="3">
        <f t="shared" si="29"/>
        <v>14.992000000000001</v>
      </c>
      <c r="AJ12" s="3">
        <f t="shared" si="29"/>
        <v>14.992000000000001</v>
      </c>
      <c r="AK12" s="3">
        <f t="shared" si="29"/>
        <v>14.992000000000001</v>
      </c>
    </row>
    <row r="13" spans="1:37" s="2" customFormat="1" x14ac:dyDescent="0.2">
      <c r="B13" s="2" t="s">
        <v>20</v>
      </c>
      <c r="C13" s="3"/>
      <c r="D13" s="3"/>
      <c r="E13" s="3"/>
      <c r="F13" s="3"/>
      <c r="G13" s="3"/>
      <c r="H13" s="3"/>
      <c r="I13" s="3"/>
      <c r="J13" s="3"/>
      <c r="K13" s="3">
        <f>SUM(K10:K12)</f>
        <v>46.004000000000005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f>SUM(W10:W12)</f>
        <v>68.174999999999997</v>
      </c>
      <c r="X13" s="3">
        <f t="shared" ref="X13" si="30">SUM(X10:X12)</f>
        <v>124.992</v>
      </c>
      <c r="Y13" s="3">
        <f t="shared" ref="Y13" si="31">SUM(Y10:Y12)</f>
        <v>124.992</v>
      </c>
      <c r="Z13" s="3">
        <f t="shared" ref="Z13" si="32">SUM(Z10:Z12)</f>
        <v>124.992</v>
      </c>
      <c r="AA13" s="3">
        <f t="shared" ref="AA13" si="33">SUM(AA10:AA12)</f>
        <v>124.992</v>
      </c>
      <c r="AB13" s="3">
        <f t="shared" ref="AB13" si="34">SUM(AB10:AB12)</f>
        <v>124.992</v>
      </c>
      <c r="AC13" s="3">
        <f t="shared" ref="AC13" si="35">SUM(AC10:AC12)</f>
        <v>124.992</v>
      </c>
      <c r="AD13" s="3">
        <f t="shared" ref="AD13" si="36">SUM(AD10:AD12)</f>
        <v>124.992</v>
      </c>
      <c r="AE13" s="3">
        <f t="shared" ref="AE13" si="37">SUM(AE10:AE12)</f>
        <v>124.992</v>
      </c>
      <c r="AF13" s="3">
        <f t="shared" ref="AF13" si="38">SUM(AF10:AF12)</f>
        <v>124.992</v>
      </c>
      <c r="AG13" s="3">
        <f t="shared" ref="AG13" si="39">SUM(AG10:AG12)</f>
        <v>124.992</v>
      </c>
      <c r="AH13" s="3">
        <f t="shared" ref="AH13" si="40">SUM(AH10:AH12)</f>
        <v>124.992</v>
      </c>
      <c r="AI13" s="3">
        <f t="shared" ref="AI13" si="41">SUM(AI10:AI12)</f>
        <v>124.992</v>
      </c>
      <c r="AJ13" s="3">
        <f t="shared" ref="AJ13" si="42">SUM(AJ10:AJ12)</f>
        <v>124.992</v>
      </c>
      <c r="AK13" s="3">
        <f t="shared" ref="AK13" si="43">SUM(AK10:AK12)</f>
        <v>124.992</v>
      </c>
    </row>
    <row r="14" spans="1:37" s="2" customFormat="1" x14ac:dyDescent="0.2">
      <c r="B14" s="2" t="s">
        <v>21</v>
      </c>
      <c r="C14" s="3"/>
      <c r="D14" s="3"/>
      <c r="E14" s="3"/>
      <c r="F14" s="3"/>
      <c r="G14" s="3"/>
      <c r="H14" s="3"/>
      <c r="I14" s="3"/>
      <c r="J14" s="3"/>
      <c r="K14" s="3">
        <f>+K9-K13</f>
        <v>132.49099999999999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f>+W9-W13</f>
        <v>231.755</v>
      </c>
      <c r="X14" s="3">
        <f>+X9-X13</f>
        <v>662.50800000000004</v>
      </c>
      <c r="Y14" s="3">
        <f t="shared" ref="Y14" si="44">+Y9-Y13</f>
        <v>583.75800000000004</v>
      </c>
      <c r="Z14" s="3">
        <f t="shared" ref="Z14" si="45">+Z9-Z13</f>
        <v>512.88300000000004</v>
      </c>
      <c r="AA14" s="3">
        <f t="shared" ref="AA14" si="46">+AA9-AA13</f>
        <v>449.09550000000007</v>
      </c>
      <c r="AB14" s="3">
        <f t="shared" ref="AB14" si="47">+AB9-AB13</f>
        <v>391.68675000000002</v>
      </c>
      <c r="AC14" s="3">
        <f t="shared" ref="AC14" si="48">+AC9-AC13</f>
        <v>340.01887500000004</v>
      </c>
      <c r="AD14" s="3">
        <f t="shared" ref="AD14" si="49">+AD9-AD13</f>
        <v>293.51778750000011</v>
      </c>
      <c r="AE14" s="3">
        <f t="shared" ref="AE14" si="50">+AE9-AE13</f>
        <v>251.66680875000009</v>
      </c>
      <c r="AF14" s="3">
        <f t="shared" ref="AF14" si="51">+AF9-AF13</f>
        <v>214.00092787500006</v>
      </c>
      <c r="AG14" s="3">
        <f t="shared" ref="AG14" si="52">+AG9-AG13</f>
        <v>180.10163508750003</v>
      </c>
      <c r="AH14" s="3">
        <f t="shared" ref="AH14" si="53">+AH9-AH13</f>
        <v>149.59227157875006</v>
      </c>
      <c r="AI14" s="3">
        <f t="shared" ref="AI14" si="54">+AI9-AI13</f>
        <v>122.13384442087506</v>
      </c>
      <c r="AJ14" s="3">
        <f t="shared" ref="AJ14" si="55">+AJ9-AJ13</f>
        <v>97.421259978787575</v>
      </c>
      <c r="AK14" s="3">
        <f t="shared" ref="AK14" si="56">+AK9-AK13</f>
        <v>75.179933980908842</v>
      </c>
    </row>
    <row r="15" spans="1:37" s="2" customFormat="1" x14ac:dyDescent="0.2">
      <c r="B15" s="2" t="s">
        <v>22</v>
      </c>
      <c r="C15" s="3"/>
      <c r="D15" s="3"/>
      <c r="E15" s="3"/>
      <c r="F15" s="3"/>
      <c r="G15" s="3"/>
      <c r="H15" s="3"/>
      <c r="I15" s="3"/>
      <c r="J15" s="3"/>
      <c r="K15" s="3">
        <v>-68.340999999999994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-127.831</v>
      </c>
      <c r="X15" s="3">
        <f>+W24*0.08</f>
        <v>-264</v>
      </c>
      <c r="Y15" s="3">
        <f t="shared" ref="Y15:AA15" si="57">+X24*0.08</f>
        <v>-233.713392</v>
      </c>
      <c r="Z15" s="3">
        <f t="shared" si="57"/>
        <v>-207.11000179199996</v>
      </c>
      <c r="AA15" s="3">
        <f t="shared" si="57"/>
        <v>-183.87125392819195</v>
      </c>
      <c r="AB15" s="3">
        <f t="shared" ref="AB15:AC15" si="58">+AA24*0.08</f>
        <v>-163.71421122673453</v>
      </c>
      <c r="AC15" s="3">
        <f t="shared" si="58"/>
        <v>-146.38829827996636</v>
      </c>
      <c r="AD15" s="3">
        <f t="shared" ref="AD15" si="59">+AC24*0.08</f>
        <v>-131.67237444924379</v>
      </c>
      <c r="AE15" s="3">
        <f>+AD24*0.01</f>
        <v>-14.921515382173292</v>
      </c>
      <c r="AF15" s="3">
        <f t="shared" ref="AF15:AK15" si="60">+AE24*0.01</f>
        <v>-12.672435095178935</v>
      </c>
      <c r="AG15" s="3">
        <f t="shared" si="60"/>
        <v>-10.759814413770634</v>
      </c>
      <c r="AH15" s="3">
        <f t="shared" si="60"/>
        <v>-9.1510671173702054</v>
      </c>
      <c r="AI15" s="3">
        <f t="shared" si="60"/>
        <v>-7.8168756749870969</v>
      </c>
      <c r="AJ15" s="3">
        <f t="shared" si="60"/>
        <v>-6.7308644719011612</v>
      </c>
      <c r="AK15" s="3">
        <f t="shared" si="60"/>
        <v>-5.8693057145857406</v>
      </c>
    </row>
    <row r="16" spans="1:37" s="2" customFormat="1" x14ac:dyDescent="0.2">
      <c r="B16" s="2" t="s">
        <v>23</v>
      </c>
      <c r="C16" s="3"/>
      <c r="D16" s="3"/>
      <c r="E16" s="3"/>
      <c r="F16" s="3"/>
      <c r="G16" s="3"/>
      <c r="H16" s="3"/>
      <c r="I16" s="3"/>
      <c r="J16" s="3"/>
      <c r="K16" s="3">
        <f>+K15+K14</f>
        <v>64.149999999999991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f>+W14+W15</f>
        <v>103.92399999999999</v>
      </c>
      <c r="X16" s="3">
        <f t="shared" ref="X16" si="61">+X14+X15</f>
        <v>398.50800000000004</v>
      </c>
      <c r="Y16" s="3">
        <f t="shared" ref="Y16" si="62">+Y14+Y15</f>
        <v>350.04460800000004</v>
      </c>
      <c r="Z16" s="3">
        <f t="shared" ref="Z16" si="63">+Z14+Z15</f>
        <v>305.7729982080001</v>
      </c>
      <c r="AA16" s="3">
        <f t="shared" ref="AA16" si="64">+AA14+AA15</f>
        <v>265.22424607180812</v>
      </c>
      <c r="AB16" s="3">
        <f t="shared" ref="AB16" si="65">+AB14+AB15</f>
        <v>227.97253877326548</v>
      </c>
      <c r="AC16" s="3">
        <f t="shared" ref="AC16" si="66">+AC14+AC15</f>
        <v>193.63057672003367</v>
      </c>
      <c r="AD16" s="3">
        <f t="shared" ref="AD16" si="67">+AD14+AD15</f>
        <v>161.84541305075632</v>
      </c>
      <c r="AE16" s="3">
        <f t="shared" ref="AE16" si="68">+AE14+AE15</f>
        <v>236.7452933678268</v>
      </c>
      <c r="AF16" s="3">
        <f t="shared" ref="AF16" si="69">+AF14+AF15</f>
        <v>201.32849277982112</v>
      </c>
      <c r="AG16" s="3">
        <f t="shared" ref="AG16" si="70">+AG14+AG15</f>
        <v>169.34182067372939</v>
      </c>
      <c r="AH16" s="3">
        <f t="shared" ref="AH16" si="71">+AH14+AH15</f>
        <v>140.44120446137984</v>
      </c>
      <c r="AI16" s="3">
        <f t="shared" ref="AI16" si="72">+AI14+AI15</f>
        <v>114.31696874588796</v>
      </c>
      <c r="AJ16" s="3">
        <f t="shared" ref="AJ16" si="73">+AJ14+AJ15</f>
        <v>90.690395506886418</v>
      </c>
      <c r="AK16" s="3">
        <f t="shared" ref="AK16" si="74">+AK14+AK15</f>
        <v>69.310628266323107</v>
      </c>
    </row>
    <row r="17" spans="2:111" s="2" customFormat="1" x14ac:dyDescent="0.2">
      <c r="B17" s="2" t="s">
        <v>24</v>
      </c>
      <c r="C17" s="3"/>
      <c r="D17" s="3"/>
      <c r="E17" s="3"/>
      <c r="F17" s="3"/>
      <c r="G17" s="3"/>
      <c r="H17" s="3"/>
      <c r="I17" s="3"/>
      <c r="J17" s="3"/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f>+W16*0.05</f>
        <v>5.1962000000000002</v>
      </c>
      <c r="X17" s="3">
        <f t="shared" ref="X17" si="75">+X16*0.05</f>
        <v>19.925400000000003</v>
      </c>
      <c r="Y17" s="3">
        <f t="shared" ref="Y17" si="76">+Y16*0.05</f>
        <v>17.502230400000002</v>
      </c>
      <c r="Z17" s="3">
        <f t="shared" ref="Z17" si="77">+Z16*0.05</f>
        <v>15.288649910400006</v>
      </c>
      <c r="AA17" s="3">
        <f t="shared" ref="AA17" si="78">+AA16*0.05</f>
        <v>13.261212303590407</v>
      </c>
      <c r="AB17" s="3">
        <f t="shared" ref="AB17" si="79">+AB16*0.05</f>
        <v>11.398626938663275</v>
      </c>
      <c r="AC17" s="3">
        <f t="shared" ref="AC17" si="80">+AC16*0.05</f>
        <v>9.681528836001684</v>
      </c>
      <c r="AD17" s="3">
        <f t="shared" ref="AD17" si="81">+AD16*0.05</f>
        <v>8.0922706525378167</v>
      </c>
      <c r="AE17" s="3">
        <f t="shared" ref="AE17" si="82">+AE16*0.05</f>
        <v>11.837264668391342</v>
      </c>
      <c r="AF17" s="3">
        <f t="shared" ref="AF17" si="83">+AF16*0.05</f>
        <v>10.066424638991057</v>
      </c>
      <c r="AG17" s="3">
        <f t="shared" ref="AG17" si="84">+AG16*0.05</f>
        <v>8.4670910336864704</v>
      </c>
      <c r="AH17" s="3">
        <f t="shared" ref="AH17" si="85">+AH16*0.05</f>
        <v>7.0220602230689924</v>
      </c>
      <c r="AI17" s="3">
        <f t="shared" ref="AI17" si="86">+AI16*0.05</f>
        <v>5.7158484372943983</v>
      </c>
      <c r="AJ17" s="3">
        <f t="shared" ref="AJ17" si="87">+AJ16*0.05</f>
        <v>4.5345197753443207</v>
      </c>
      <c r="AK17" s="3">
        <f t="shared" ref="AK17" si="88">+AK16*0.05</f>
        <v>3.4655314133161554</v>
      </c>
    </row>
    <row r="18" spans="2:111" x14ac:dyDescent="0.2">
      <c r="B18" s="2" t="s">
        <v>25</v>
      </c>
      <c r="K18" s="3">
        <f>+K16-K17</f>
        <v>64.149999999999991</v>
      </c>
      <c r="W18" s="3">
        <f>+W16-W17</f>
        <v>98.727799999999988</v>
      </c>
      <c r="X18" s="3">
        <f t="shared" ref="X18" si="89">+X16-X17</f>
        <v>378.58260000000001</v>
      </c>
      <c r="Y18" s="3">
        <f t="shared" ref="Y18" si="90">+Y16-Y17</f>
        <v>332.54237760000001</v>
      </c>
      <c r="Z18" s="3">
        <f t="shared" ref="Z18" si="91">+Z16-Z17</f>
        <v>290.48434829760009</v>
      </c>
      <c r="AA18" s="3">
        <f t="shared" ref="AA18" si="92">+AA16-AA17</f>
        <v>251.96303376821771</v>
      </c>
      <c r="AB18" s="3">
        <f t="shared" ref="AB18" si="93">+AB16-AB17</f>
        <v>216.5739118346022</v>
      </c>
      <c r="AC18" s="3">
        <f t="shared" ref="AC18" si="94">+AC16-AC17</f>
        <v>183.94904788403198</v>
      </c>
      <c r="AD18" s="3">
        <f t="shared" ref="AD18" si="95">+AD16-AD17</f>
        <v>153.7531423982185</v>
      </c>
      <c r="AE18" s="3">
        <f t="shared" ref="AE18" si="96">+AE16-AE17</f>
        <v>224.90802869943548</v>
      </c>
      <c r="AF18" s="3">
        <f t="shared" ref="AF18" si="97">+AF16-AF17</f>
        <v>191.26206814083005</v>
      </c>
      <c r="AG18" s="3">
        <f t="shared" ref="AG18" si="98">+AG16-AG17</f>
        <v>160.87472964004291</v>
      </c>
      <c r="AH18" s="3">
        <f t="shared" ref="AH18" si="99">+AH16-AH17</f>
        <v>133.41914423831085</v>
      </c>
      <c r="AI18" s="3">
        <f t="shared" ref="AI18" si="100">+AI16-AI17</f>
        <v>108.60112030859356</v>
      </c>
      <c r="AJ18" s="3">
        <f t="shared" ref="AJ18" si="101">+AJ16-AJ17</f>
        <v>86.155875731542096</v>
      </c>
      <c r="AK18" s="3">
        <f t="shared" ref="AK18" si="102">+AK16-AK17</f>
        <v>65.84509685300695</v>
      </c>
      <c r="AL18" s="3">
        <f>+AK18*0.98</f>
        <v>64.528194915946813</v>
      </c>
      <c r="AM18" s="3">
        <f t="shared" ref="AM18:CX18" si="103">+AL18*0.98</f>
        <v>63.237631017627876</v>
      </c>
      <c r="AN18" s="3">
        <f t="shared" si="103"/>
        <v>61.972878397275316</v>
      </c>
      <c r="AO18" s="3">
        <f t="shared" si="103"/>
        <v>60.733420829329809</v>
      </c>
      <c r="AP18" s="3">
        <f t="shared" si="103"/>
        <v>59.518752412743211</v>
      </c>
      <c r="AQ18" s="3">
        <f t="shared" si="103"/>
        <v>58.328377364488347</v>
      </c>
      <c r="AR18" s="3">
        <f t="shared" si="103"/>
        <v>57.161809817198581</v>
      </c>
      <c r="AS18" s="3">
        <f t="shared" si="103"/>
        <v>56.01857362085461</v>
      </c>
      <c r="AT18" s="3">
        <f t="shared" si="103"/>
        <v>54.89820214843752</v>
      </c>
      <c r="AU18" s="3">
        <f t="shared" si="103"/>
        <v>53.800238105468772</v>
      </c>
      <c r="AV18" s="3">
        <f t="shared" si="103"/>
        <v>52.724233343359394</v>
      </c>
      <c r="AW18" s="3">
        <f t="shared" si="103"/>
        <v>51.669748676492205</v>
      </c>
      <c r="AX18" s="3">
        <f t="shared" si="103"/>
        <v>50.63635370296236</v>
      </c>
      <c r="AY18" s="3">
        <f t="shared" si="103"/>
        <v>49.623626628903111</v>
      </c>
      <c r="AZ18" s="3">
        <f t="shared" si="103"/>
        <v>48.631154096325048</v>
      </c>
      <c r="BA18" s="3">
        <f t="shared" si="103"/>
        <v>47.658531014398548</v>
      </c>
      <c r="BB18" s="3">
        <f t="shared" si="103"/>
        <v>46.705360394110578</v>
      </c>
      <c r="BC18" s="3">
        <f t="shared" si="103"/>
        <v>45.771253186228364</v>
      </c>
      <c r="BD18" s="3">
        <f t="shared" si="103"/>
        <v>44.855828122503794</v>
      </c>
      <c r="BE18" s="3">
        <f t="shared" si="103"/>
        <v>43.958711560053715</v>
      </c>
      <c r="BF18" s="3">
        <f t="shared" si="103"/>
        <v>43.079537328852638</v>
      </c>
      <c r="BG18" s="3">
        <f t="shared" si="103"/>
        <v>42.217946582275587</v>
      </c>
      <c r="BH18" s="3">
        <f t="shared" si="103"/>
        <v>41.373587650630071</v>
      </c>
      <c r="BI18" s="3">
        <f t="shared" si="103"/>
        <v>40.546115897617469</v>
      </c>
      <c r="BJ18" s="3">
        <f t="shared" si="103"/>
        <v>39.735193579665122</v>
      </c>
      <c r="BK18" s="3">
        <f t="shared" si="103"/>
        <v>38.940489708071816</v>
      </c>
      <c r="BL18" s="3">
        <f t="shared" si="103"/>
        <v>38.161679913910376</v>
      </c>
      <c r="BM18" s="3">
        <f t="shared" si="103"/>
        <v>37.398446315632171</v>
      </c>
      <c r="BN18" s="3">
        <f t="shared" si="103"/>
        <v>36.650477389319526</v>
      </c>
      <c r="BO18" s="3">
        <f t="shared" si="103"/>
        <v>35.917467841533139</v>
      </c>
      <c r="BP18" s="3">
        <f t="shared" si="103"/>
        <v>35.199118484702474</v>
      </c>
      <c r="BQ18" s="3">
        <f t="shared" si="103"/>
        <v>34.495136115008421</v>
      </c>
      <c r="BR18" s="3">
        <f t="shared" si="103"/>
        <v>33.805233392708253</v>
      </c>
      <c r="BS18" s="3">
        <f t="shared" si="103"/>
        <v>33.129128724854084</v>
      </c>
      <c r="BT18" s="3">
        <f t="shared" si="103"/>
        <v>32.466546150357004</v>
      </c>
      <c r="BU18" s="3">
        <f t="shared" si="103"/>
        <v>31.817215227349863</v>
      </c>
      <c r="BV18" s="3">
        <f t="shared" si="103"/>
        <v>31.180870922802864</v>
      </c>
      <c r="BW18" s="3">
        <f t="shared" si="103"/>
        <v>30.557253504346807</v>
      </c>
      <c r="BX18" s="3">
        <f t="shared" si="103"/>
        <v>29.94610843425987</v>
      </c>
      <c r="BY18" s="3">
        <f t="shared" si="103"/>
        <v>29.34718626557467</v>
      </c>
      <c r="BZ18" s="3">
        <f t="shared" si="103"/>
        <v>28.760242540263178</v>
      </c>
      <c r="CA18" s="3">
        <f t="shared" si="103"/>
        <v>28.185037689457914</v>
      </c>
      <c r="CB18" s="3">
        <f t="shared" si="103"/>
        <v>27.621336935668754</v>
      </c>
      <c r="CC18" s="3">
        <f t="shared" si="103"/>
        <v>27.068910196955379</v>
      </c>
      <c r="CD18" s="3">
        <f t="shared" si="103"/>
        <v>26.527531993016272</v>
      </c>
      <c r="CE18" s="3">
        <f t="shared" si="103"/>
        <v>25.996981353155945</v>
      </c>
      <c r="CF18" s="3">
        <f t="shared" si="103"/>
        <v>25.477041726092825</v>
      </c>
      <c r="CG18" s="3">
        <f t="shared" si="103"/>
        <v>24.967500891570968</v>
      </c>
      <c r="CH18" s="3">
        <f t="shared" si="103"/>
        <v>24.468150873739546</v>
      </c>
      <c r="CI18" s="3">
        <f t="shared" si="103"/>
        <v>23.978787856264756</v>
      </c>
      <c r="CJ18" s="3">
        <f t="shared" si="103"/>
        <v>23.499212099139459</v>
      </c>
      <c r="CK18" s="3">
        <f t="shared" si="103"/>
        <v>23.02922785715667</v>
      </c>
      <c r="CL18" s="3">
        <f t="shared" si="103"/>
        <v>22.568643300013537</v>
      </c>
      <c r="CM18" s="3">
        <f t="shared" si="103"/>
        <v>22.117270434013268</v>
      </c>
      <c r="CN18" s="3">
        <f t="shared" si="103"/>
        <v>21.674925025333003</v>
      </c>
      <c r="CO18" s="3">
        <f t="shared" si="103"/>
        <v>21.241426524826341</v>
      </c>
      <c r="CP18" s="3">
        <f t="shared" si="103"/>
        <v>20.816597994329815</v>
      </c>
      <c r="CQ18" s="3">
        <f t="shared" si="103"/>
        <v>20.400266034443217</v>
      </c>
      <c r="CR18" s="3">
        <f t="shared" si="103"/>
        <v>19.992260713754352</v>
      </c>
      <c r="CS18" s="3">
        <f t="shared" si="103"/>
        <v>19.592415499479266</v>
      </c>
      <c r="CT18" s="3">
        <f t="shared" si="103"/>
        <v>19.200567189489679</v>
      </c>
      <c r="CU18" s="3">
        <f t="shared" si="103"/>
        <v>18.816555845699884</v>
      </c>
      <c r="CV18" s="3">
        <f t="shared" si="103"/>
        <v>18.440224728785886</v>
      </c>
      <c r="CW18" s="3">
        <f t="shared" si="103"/>
        <v>18.071420234210169</v>
      </c>
      <c r="CX18" s="3">
        <f t="shared" si="103"/>
        <v>17.709991829525965</v>
      </c>
      <c r="CY18" s="3">
        <f t="shared" ref="CY18:DB18" si="104">+CX18*0.98</f>
        <v>17.355791992935444</v>
      </c>
      <c r="CZ18" s="3">
        <f t="shared" si="104"/>
        <v>17.008676153076735</v>
      </c>
      <c r="DA18" s="3">
        <f t="shared" si="104"/>
        <v>16.668502630015201</v>
      </c>
      <c r="DB18" s="3">
        <f t="shared" si="104"/>
        <v>16.335132577414896</v>
      </c>
    </row>
    <row r="19" spans="2:111" x14ac:dyDescent="0.2">
      <c r="Y19" s="1">
        <v>0</v>
      </c>
      <c r="Z19">
        <v>0</v>
      </c>
      <c r="AA19">
        <v>0</v>
      </c>
      <c r="AB19" s="1">
        <v>0</v>
      </c>
      <c r="AC19" s="1">
        <v>0</v>
      </c>
      <c r="AD19" s="2">
        <f>AD18</f>
        <v>153.7531423982185</v>
      </c>
      <c r="AE19" s="2">
        <f t="shared" ref="AE19:CL19" si="105">AE18</f>
        <v>224.90802869943548</v>
      </c>
      <c r="AF19" s="2">
        <f t="shared" si="105"/>
        <v>191.26206814083005</v>
      </c>
      <c r="AG19" s="2">
        <f t="shared" si="105"/>
        <v>160.87472964004291</v>
      </c>
      <c r="AH19" s="2">
        <f t="shared" si="105"/>
        <v>133.41914423831085</v>
      </c>
      <c r="AI19" s="2">
        <f t="shared" si="105"/>
        <v>108.60112030859356</v>
      </c>
      <c r="AJ19" s="2">
        <f t="shared" si="105"/>
        <v>86.155875731542096</v>
      </c>
      <c r="AK19" s="2">
        <f t="shared" si="105"/>
        <v>65.84509685300695</v>
      </c>
      <c r="AL19" s="2">
        <f t="shared" si="105"/>
        <v>64.528194915946813</v>
      </c>
      <c r="AM19" s="2">
        <f t="shared" si="105"/>
        <v>63.237631017627876</v>
      </c>
      <c r="AN19" s="2">
        <f t="shared" si="105"/>
        <v>61.972878397275316</v>
      </c>
      <c r="AO19" s="2">
        <f t="shared" si="105"/>
        <v>60.733420829329809</v>
      </c>
      <c r="AP19" s="2">
        <f t="shared" si="105"/>
        <v>59.518752412743211</v>
      </c>
      <c r="AQ19" s="2">
        <f t="shared" si="105"/>
        <v>58.328377364488347</v>
      </c>
      <c r="AR19" s="2">
        <f t="shared" si="105"/>
        <v>57.161809817198581</v>
      </c>
      <c r="AS19" s="2">
        <f t="shared" si="105"/>
        <v>56.01857362085461</v>
      </c>
      <c r="AT19" s="2">
        <f t="shared" si="105"/>
        <v>54.89820214843752</v>
      </c>
      <c r="AU19" s="2">
        <f t="shared" si="105"/>
        <v>53.800238105468772</v>
      </c>
      <c r="AV19" s="2">
        <f t="shared" si="105"/>
        <v>52.724233343359394</v>
      </c>
      <c r="AW19" s="2">
        <f t="shared" si="105"/>
        <v>51.669748676492205</v>
      </c>
      <c r="AX19" s="2">
        <f t="shared" si="105"/>
        <v>50.63635370296236</v>
      </c>
      <c r="AY19" s="2">
        <f t="shared" si="105"/>
        <v>49.623626628903111</v>
      </c>
      <c r="AZ19" s="2">
        <f t="shared" si="105"/>
        <v>48.631154096325048</v>
      </c>
      <c r="BA19" s="2">
        <f t="shared" si="105"/>
        <v>47.658531014398548</v>
      </c>
      <c r="BB19" s="2">
        <f t="shared" si="105"/>
        <v>46.705360394110578</v>
      </c>
      <c r="BC19" s="2">
        <f t="shared" si="105"/>
        <v>45.771253186228364</v>
      </c>
      <c r="BD19" s="2">
        <f t="shared" si="105"/>
        <v>44.855828122503794</v>
      </c>
      <c r="BE19" s="2">
        <f t="shared" si="105"/>
        <v>43.958711560053715</v>
      </c>
      <c r="BF19" s="2">
        <f t="shared" si="105"/>
        <v>43.079537328852638</v>
      </c>
      <c r="BG19" s="2">
        <f t="shared" si="105"/>
        <v>42.217946582275587</v>
      </c>
      <c r="BH19" s="2">
        <f t="shared" si="105"/>
        <v>41.373587650630071</v>
      </c>
      <c r="BI19" s="2">
        <f t="shared" si="105"/>
        <v>40.546115897617469</v>
      </c>
      <c r="BJ19" s="2">
        <f t="shared" si="105"/>
        <v>39.735193579665122</v>
      </c>
      <c r="BK19" s="2">
        <f t="shared" si="105"/>
        <v>38.940489708071816</v>
      </c>
      <c r="BL19" s="2">
        <f t="shared" si="105"/>
        <v>38.161679913910376</v>
      </c>
      <c r="BM19" s="2">
        <f t="shared" si="105"/>
        <v>37.398446315632171</v>
      </c>
      <c r="BN19" s="2">
        <f t="shared" si="105"/>
        <v>36.650477389319526</v>
      </c>
      <c r="BO19" s="2">
        <f t="shared" si="105"/>
        <v>35.917467841533139</v>
      </c>
      <c r="BP19" s="2">
        <f t="shared" si="105"/>
        <v>35.199118484702474</v>
      </c>
      <c r="BQ19" s="2">
        <f t="shared" si="105"/>
        <v>34.495136115008421</v>
      </c>
      <c r="BR19" s="2">
        <f t="shared" si="105"/>
        <v>33.805233392708253</v>
      </c>
      <c r="BS19" s="2">
        <f t="shared" si="105"/>
        <v>33.129128724854084</v>
      </c>
      <c r="BT19" s="2">
        <f t="shared" si="105"/>
        <v>32.466546150357004</v>
      </c>
      <c r="BU19" s="2">
        <f t="shared" si="105"/>
        <v>31.817215227349863</v>
      </c>
      <c r="BV19" s="2">
        <f t="shared" si="105"/>
        <v>31.180870922802864</v>
      </c>
      <c r="BW19" s="2">
        <f t="shared" si="105"/>
        <v>30.557253504346807</v>
      </c>
      <c r="BX19" s="2">
        <f t="shared" si="105"/>
        <v>29.94610843425987</v>
      </c>
      <c r="BY19" s="2">
        <f t="shared" si="105"/>
        <v>29.34718626557467</v>
      </c>
      <c r="BZ19" s="2">
        <f t="shared" si="105"/>
        <v>28.760242540263178</v>
      </c>
      <c r="CA19" s="2">
        <f t="shared" si="105"/>
        <v>28.185037689457914</v>
      </c>
      <c r="CB19" s="2">
        <f t="shared" si="105"/>
        <v>27.621336935668754</v>
      </c>
      <c r="CC19" s="2">
        <f t="shared" si="105"/>
        <v>27.068910196955379</v>
      </c>
      <c r="CD19" s="2">
        <f t="shared" si="105"/>
        <v>26.527531993016272</v>
      </c>
      <c r="CE19" s="2">
        <f t="shared" si="105"/>
        <v>25.996981353155945</v>
      </c>
      <c r="CF19" s="2">
        <f t="shared" si="105"/>
        <v>25.477041726092825</v>
      </c>
      <c r="CG19" s="2">
        <f t="shared" si="105"/>
        <v>24.967500891570968</v>
      </c>
      <c r="CH19" s="2">
        <f t="shared" si="105"/>
        <v>24.468150873739546</v>
      </c>
      <c r="CI19" s="2">
        <f t="shared" si="105"/>
        <v>23.978787856264756</v>
      </c>
      <c r="CJ19" s="2">
        <f t="shared" si="105"/>
        <v>23.499212099139459</v>
      </c>
      <c r="CK19" s="2">
        <f t="shared" si="105"/>
        <v>23.02922785715667</v>
      </c>
      <c r="CL19" s="2">
        <f t="shared" si="105"/>
        <v>22.568643300013537</v>
      </c>
      <c r="CM19" s="2">
        <f t="shared" ref="CM19" si="106">CM18</f>
        <v>22.117270434013268</v>
      </c>
      <c r="CN19" s="2">
        <f t="shared" ref="CN19" si="107">CN18</f>
        <v>21.674925025333003</v>
      </c>
      <c r="CO19" s="2">
        <f t="shared" ref="CO19" si="108">CO18</f>
        <v>21.241426524826341</v>
      </c>
      <c r="CP19" s="2">
        <f t="shared" ref="CP19" si="109">CP18</f>
        <v>20.816597994329815</v>
      </c>
      <c r="CQ19" s="2">
        <f t="shared" ref="CQ19" si="110">CQ18</f>
        <v>20.400266034443217</v>
      </c>
      <c r="CR19" s="2">
        <f t="shared" ref="CR19" si="111">CR18</f>
        <v>19.992260713754352</v>
      </c>
      <c r="CS19" s="2">
        <f t="shared" ref="CS19" si="112">CS18</f>
        <v>19.592415499479266</v>
      </c>
      <c r="CT19" s="2">
        <f t="shared" ref="CT19" si="113">CT18</f>
        <v>19.200567189489679</v>
      </c>
      <c r="CU19" s="2">
        <f t="shared" ref="CU19" si="114">CU18</f>
        <v>18.816555845699884</v>
      </c>
      <c r="CV19" s="2">
        <f t="shared" ref="CV19" si="115">CV18</f>
        <v>18.440224728785886</v>
      </c>
      <c r="CW19" s="2">
        <f t="shared" ref="CW19" si="116">CW18</f>
        <v>18.071420234210169</v>
      </c>
      <c r="CX19" s="2">
        <f t="shared" ref="CX19" si="117">CX18</f>
        <v>17.709991829525965</v>
      </c>
      <c r="CY19" s="2">
        <f t="shared" ref="CY19" si="118">CY18</f>
        <v>17.355791992935444</v>
      </c>
      <c r="CZ19" s="2">
        <f t="shared" ref="CZ19" si="119">CZ18</f>
        <v>17.008676153076735</v>
      </c>
      <c r="DA19" s="2">
        <f t="shared" ref="DA19" si="120">DA18</f>
        <v>16.668502630015201</v>
      </c>
      <c r="DB19" s="2">
        <f t="shared" ref="DB19" si="121">DB18</f>
        <v>16.335132577414896</v>
      </c>
      <c r="DC19" s="2">
        <f t="shared" ref="DC19" si="122">DC18</f>
        <v>0</v>
      </c>
      <c r="DD19" s="2">
        <f t="shared" ref="DD19" si="123">DD18</f>
        <v>0</v>
      </c>
      <c r="DE19" s="2">
        <f t="shared" ref="DE19" si="124">DE18</f>
        <v>0</v>
      </c>
      <c r="DF19" s="2">
        <f t="shared" ref="DF19" si="125">DF18</f>
        <v>0</v>
      </c>
      <c r="DG19" s="2">
        <f t="shared" ref="DG19" si="126">DG18</f>
        <v>0</v>
      </c>
    </row>
    <row r="20" spans="2:111" x14ac:dyDescent="0.2">
      <c r="AB20" s="1"/>
      <c r="AC20" s="1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</row>
    <row r="21" spans="2:111" x14ac:dyDescent="0.2">
      <c r="B21" s="2" t="s">
        <v>16</v>
      </c>
      <c r="W21" s="6">
        <f>W9/W7</f>
        <v>0.76081111246397992</v>
      </c>
      <c r="X21" s="6">
        <f t="shared" ref="X21" si="127">X9/X7</f>
        <v>0.75</v>
      </c>
    </row>
    <row r="22" spans="2:111" x14ac:dyDescent="0.2">
      <c r="B22" s="2" t="s">
        <v>42</v>
      </c>
      <c r="K22" s="6">
        <f>K14/K7</f>
        <v>0.57752176206230676</v>
      </c>
      <c r="W22" s="6">
        <f t="shared" ref="W22:X22" si="128">W14/W7</f>
        <v>0.58787643573196968</v>
      </c>
      <c r="X22" s="6">
        <f t="shared" si="128"/>
        <v>0.63096000000000008</v>
      </c>
      <c r="Z22" s="2">
        <f>NPV(6%,Y19:DG19)</f>
        <v>1055.0694605882031</v>
      </c>
    </row>
    <row r="24" spans="2:111" x14ac:dyDescent="0.2">
      <c r="B24" t="s">
        <v>27</v>
      </c>
      <c r="K24" s="3">
        <f>+K25-K40</f>
        <v>-3127.5659999999998</v>
      </c>
      <c r="V24" s="3"/>
      <c r="W24" s="3">
        <v>-3300</v>
      </c>
      <c r="X24" s="3">
        <f>+W24+X18</f>
        <v>-2921.4173999999998</v>
      </c>
      <c r="Y24" s="3">
        <f t="shared" ref="Y24:AC24" si="129">+X24+Y18</f>
        <v>-2588.8750223999996</v>
      </c>
      <c r="Z24" s="3">
        <f t="shared" si="129"/>
        <v>-2298.3906741023993</v>
      </c>
      <c r="AA24" s="3">
        <f t="shared" si="129"/>
        <v>-2046.4276403341817</v>
      </c>
      <c r="AB24" s="3">
        <f t="shared" si="129"/>
        <v>-1829.8537284995796</v>
      </c>
      <c r="AC24" s="3">
        <f t="shared" si="129"/>
        <v>-1645.9046806155475</v>
      </c>
      <c r="AD24" s="3">
        <f t="shared" ref="AD24:AK24" si="130">+AC24+AD18</f>
        <v>-1492.1515382173291</v>
      </c>
      <c r="AE24" s="3">
        <f t="shared" si="130"/>
        <v>-1267.2435095178935</v>
      </c>
      <c r="AF24" s="3">
        <f t="shared" si="130"/>
        <v>-1075.9814413770634</v>
      </c>
      <c r="AG24" s="3">
        <f t="shared" si="130"/>
        <v>-915.10671173702053</v>
      </c>
      <c r="AH24" s="3">
        <f t="shared" si="130"/>
        <v>-781.68756749870965</v>
      </c>
      <c r="AI24" s="3">
        <f t="shared" si="130"/>
        <v>-673.08644719011613</v>
      </c>
      <c r="AJ24" s="3">
        <f t="shared" si="130"/>
        <v>-586.93057145857404</v>
      </c>
      <c r="AK24" s="3">
        <f t="shared" si="130"/>
        <v>-521.08547460556713</v>
      </c>
    </row>
    <row r="25" spans="2:111" s="2" customFormat="1" x14ac:dyDescent="0.2">
      <c r="B25" s="2" t="s">
        <v>44</v>
      </c>
      <c r="C25" s="3"/>
      <c r="D25" s="3"/>
      <c r="E25" s="3"/>
      <c r="F25" s="3"/>
      <c r="G25" s="3"/>
      <c r="H25" s="3"/>
      <c r="I25" s="3"/>
      <c r="J25" s="3"/>
      <c r="K25" s="3">
        <v>178.51599999999999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111" s="2" customFormat="1" x14ac:dyDescent="0.2">
      <c r="B26" s="2" t="s">
        <v>45</v>
      </c>
      <c r="C26" s="3"/>
      <c r="D26" s="3"/>
      <c r="E26" s="3"/>
      <c r="F26" s="3"/>
      <c r="G26" s="3"/>
      <c r="H26" s="3"/>
      <c r="I26" s="3"/>
      <c r="J26" s="3"/>
      <c r="K26" s="3">
        <v>236.82300000000001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111" s="2" customFormat="1" x14ac:dyDescent="0.2">
      <c r="B27" s="2" t="s">
        <v>46</v>
      </c>
      <c r="C27" s="3"/>
      <c r="D27" s="3"/>
      <c r="E27" s="3"/>
      <c r="F27" s="3"/>
      <c r="G27" s="3"/>
      <c r="H27" s="3"/>
      <c r="I27" s="3"/>
      <c r="J27" s="3"/>
      <c r="K27" s="3">
        <v>86.143000000000001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111" s="2" customFormat="1" x14ac:dyDescent="0.2">
      <c r="B28" s="2" t="s">
        <v>47</v>
      </c>
      <c r="C28" s="3"/>
      <c r="D28" s="3"/>
      <c r="E28" s="3"/>
      <c r="F28" s="3"/>
      <c r="G28" s="3"/>
      <c r="H28" s="3"/>
      <c r="I28" s="3"/>
      <c r="J28" s="3"/>
      <c r="K28" s="3">
        <v>10.38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111" s="2" customFormat="1" x14ac:dyDescent="0.2">
      <c r="B29" s="2" t="s">
        <v>24</v>
      </c>
      <c r="C29" s="3"/>
      <c r="D29" s="3"/>
      <c r="E29" s="3"/>
      <c r="F29" s="3"/>
      <c r="G29" s="3"/>
      <c r="H29" s="3"/>
      <c r="I29" s="3"/>
      <c r="J29" s="3"/>
      <c r="K29" s="3">
        <f>5.692+0.674</f>
        <v>6.3660000000000005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111" s="2" customFormat="1" x14ac:dyDescent="0.2">
      <c r="B30" s="2" t="s">
        <v>48</v>
      </c>
      <c r="C30" s="3"/>
      <c r="D30" s="3"/>
      <c r="E30" s="3"/>
      <c r="F30" s="3"/>
      <c r="G30" s="3"/>
      <c r="H30" s="3"/>
      <c r="I30" s="3"/>
      <c r="J30" s="3"/>
      <c r="K30" s="3">
        <v>14.279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111" s="2" customFormat="1" x14ac:dyDescent="0.2">
      <c r="B31" s="2" t="s">
        <v>49</v>
      </c>
      <c r="C31" s="3"/>
      <c r="D31" s="3"/>
      <c r="E31" s="3"/>
      <c r="F31" s="3"/>
      <c r="G31" s="3"/>
      <c r="H31" s="3"/>
      <c r="I31" s="3"/>
      <c r="J31" s="3"/>
      <c r="K31" s="3">
        <f>3847.525+805.694</f>
        <v>4653.2190000000001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111" s="2" customFormat="1" x14ac:dyDescent="0.2">
      <c r="B32" s="2" t="s">
        <v>50</v>
      </c>
      <c r="C32" s="3"/>
      <c r="D32" s="3"/>
      <c r="E32" s="3"/>
      <c r="F32" s="3"/>
      <c r="G32" s="3"/>
      <c r="H32" s="3"/>
      <c r="I32" s="3"/>
      <c r="J32" s="3"/>
      <c r="K32" s="3">
        <v>5.87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s="2" customFormat="1" x14ac:dyDescent="0.2">
      <c r="B33" s="2" t="s">
        <v>51</v>
      </c>
      <c r="C33" s="3"/>
      <c r="D33" s="3"/>
      <c r="E33" s="3"/>
      <c r="F33" s="3"/>
      <c r="G33" s="3"/>
      <c r="H33" s="3"/>
      <c r="I33" s="3"/>
      <c r="J33" s="3"/>
      <c r="K33" s="3">
        <v>5.99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s="2" customFormat="1" x14ac:dyDescent="0.2">
      <c r="B34" s="2" t="s">
        <v>52</v>
      </c>
      <c r="C34" s="3"/>
      <c r="D34" s="3"/>
      <c r="E34" s="3"/>
      <c r="F34" s="3"/>
      <c r="G34" s="3"/>
      <c r="H34" s="3"/>
      <c r="I34" s="3"/>
      <c r="J34" s="3"/>
      <c r="K34" s="3">
        <f>SUM(K25:K33)</f>
        <v>5197.5859999999993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6" spans="2:25" x14ac:dyDescent="0.2">
      <c r="B36" s="2" t="s">
        <v>53</v>
      </c>
      <c r="K36" s="3">
        <v>187.22</v>
      </c>
    </row>
    <row r="37" spans="2:25" x14ac:dyDescent="0.2">
      <c r="B37" s="2" t="s">
        <v>54</v>
      </c>
      <c r="K37" s="3">
        <v>32.652000000000001</v>
      </c>
    </row>
    <row r="38" spans="2:25" x14ac:dyDescent="0.2">
      <c r="B38" s="2" t="s">
        <v>55</v>
      </c>
      <c r="K38" s="3">
        <v>3.8260000000000001</v>
      </c>
    </row>
    <row r="39" spans="2:25" x14ac:dyDescent="0.2">
      <c r="B39" s="2" t="s">
        <v>24</v>
      </c>
      <c r="K39" s="3">
        <v>47.387999999999998</v>
      </c>
    </row>
    <row r="40" spans="2:25" x14ac:dyDescent="0.2">
      <c r="B40" s="2" t="s">
        <v>56</v>
      </c>
      <c r="K40" s="3">
        <f>25.774+3280.308</f>
        <v>3306.0819999999999</v>
      </c>
    </row>
    <row r="41" spans="2:25" x14ac:dyDescent="0.2">
      <c r="B41" s="2" t="s">
        <v>57</v>
      </c>
      <c r="K41" s="3">
        <v>239.995</v>
      </c>
    </row>
    <row r="42" spans="2:25" x14ac:dyDescent="0.2">
      <c r="B42" s="2" t="s">
        <v>57</v>
      </c>
      <c r="K42" s="3">
        <v>34.353999999999999</v>
      </c>
    </row>
    <row r="43" spans="2:25" x14ac:dyDescent="0.2">
      <c r="B43" s="2" t="s">
        <v>24</v>
      </c>
      <c r="K43" s="3">
        <v>259.40800000000002</v>
      </c>
    </row>
    <row r="44" spans="2:25" x14ac:dyDescent="0.2">
      <c r="B44" s="2" t="s">
        <v>58</v>
      </c>
      <c r="K44" s="3">
        <v>0.32800000000000001</v>
      </c>
    </row>
    <row r="45" spans="2:25" x14ac:dyDescent="0.2">
      <c r="B45" s="2" t="s">
        <v>58</v>
      </c>
      <c r="K45" s="3">
        <v>0.34300000000000003</v>
      </c>
    </row>
    <row r="46" spans="2:25" x14ac:dyDescent="0.2">
      <c r="B46" s="2" t="s">
        <v>59</v>
      </c>
      <c r="K46" s="3">
        <v>1085.99</v>
      </c>
    </row>
    <row r="47" spans="2:25" x14ac:dyDescent="0.2">
      <c r="B47" s="2" t="s">
        <v>60</v>
      </c>
      <c r="K47" s="3">
        <f>SUM(K36:K46)</f>
        <v>5197.5859999999993</v>
      </c>
    </row>
  </sheetData>
  <hyperlinks>
    <hyperlink ref="A1" location="Main!A1" display="Main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2016-05-02T14:31:27Z</dcterms:created>
  <dcterms:modified xsi:type="dcterms:W3CDTF">2016-05-13T17:20:39Z</dcterms:modified>
</cp:coreProperties>
</file>