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3445" windowHeight="12300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2" l="1"/>
  <c r="J81" i="2"/>
  <c r="J80" i="2"/>
  <c r="J79" i="2"/>
  <c r="J78" i="2"/>
  <c r="J77" i="2"/>
  <c r="J76" i="2"/>
  <c r="J75" i="2"/>
  <c r="J74" i="2"/>
  <c r="J73" i="2"/>
  <c r="J72" i="2"/>
  <c r="J70" i="2"/>
  <c r="J69" i="2"/>
  <c r="J68" i="2"/>
  <c r="J67" i="2"/>
  <c r="J66" i="2"/>
  <c r="J65" i="2"/>
  <c r="J64" i="2"/>
  <c r="J63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57" i="2"/>
  <c r="I54" i="2"/>
  <c r="I36" i="2" s="1"/>
  <c r="I52" i="2"/>
  <c r="I58" i="2"/>
  <c r="I60" i="2" s="1"/>
  <c r="I48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54" i="2"/>
  <c r="H57" i="2"/>
  <c r="H52" i="2"/>
  <c r="H36" i="2"/>
  <c r="H58" i="2"/>
  <c r="H60" i="2" s="1"/>
  <c r="H48" i="2"/>
  <c r="G80" i="2"/>
  <c r="G78" i="2"/>
  <c r="G62" i="2"/>
  <c r="G57" i="2"/>
  <c r="G54" i="2"/>
  <c r="G52" i="2"/>
  <c r="G48" i="2"/>
  <c r="G36" i="2"/>
  <c r="G58" i="2" l="1"/>
  <c r="G60" i="2" s="1"/>
  <c r="AN34" i="2"/>
  <c r="AN33" i="2"/>
  <c r="AN32" i="2"/>
  <c r="AM28" i="2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AL28" i="2"/>
  <c r="Z25" i="2"/>
  <c r="Z26" i="2" s="1"/>
  <c r="Y36" i="2"/>
  <c r="M36" i="2"/>
  <c r="N36" i="2" s="1"/>
  <c r="L36" i="2"/>
  <c r="Y27" i="2"/>
  <c r="Y28" i="2" s="1"/>
  <c r="Y26" i="2"/>
  <c r="Y25" i="2"/>
  <c r="Z22" i="2"/>
  <c r="AA22" i="2" s="1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Z21" i="2"/>
  <c r="AA15" i="2"/>
  <c r="AA32" i="2" s="1"/>
  <c r="Z15" i="2"/>
  <c r="Y24" i="2"/>
  <c r="Y23" i="2"/>
  <c r="Y22" i="2"/>
  <c r="Y21" i="2"/>
  <c r="Z34" i="2"/>
  <c r="AA20" i="2"/>
  <c r="AA34" i="2" s="1"/>
  <c r="Z20" i="2"/>
  <c r="Y34" i="2"/>
  <c r="Z32" i="2"/>
  <c r="Y32" i="2"/>
  <c r="Y20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Z3" i="2"/>
  <c r="Y15" i="2"/>
  <c r="N29" i="2"/>
  <c r="M29" i="2"/>
  <c r="L29" i="2"/>
  <c r="N28" i="2"/>
  <c r="M28" i="2"/>
  <c r="L28" i="2"/>
  <c r="N27" i="2"/>
  <c r="M27" i="2"/>
  <c r="L27" i="2"/>
  <c r="N26" i="2"/>
  <c r="M26" i="2"/>
  <c r="L26" i="2"/>
  <c r="M25" i="2"/>
  <c r="N25" i="2" s="1"/>
  <c r="L25" i="2"/>
  <c r="N23" i="2"/>
  <c r="N24" i="2" s="1"/>
  <c r="M23" i="2"/>
  <c r="M24" i="2" s="1"/>
  <c r="L23" i="2"/>
  <c r="L24" i="2" s="1"/>
  <c r="N22" i="2"/>
  <c r="M22" i="2"/>
  <c r="L22" i="2"/>
  <c r="N21" i="2"/>
  <c r="M21" i="2"/>
  <c r="L21" i="2"/>
  <c r="N19" i="2"/>
  <c r="M19" i="2"/>
  <c r="L19" i="2"/>
  <c r="N20" i="2"/>
  <c r="M20" i="2"/>
  <c r="L20" i="2"/>
  <c r="L34" i="2" s="1"/>
  <c r="N34" i="2"/>
  <c r="M34" i="2"/>
  <c r="N13" i="2"/>
  <c r="M13" i="2"/>
  <c r="L13" i="2"/>
  <c r="N12" i="2"/>
  <c r="M12" i="2"/>
  <c r="N15" i="2"/>
  <c r="N32" i="2" s="1"/>
  <c r="M15" i="2"/>
  <c r="M32" i="2" s="1"/>
  <c r="L15" i="2"/>
  <c r="M11" i="2"/>
  <c r="N11" i="2" s="1"/>
  <c r="L11" i="2"/>
  <c r="L12" i="2"/>
  <c r="K13" i="2"/>
  <c r="J12" i="2"/>
  <c r="I12" i="2"/>
  <c r="H12" i="2"/>
  <c r="G12" i="2"/>
  <c r="L32" i="2"/>
  <c r="H34" i="2"/>
  <c r="H32" i="2"/>
  <c r="D23" i="2"/>
  <c r="D19" i="2"/>
  <c r="D20" i="2" s="1"/>
  <c r="H23" i="2"/>
  <c r="H19" i="2"/>
  <c r="H20" i="2" s="1"/>
  <c r="H24" i="2" s="1"/>
  <c r="H26" i="2" s="1"/>
  <c r="H28" i="2" s="1"/>
  <c r="H29" i="2" s="1"/>
  <c r="K32" i="2"/>
  <c r="J32" i="2"/>
  <c r="I32" i="2"/>
  <c r="E23" i="2"/>
  <c r="E19" i="2"/>
  <c r="I23" i="2"/>
  <c r="I19" i="2"/>
  <c r="I20" i="2" s="1"/>
  <c r="I34" i="2" s="1"/>
  <c r="L9" i="1"/>
  <c r="X78" i="2"/>
  <c r="X80" i="2" s="1"/>
  <c r="J52" i="2"/>
  <c r="J58" i="2" s="1"/>
  <c r="J60" i="2" s="1"/>
  <c r="J54" i="2"/>
  <c r="J36" i="2" s="1"/>
  <c r="J48" i="2"/>
  <c r="X87" i="2"/>
  <c r="X88" i="2" s="1"/>
  <c r="W97" i="2"/>
  <c r="Y11" i="2"/>
  <c r="Y94" i="2" s="1"/>
  <c r="W32" i="2"/>
  <c r="V32" i="2"/>
  <c r="U32" i="2"/>
  <c r="T32" i="2"/>
  <c r="S32" i="2"/>
  <c r="R32" i="2"/>
  <c r="Q32" i="2"/>
  <c r="X32" i="2"/>
  <c r="X12" i="2"/>
  <c r="W12" i="2"/>
  <c r="X13" i="2" s="1"/>
  <c r="W11" i="2"/>
  <c r="X94" i="2" s="1"/>
  <c r="V11" i="2"/>
  <c r="V12" i="2" s="1"/>
  <c r="W13" i="2" s="1"/>
  <c r="U11" i="2"/>
  <c r="U12" i="2" s="1"/>
  <c r="T11" i="2"/>
  <c r="T12" i="2" s="1"/>
  <c r="S11" i="2"/>
  <c r="S12" i="2" s="1"/>
  <c r="S13" i="2" s="1"/>
  <c r="R11" i="2"/>
  <c r="R12" i="2" s="1"/>
  <c r="Q11" i="2"/>
  <c r="Q12" i="2" s="1"/>
  <c r="P11" i="2"/>
  <c r="P12" i="2" s="1"/>
  <c r="X11" i="2"/>
  <c r="X93" i="2"/>
  <c r="W93" i="2"/>
  <c r="V93" i="2"/>
  <c r="U93" i="2"/>
  <c r="T93" i="2"/>
  <c r="S93" i="2"/>
  <c r="R93" i="2"/>
  <c r="W92" i="2"/>
  <c r="V92" i="2"/>
  <c r="U92" i="2"/>
  <c r="T92" i="2"/>
  <c r="S92" i="2"/>
  <c r="R92" i="2"/>
  <c r="Q92" i="2"/>
  <c r="X92" i="2"/>
  <c r="V2" i="2"/>
  <c r="U2" i="2" s="1"/>
  <c r="T2" i="2" s="1"/>
  <c r="S2" i="2" s="1"/>
  <c r="R2" i="2" s="1"/>
  <c r="Q2" i="2" s="1"/>
  <c r="P2" i="2" s="1"/>
  <c r="V3" i="2"/>
  <c r="U3" i="2" s="1"/>
  <c r="T3" i="2" s="1"/>
  <c r="S3" i="2" s="1"/>
  <c r="R3" i="2" s="1"/>
  <c r="Q3" i="2" s="1"/>
  <c r="P3" i="2" s="1"/>
  <c r="D10" i="1"/>
  <c r="E5" i="1"/>
  <c r="E4" i="1"/>
  <c r="E3" i="1"/>
  <c r="Z27" i="2" l="1"/>
  <c r="Z28" i="2"/>
  <c r="Z36" i="2" s="1"/>
  <c r="AB22" i="2"/>
  <c r="AA23" i="2"/>
  <c r="Z23" i="2"/>
  <c r="Z24" i="2" s="1"/>
  <c r="AB15" i="2"/>
  <c r="AA24" i="2"/>
  <c r="D34" i="2"/>
  <c r="D24" i="2"/>
  <c r="D26" i="2" s="1"/>
  <c r="D28" i="2" s="1"/>
  <c r="D29" i="2" s="1"/>
  <c r="U13" i="2"/>
  <c r="E20" i="2"/>
  <c r="E34" i="2" s="1"/>
  <c r="I24" i="2"/>
  <c r="I26" i="2" s="1"/>
  <c r="I28" i="2" s="1"/>
  <c r="I29" i="2" s="1"/>
  <c r="V94" i="2"/>
  <c r="W94" i="2"/>
  <c r="T94" i="2"/>
  <c r="Q13" i="2"/>
  <c r="T13" i="2"/>
  <c r="V13" i="2"/>
  <c r="R13" i="2"/>
  <c r="Q94" i="2"/>
  <c r="R94" i="2"/>
  <c r="S94" i="2"/>
  <c r="U94" i="2"/>
  <c r="X89" i="2"/>
  <c r="AA25" i="2" l="1"/>
  <c r="AA26" i="2" s="1"/>
  <c r="AC22" i="2"/>
  <c r="AB23" i="2"/>
  <c r="AC15" i="2"/>
  <c r="AB32" i="2"/>
  <c r="AB20" i="2"/>
  <c r="E24" i="2"/>
  <c r="E26" i="2" s="1"/>
  <c r="E28" i="2" s="1"/>
  <c r="E29" i="2" s="1"/>
  <c r="F23" i="2"/>
  <c r="F19" i="2"/>
  <c r="F20" i="2" s="1"/>
  <c r="AA27" i="2" l="1"/>
  <c r="AA28" i="2" s="1"/>
  <c r="AA36" i="2" s="1"/>
  <c r="AC23" i="2"/>
  <c r="AD22" i="2"/>
  <c r="AD15" i="2"/>
  <c r="AC32" i="2"/>
  <c r="AC20" i="2"/>
  <c r="AB24" i="2"/>
  <c r="AB34" i="2"/>
  <c r="F24" i="2"/>
  <c r="F26" i="2" s="1"/>
  <c r="F28" i="2" s="1"/>
  <c r="F29" i="2" s="1"/>
  <c r="F34" i="2"/>
  <c r="J23" i="2"/>
  <c r="J19" i="2"/>
  <c r="J20" i="2" s="1"/>
  <c r="AB25" i="2" l="1"/>
  <c r="AB26" i="2" s="1"/>
  <c r="AE22" i="2"/>
  <c r="AD23" i="2"/>
  <c r="AC34" i="2"/>
  <c r="AC24" i="2"/>
  <c r="AD32" i="2"/>
  <c r="AE15" i="2"/>
  <c r="AD20" i="2"/>
  <c r="J24" i="2"/>
  <c r="J26" i="2" s="1"/>
  <c r="J28" i="2" s="1"/>
  <c r="J34" i="2"/>
  <c r="K78" i="2"/>
  <c r="K80" i="2" s="1"/>
  <c r="K54" i="2"/>
  <c r="K36" i="2" s="1"/>
  <c r="K52" i="2"/>
  <c r="K58" i="2" s="1"/>
  <c r="K60" i="2" s="1"/>
  <c r="K48" i="2"/>
  <c r="G23" i="2"/>
  <c r="K23" i="2"/>
  <c r="G19" i="2"/>
  <c r="G20" i="2" s="1"/>
  <c r="K19" i="2"/>
  <c r="K20" i="2" s="1"/>
  <c r="AB27" i="2" l="1"/>
  <c r="AB28" i="2"/>
  <c r="AB36" i="2" s="1"/>
  <c r="AE23" i="2"/>
  <c r="AF22" i="2"/>
  <c r="AD34" i="2"/>
  <c r="AD24" i="2"/>
  <c r="AE32" i="2"/>
  <c r="AE20" i="2"/>
  <c r="AF15" i="2"/>
  <c r="J29" i="2"/>
  <c r="J62" i="2"/>
  <c r="G24" i="2"/>
  <c r="G26" i="2" s="1"/>
  <c r="G28" i="2" s="1"/>
  <c r="G29" i="2" s="1"/>
  <c r="K24" i="2"/>
  <c r="K26" i="2" s="1"/>
  <c r="K28" i="2" s="1"/>
  <c r="K62" i="2" s="1"/>
  <c r="K34" i="2"/>
  <c r="G34" i="2"/>
  <c r="G11" i="2"/>
  <c r="K11" i="2"/>
  <c r="K12" i="2" s="1"/>
  <c r="L7" i="1"/>
  <c r="L6" i="1"/>
  <c r="L4" i="1"/>
  <c r="AC25" i="2" l="1"/>
  <c r="AC26" i="2" s="1"/>
  <c r="AG22" i="2"/>
  <c r="AF23" i="2"/>
  <c r="AG15" i="2"/>
  <c r="AF32" i="2"/>
  <c r="AF20" i="2"/>
  <c r="AE24" i="2"/>
  <c r="AE34" i="2"/>
  <c r="K29" i="2"/>
  <c r="AC27" i="2" l="1"/>
  <c r="AC28" i="2"/>
  <c r="AC36" i="2" s="1"/>
  <c r="AH22" i="2"/>
  <c r="AG23" i="2"/>
  <c r="AF24" i="2"/>
  <c r="AF34" i="2"/>
  <c r="AG20" i="2"/>
  <c r="AH15" i="2"/>
  <c r="AG32" i="2"/>
  <c r="AD25" i="2" l="1"/>
  <c r="AD26" i="2" s="1"/>
  <c r="AI22" i="2"/>
  <c r="AH23" i="2"/>
  <c r="AH32" i="2"/>
  <c r="AI15" i="2"/>
  <c r="AH20" i="2"/>
  <c r="AG24" i="2"/>
  <c r="AG34" i="2"/>
  <c r="AD27" i="2" l="1"/>
  <c r="AD28" i="2"/>
  <c r="AD36" i="2" s="1"/>
  <c r="AJ22" i="2"/>
  <c r="AI23" i="2"/>
  <c r="AJ15" i="2"/>
  <c r="AI32" i="2"/>
  <c r="AI20" i="2"/>
  <c r="AH34" i="2"/>
  <c r="AH24" i="2"/>
  <c r="AE25" i="2" l="1"/>
  <c r="AE26" i="2" s="1"/>
  <c r="AE27" i="2" s="1"/>
  <c r="AE28" i="2" s="1"/>
  <c r="AE36" i="2" s="1"/>
  <c r="AK22" i="2"/>
  <c r="AK23" i="2" s="1"/>
  <c r="AJ23" i="2"/>
  <c r="AI34" i="2"/>
  <c r="AI24" i="2"/>
  <c r="AK15" i="2"/>
  <c r="AJ20" i="2"/>
  <c r="AJ32" i="2"/>
  <c r="AF25" i="2" l="1"/>
  <c r="AF26" i="2" s="1"/>
  <c r="AF27" i="2" s="1"/>
  <c r="AF28" i="2" s="1"/>
  <c r="AF36" i="2" s="1"/>
  <c r="AJ34" i="2"/>
  <c r="AJ24" i="2"/>
  <c r="AK32" i="2"/>
  <c r="AK20" i="2"/>
  <c r="AG25" i="2" l="1"/>
  <c r="AG26" i="2" s="1"/>
  <c r="AK34" i="2"/>
  <c r="AK24" i="2"/>
  <c r="AG27" i="2" l="1"/>
  <c r="AG28" i="2" s="1"/>
  <c r="AG36" i="2" s="1"/>
  <c r="AH25" i="2" l="1"/>
  <c r="AH26" i="2" s="1"/>
  <c r="AH27" i="2" s="1"/>
  <c r="AH28" i="2" s="1"/>
  <c r="AH36" i="2" s="1"/>
  <c r="AI25" i="2" l="1"/>
  <c r="AI26" i="2" s="1"/>
  <c r="AI27" i="2" s="1"/>
  <c r="AI28" i="2" s="1"/>
  <c r="AI36" i="2" s="1"/>
  <c r="AJ25" i="2" l="1"/>
  <c r="AJ26" i="2" s="1"/>
  <c r="AJ27" i="2" s="1"/>
  <c r="AJ28" i="2" s="1"/>
  <c r="AJ36" i="2" s="1"/>
  <c r="AK25" i="2" l="1"/>
  <c r="AK26" i="2" s="1"/>
  <c r="AK27" i="2" s="1"/>
  <c r="AK28" i="2" s="1"/>
  <c r="AK36" i="2" s="1"/>
</calcChain>
</file>

<file path=xl/comments1.xml><?xml version="1.0" encoding="utf-8"?>
<comments xmlns="http://schemas.openxmlformats.org/spreadsheetml/2006/main">
  <authors>
    <author>Martin Shkreli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Mostly in the eastern US</t>
        </r>
      </text>
    </comment>
  </commentList>
</comments>
</file>

<file path=xl/comments2.xml><?xml version="1.0" encoding="utf-8"?>
<comments xmlns="http://schemas.openxmlformats.org/spreadsheetml/2006/main">
  <authors>
    <author>Martin Shkreli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calculated from press release</t>
        </r>
      </text>
    </comment>
  </commentList>
</comments>
</file>

<file path=xl/sharedStrings.xml><?xml version="1.0" encoding="utf-8"?>
<sst xmlns="http://schemas.openxmlformats.org/spreadsheetml/2006/main" count="131" uniqueCount="123">
  <si>
    <t>Price</t>
  </si>
  <si>
    <t>Shares</t>
  </si>
  <si>
    <t>MC</t>
  </si>
  <si>
    <t>Q315</t>
  </si>
  <si>
    <t>Cash</t>
  </si>
  <si>
    <t>Debt</t>
  </si>
  <si>
    <t>EV</t>
  </si>
  <si>
    <t>Name</t>
  </si>
  <si>
    <t>The Capital Grille</t>
  </si>
  <si>
    <t>Olive Garden</t>
  </si>
  <si>
    <t>Longhorn Steakhouse</t>
  </si>
  <si>
    <t>Yard House</t>
  </si>
  <si>
    <t>Eddie V's</t>
  </si>
  <si>
    <t>Seasons 72</t>
  </si>
  <si>
    <t>Bahama Breeze</t>
  </si>
  <si>
    <t>Q116</t>
  </si>
  <si>
    <t>Q216</t>
  </si>
  <si>
    <t>Q316</t>
  </si>
  <si>
    <t>Q416</t>
  </si>
  <si>
    <t>Q115</t>
  </si>
  <si>
    <t>Q215</t>
  </si>
  <si>
    <t>Q415</t>
  </si>
  <si>
    <t>Olive Garden (CO)</t>
  </si>
  <si>
    <t>LongHorn Steakhouse (CO)</t>
  </si>
  <si>
    <t>Capital Grille (CO)</t>
  </si>
  <si>
    <t>Bahama Breeze (CO)</t>
  </si>
  <si>
    <t>Seasons 52 (CO)</t>
  </si>
  <si>
    <t>Eddie V's (CO)</t>
  </si>
  <si>
    <t>Yard House (CO)</t>
  </si>
  <si>
    <t>Total Restaurants</t>
  </si>
  <si>
    <t>Revenue</t>
  </si>
  <si>
    <t>Revenue/Restaurants</t>
  </si>
  <si>
    <t>Restaurant COGS</t>
  </si>
  <si>
    <t>Food and Beverage</t>
  </si>
  <si>
    <t>Restaurant Labor</t>
  </si>
  <si>
    <t>Marketing Expenses</t>
  </si>
  <si>
    <t>Gross Margin</t>
  </si>
  <si>
    <t>G&amp;A</t>
  </si>
  <si>
    <t>Operating Income</t>
  </si>
  <si>
    <t>Interest Expense</t>
  </si>
  <si>
    <t>Pretax Income</t>
  </si>
  <si>
    <t>Taxes</t>
  </si>
  <si>
    <t>Net Income</t>
  </si>
  <si>
    <t>Revenue Growth</t>
  </si>
  <si>
    <t>Restaurant Expenses</t>
  </si>
  <si>
    <t>Operating Expenses</t>
  </si>
  <si>
    <t>EPS</t>
  </si>
  <si>
    <t>Q114</t>
  </si>
  <si>
    <t>Q214</t>
  </si>
  <si>
    <t>Q314</t>
  </si>
  <si>
    <t>Q414</t>
  </si>
  <si>
    <t>Net Cash</t>
  </si>
  <si>
    <t>A/R</t>
  </si>
  <si>
    <t>Inventories</t>
  </si>
  <si>
    <t>Prepaid Taxes</t>
  </si>
  <si>
    <t>Prepaid Expenses</t>
  </si>
  <si>
    <t>Deferred Expenses</t>
  </si>
  <si>
    <t>Assets held for sale</t>
  </si>
  <si>
    <t>PP&amp;E</t>
  </si>
  <si>
    <t>Goodwill</t>
  </si>
  <si>
    <t>Trademarks</t>
  </si>
  <si>
    <t>Assets</t>
  </si>
  <si>
    <t>Other</t>
  </si>
  <si>
    <t>A/P</t>
  </si>
  <si>
    <t>Payroll</t>
  </si>
  <si>
    <t>D/R</t>
  </si>
  <si>
    <t>OCL</t>
  </si>
  <si>
    <t>Rent</t>
  </si>
  <si>
    <t>OL</t>
  </si>
  <si>
    <t>Liabilities</t>
  </si>
  <si>
    <t>S/E</t>
  </si>
  <si>
    <t>L+S/E</t>
  </si>
  <si>
    <t>Reported GAAP NI</t>
  </si>
  <si>
    <t>Model NON-GAAP NI</t>
  </si>
  <si>
    <t>Discontinued Operations</t>
  </si>
  <si>
    <t>Depreciation</t>
  </si>
  <si>
    <t>CFFO</t>
  </si>
  <si>
    <t>CapEx</t>
  </si>
  <si>
    <t>FCF</t>
  </si>
  <si>
    <t>Main</t>
  </si>
  <si>
    <t>SSS</t>
  </si>
  <si>
    <t>Meals</t>
  </si>
  <si>
    <t>Price/Meal</t>
  </si>
  <si>
    <t>Meals/Restaurant/Y</t>
  </si>
  <si>
    <t>Meals/Restaurant/D</t>
  </si>
  <si>
    <t>Company founded 1968 as Red Lobsters Inns of America, Inc.</t>
  </si>
  <si>
    <t>Owned/Operator %</t>
  </si>
  <si>
    <t>5/15/2014: Sold Red Lobster (705 restaurants).</t>
  </si>
  <si>
    <t>53 weeks</t>
  </si>
  <si>
    <t>52 weeks</t>
  </si>
  <si>
    <t>US</t>
  </si>
  <si>
    <t>Restaurants</t>
  </si>
  <si>
    <t>Opened</t>
  </si>
  <si>
    <t>Check</t>
  </si>
  <si>
    <t>2007: Acquired Longhorn Steakhouse and Capital Grille.</t>
  </si>
  <si>
    <t>2011: Acquired Eddie V's.</t>
  </si>
  <si>
    <t>2012: Acquired Yard House.</t>
  </si>
  <si>
    <t>Olive Garden Restaurants Y/Y</t>
  </si>
  <si>
    <t>Long Horn Restaurants Y/Y</t>
  </si>
  <si>
    <t xml:space="preserve">  Y/Y</t>
  </si>
  <si>
    <t>Total Restaurants Y/Y</t>
  </si>
  <si>
    <t>Seats</t>
  </si>
  <si>
    <t>Hourly</t>
  </si>
  <si>
    <t>Alcoholic Beverage % of Revenue</t>
  </si>
  <si>
    <t>2/2015: Gene Lee named CEO.</t>
  </si>
  <si>
    <t>6/23/2015: Announced REIT transaction.</t>
  </si>
  <si>
    <t>Maturity</t>
  </si>
  <si>
    <t>Discount</t>
  </si>
  <si>
    <t>NPV</t>
  </si>
  <si>
    <t>Share</t>
  </si>
  <si>
    <t>Change</t>
  </si>
  <si>
    <t>Asset impairment</t>
  </si>
  <si>
    <t>Amort of Loan Costs</t>
  </si>
  <si>
    <t>SBC</t>
  </si>
  <si>
    <t>Changes in A/L</t>
  </si>
  <si>
    <t>Pension</t>
  </si>
  <si>
    <t>Loss on PP&amp;E disposal</t>
  </si>
  <si>
    <t>Change in Life Insurance</t>
  </si>
  <si>
    <t>D/T</t>
  </si>
  <si>
    <t>Deferred Rent</t>
  </si>
  <si>
    <t>Changes in Other A/L</t>
  </si>
  <si>
    <t>Loss on Extinguishment of Debt</t>
  </si>
  <si>
    <t>Other,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</si>
</sst>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%"/>
    <numFmt numFmtId="166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4" xfId="0" applyNumberFormat="1" applyBorder="1" applyAlignment="1">
      <alignment horizontal="center"/>
    </xf>
    <xf numFmtId="164" fontId="0" fillId="0" borderId="0" xfId="0" applyNumberForma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11</xdr:col>
      <xdr:colOff>9525</xdr:colOff>
      <xdr:row>86</xdr:row>
      <xdr:rowOff>85725</xdr:rowOff>
    </xdr:to>
    <xdr:cxnSp macro="">
      <xdr:nvCxnSpPr>
        <xdr:cNvPr id="3" name="Straight Connector 2"/>
        <xdr:cNvCxnSpPr/>
      </xdr:nvCxnSpPr>
      <xdr:spPr>
        <a:xfrm>
          <a:off x="7934325" y="0"/>
          <a:ext cx="0" cy="14011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0</xdr:row>
      <xdr:rowOff>28575</xdr:rowOff>
    </xdr:from>
    <xdr:to>
      <xdr:col>24</xdr:col>
      <xdr:colOff>38100</xdr:colOff>
      <xdr:row>98</xdr:row>
      <xdr:rowOff>38100</xdr:rowOff>
    </xdr:to>
    <xdr:cxnSp macro="">
      <xdr:nvCxnSpPr>
        <xdr:cNvPr id="4" name="Straight Connector 3"/>
        <xdr:cNvCxnSpPr/>
      </xdr:nvCxnSpPr>
      <xdr:spPr>
        <a:xfrm>
          <a:off x="16040100" y="28575"/>
          <a:ext cx="0" cy="1571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9"/>
  <sheetViews>
    <sheetView workbookViewId="0">
      <selection activeCell="L9" sqref="L9"/>
    </sheetView>
  </sheetViews>
  <sheetFormatPr defaultRowHeight="12.75" x14ac:dyDescent="0.2"/>
  <cols>
    <col min="1" max="1" width="4.7109375" customWidth="1"/>
    <col min="2" max="2" width="19.28515625" bestFit="1" customWidth="1"/>
    <col min="3" max="3" width="17.42578125" customWidth="1"/>
    <col min="4" max="4" width="12.85546875" customWidth="1"/>
    <col min="5" max="5" width="10.28515625" customWidth="1"/>
  </cols>
  <sheetData>
    <row r="1" spans="2:13" x14ac:dyDescent="0.2">
      <c r="C1" s="20"/>
      <c r="F1" s="20"/>
    </row>
    <row r="2" spans="2:13" x14ac:dyDescent="0.2">
      <c r="B2" s="18" t="s">
        <v>7</v>
      </c>
      <c r="C2" s="21" t="s">
        <v>86</v>
      </c>
      <c r="D2" s="21" t="s">
        <v>91</v>
      </c>
      <c r="E2" s="21" t="s">
        <v>90</v>
      </c>
      <c r="F2" s="21" t="s">
        <v>92</v>
      </c>
      <c r="G2" s="21" t="s">
        <v>93</v>
      </c>
      <c r="H2" s="34" t="s">
        <v>101</v>
      </c>
      <c r="K2" t="s">
        <v>0</v>
      </c>
      <c r="L2" s="1">
        <v>54</v>
      </c>
    </row>
    <row r="3" spans="2:13" x14ac:dyDescent="0.2">
      <c r="B3" s="14" t="s">
        <v>9</v>
      </c>
      <c r="C3" s="22">
        <v>0.98</v>
      </c>
      <c r="D3" s="28">
        <v>866</v>
      </c>
      <c r="E3" s="22">
        <f>840/D3</f>
        <v>0.96997690531177827</v>
      </c>
      <c r="F3" s="25">
        <v>1983</v>
      </c>
      <c r="G3" s="27">
        <v>17</v>
      </c>
      <c r="H3" s="35">
        <v>238</v>
      </c>
      <c r="K3" t="s">
        <v>1</v>
      </c>
      <c r="L3" s="2">
        <v>128.138946</v>
      </c>
      <c r="M3" s="3" t="s">
        <v>3</v>
      </c>
    </row>
    <row r="4" spans="2:13" x14ac:dyDescent="0.2">
      <c r="B4" s="14" t="s">
        <v>8</v>
      </c>
      <c r="C4" s="22">
        <v>0.98</v>
      </c>
      <c r="D4" s="28">
        <v>55</v>
      </c>
      <c r="E4" s="22">
        <f>54/D4</f>
        <v>0.98181818181818181</v>
      </c>
      <c r="F4" s="25"/>
      <c r="G4" s="27">
        <v>75</v>
      </c>
      <c r="H4" s="35"/>
      <c r="K4" t="s">
        <v>2</v>
      </c>
      <c r="L4" s="2">
        <f>+L3*L2</f>
        <v>6919.5030839999999</v>
      </c>
      <c r="M4" s="3"/>
    </row>
    <row r="5" spans="2:13" x14ac:dyDescent="0.2">
      <c r="B5" s="14" t="s">
        <v>10</v>
      </c>
      <c r="C5" s="22">
        <v>0.98</v>
      </c>
      <c r="D5" s="28">
        <v>493</v>
      </c>
      <c r="E5" s="22">
        <f>480/D5</f>
        <v>0.97363083164300201</v>
      </c>
      <c r="F5" s="25"/>
      <c r="G5" s="27">
        <v>20</v>
      </c>
      <c r="H5" s="35">
        <v>228</v>
      </c>
      <c r="K5" t="s">
        <v>4</v>
      </c>
      <c r="L5" s="2">
        <v>690.1</v>
      </c>
      <c r="M5" s="3" t="s">
        <v>3</v>
      </c>
    </row>
    <row r="6" spans="2:13" x14ac:dyDescent="0.2">
      <c r="B6" s="14" t="s">
        <v>11</v>
      </c>
      <c r="C6" s="22">
        <v>0.98</v>
      </c>
      <c r="D6" s="29">
        <v>59</v>
      </c>
      <c r="E6" s="22">
        <v>1</v>
      </c>
      <c r="F6" s="25">
        <v>1996</v>
      </c>
      <c r="G6" s="27">
        <v>31</v>
      </c>
      <c r="H6" s="35">
        <v>355</v>
      </c>
      <c r="K6" t="s">
        <v>5</v>
      </c>
      <c r="L6" s="2">
        <f>15+1437.6</f>
        <v>1452.6</v>
      </c>
      <c r="M6" s="3" t="s">
        <v>3</v>
      </c>
    </row>
    <row r="7" spans="2:13" x14ac:dyDescent="0.2">
      <c r="B7" s="14" t="s">
        <v>12</v>
      </c>
      <c r="C7" s="22">
        <v>0.98</v>
      </c>
      <c r="D7" s="29">
        <v>16</v>
      </c>
      <c r="E7" s="22">
        <v>1</v>
      </c>
      <c r="F7" s="25"/>
      <c r="G7" s="27">
        <v>90</v>
      </c>
      <c r="H7" s="15"/>
      <c r="K7" t="s">
        <v>6</v>
      </c>
      <c r="L7" s="2">
        <f>+L4-L5+L6</f>
        <v>7682.0030839999999</v>
      </c>
    </row>
    <row r="8" spans="2:13" x14ac:dyDescent="0.2">
      <c r="B8" s="14" t="s">
        <v>13</v>
      </c>
      <c r="C8" s="22">
        <v>0.98</v>
      </c>
      <c r="D8" s="29">
        <v>43</v>
      </c>
      <c r="E8" s="22">
        <v>1</v>
      </c>
      <c r="F8" s="25">
        <v>2003</v>
      </c>
      <c r="G8" s="27">
        <v>45</v>
      </c>
      <c r="H8" s="15"/>
    </row>
    <row r="9" spans="2:13" x14ac:dyDescent="0.2">
      <c r="B9" s="16" t="s">
        <v>14</v>
      </c>
      <c r="C9" s="23">
        <v>0.98</v>
      </c>
      <c r="D9" s="30">
        <v>36</v>
      </c>
      <c r="E9" s="23">
        <v>1</v>
      </c>
      <c r="F9" s="26">
        <v>1996</v>
      </c>
      <c r="G9" s="32">
        <v>26</v>
      </c>
      <c r="H9" s="17"/>
      <c r="L9" s="1">
        <f>+L7/578</f>
        <v>13.290662775086505</v>
      </c>
    </row>
    <row r="10" spans="2:13" x14ac:dyDescent="0.2">
      <c r="C10" s="20"/>
      <c r="D10" s="31">
        <f>SUM(D3:D9)</f>
        <v>1568</v>
      </c>
    </row>
    <row r="13" spans="2:13" x14ac:dyDescent="0.2">
      <c r="B13" s="24" t="s">
        <v>105</v>
      </c>
    </row>
    <row r="14" spans="2:13" x14ac:dyDescent="0.2">
      <c r="B14" s="24" t="s">
        <v>104</v>
      </c>
    </row>
    <row r="15" spans="2:13" x14ac:dyDescent="0.2">
      <c r="B15" s="24" t="s">
        <v>87</v>
      </c>
    </row>
    <row r="16" spans="2:13" x14ac:dyDescent="0.2">
      <c r="B16" s="24" t="s">
        <v>96</v>
      </c>
    </row>
    <row r="17" spans="2:2" x14ac:dyDescent="0.2">
      <c r="B17" s="24" t="s">
        <v>95</v>
      </c>
    </row>
    <row r="18" spans="2:2" x14ac:dyDescent="0.2">
      <c r="B18" s="24" t="s">
        <v>94</v>
      </c>
    </row>
    <row r="19" spans="2:2" x14ac:dyDescent="0.2">
      <c r="B19" s="24" t="s">
        <v>85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H9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RowHeight="12.75" x14ac:dyDescent="0.2"/>
  <cols>
    <col min="1" max="1" width="5" bestFit="1" customWidth="1"/>
    <col min="2" max="2" width="26.42578125" bestFit="1" customWidth="1"/>
    <col min="3" max="3" width="9.5703125" style="3" customWidth="1"/>
    <col min="4" max="4" width="10.5703125" style="3" customWidth="1"/>
    <col min="5" max="7" width="9.5703125" style="3" customWidth="1"/>
    <col min="8" max="8" width="9.85546875" style="3" customWidth="1"/>
    <col min="9" max="11" width="9.5703125" style="3" customWidth="1"/>
    <col min="12" max="12" width="10.140625" style="3" customWidth="1"/>
    <col min="13" max="14" width="9.5703125" style="3" customWidth="1"/>
    <col min="16" max="22" width="9.5703125" customWidth="1"/>
    <col min="23" max="25" width="9.5703125" style="3" customWidth="1"/>
    <col min="40" max="40" width="9.85546875" customWidth="1"/>
  </cols>
  <sheetData>
    <row r="1" spans="1:51" x14ac:dyDescent="0.2">
      <c r="A1" s="13" t="s">
        <v>79</v>
      </c>
      <c r="X1" s="3" t="s">
        <v>88</v>
      </c>
      <c r="Y1" s="3" t="s">
        <v>89</v>
      </c>
    </row>
    <row r="2" spans="1:51" x14ac:dyDescent="0.2">
      <c r="C2" s="4">
        <v>41516</v>
      </c>
      <c r="D2" s="4">
        <v>41608</v>
      </c>
      <c r="E2" s="4">
        <v>41698</v>
      </c>
      <c r="F2" s="4">
        <v>41790</v>
      </c>
      <c r="G2" s="4">
        <v>41881</v>
      </c>
      <c r="H2" s="4">
        <v>41973</v>
      </c>
      <c r="I2" s="4">
        <v>42063</v>
      </c>
      <c r="J2" s="4">
        <v>42155</v>
      </c>
      <c r="K2" s="4">
        <v>42246</v>
      </c>
      <c r="L2" s="4">
        <v>42338</v>
      </c>
      <c r="M2" s="4">
        <v>42428</v>
      </c>
      <c r="N2" s="4">
        <v>42521</v>
      </c>
      <c r="P2" s="19">
        <f>+Q2-366</f>
        <v>39232</v>
      </c>
      <c r="Q2" s="19">
        <f t="shared" ref="Q2:U2" si="0">+R2-365</f>
        <v>39598</v>
      </c>
      <c r="R2" s="19">
        <f t="shared" si="0"/>
        <v>39963</v>
      </c>
      <c r="S2" s="19">
        <f t="shared" si="0"/>
        <v>40328</v>
      </c>
      <c r="T2" s="19">
        <f>+U2-366</f>
        <v>40693</v>
      </c>
      <c r="U2" s="19">
        <f t="shared" si="0"/>
        <v>41059</v>
      </c>
      <c r="V2" s="19">
        <f>+W2-365</f>
        <v>41424</v>
      </c>
      <c r="W2" s="4">
        <v>41789</v>
      </c>
      <c r="X2" s="4">
        <v>42155</v>
      </c>
      <c r="Y2" s="4">
        <v>42612</v>
      </c>
    </row>
    <row r="3" spans="1:51" x14ac:dyDescent="0.2">
      <c r="C3" s="3" t="s">
        <v>47</v>
      </c>
      <c r="D3" s="3" t="s">
        <v>48</v>
      </c>
      <c r="E3" s="3" t="s">
        <v>49</v>
      </c>
      <c r="F3" s="3" t="s">
        <v>50</v>
      </c>
      <c r="G3" s="3" t="s">
        <v>19</v>
      </c>
      <c r="H3" s="3" t="s">
        <v>20</v>
      </c>
      <c r="I3" s="3" t="s">
        <v>3</v>
      </c>
      <c r="J3" s="3" t="s">
        <v>21</v>
      </c>
      <c r="K3" s="3" t="s">
        <v>15</v>
      </c>
      <c r="L3" s="3" t="s">
        <v>16</v>
      </c>
      <c r="M3" s="3" t="s">
        <v>17</v>
      </c>
      <c r="N3" s="3" t="s">
        <v>18</v>
      </c>
      <c r="P3">
        <f t="shared" ref="P3:U3" si="1">+Q3-1</f>
        <v>2007</v>
      </c>
      <c r="Q3">
        <f t="shared" si="1"/>
        <v>2008</v>
      </c>
      <c r="R3">
        <f t="shared" si="1"/>
        <v>2009</v>
      </c>
      <c r="S3">
        <f t="shared" si="1"/>
        <v>2010</v>
      </c>
      <c r="T3">
        <f t="shared" si="1"/>
        <v>2011</v>
      </c>
      <c r="U3">
        <f t="shared" si="1"/>
        <v>2012</v>
      </c>
      <c r="V3">
        <f>+W3-1</f>
        <v>2013</v>
      </c>
      <c r="W3" s="3">
        <v>2014</v>
      </c>
      <c r="X3" s="3">
        <v>2015</v>
      </c>
      <c r="Y3" s="3">
        <v>2016</v>
      </c>
      <c r="Z3">
        <f>+Y3+1</f>
        <v>2017</v>
      </c>
      <c r="AA3">
        <f t="shared" ref="AA3:AY3" si="2">+Z3+1</f>
        <v>2018</v>
      </c>
      <c r="AB3">
        <f t="shared" si="2"/>
        <v>2019</v>
      </c>
      <c r="AC3">
        <f t="shared" si="2"/>
        <v>2020</v>
      </c>
      <c r="AD3">
        <f t="shared" si="2"/>
        <v>2021</v>
      </c>
      <c r="AE3">
        <f t="shared" si="2"/>
        <v>2022</v>
      </c>
      <c r="AF3">
        <f t="shared" si="2"/>
        <v>2023</v>
      </c>
      <c r="AG3">
        <f t="shared" si="2"/>
        <v>2024</v>
      </c>
      <c r="AH3">
        <f t="shared" si="2"/>
        <v>2025</v>
      </c>
      <c r="AI3">
        <f t="shared" si="2"/>
        <v>2026</v>
      </c>
      <c r="AJ3">
        <f t="shared" si="2"/>
        <v>2027</v>
      </c>
      <c r="AK3">
        <f t="shared" si="2"/>
        <v>2028</v>
      </c>
      <c r="AL3">
        <f t="shared" si="2"/>
        <v>2029</v>
      </c>
      <c r="AM3">
        <f t="shared" si="2"/>
        <v>2030</v>
      </c>
      <c r="AN3">
        <f t="shared" si="2"/>
        <v>2031</v>
      </c>
      <c r="AO3">
        <f t="shared" si="2"/>
        <v>2032</v>
      </c>
      <c r="AP3">
        <f t="shared" si="2"/>
        <v>2033</v>
      </c>
      <c r="AQ3">
        <f t="shared" si="2"/>
        <v>2034</v>
      </c>
      <c r="AR3">
        <f t="shared" si="2"/>
        <v>2035</v>
      </c>
      <c r="AS3">
        <f t="shared" si="2"/>
        <v>2036</v>
      </c>
      <c r="AT3">
        <f t="shared" si="2"/>
        <v>2037</v>
      </c>
      <c r="AU3">
        <f t="shared" si="2"/>
        <v>2038</v>
      </c>
      <c r="AV3">
        <f t="shared" si="2"/>
        <v>2039</v>
      </c>
      <c r="AW3">
        <f t="shared" si="2"/>
        <v>2040</v>
      </c>
      <c r="AX3">
        <f t="shared" si="2"/>
        <v>2041</v>
      </c>
      <c r="AY3">
        <f t="shared" si="2"/>
        <v>2042</v>
      </c>
    </row>
    <row r="4" spans="1:51" s="2" customFormat="1" x14ac:dyDescent="0.2">
      <c r="B4" s="2" t="s">
        <v>22</v>
      </c>
      <c r="C4" s="5"/>
      <c r="D4" s="5"/>
      <c r="E4" s="5"/>
      <c r="F4" s="5"/>
      <c r="G4" s="5">
        <v>840</v>
      </c>
      <c r="H4" s="5"/>
      <c r="I4" s="5"/>
      <c r="J4" s="5"/>
      <c r="K4" s="5">
        <v>843</v>
      </c>
      <c r="L4" s="5"/>
      <c r="M4" s="5"/>
      <c r="N4" s="5"/>
      <c r="P4" s="2">
        <v>614</v>
      </c>
      <c r="Q4" s="2">
        <v>653</v>
      </c>
      <c r="R4" s="2">
        <v>691</v>
      </c>
      <c r="S4" s="2">
        <v>723</v>
      </c>
      <c r="T4" s="2">
        <v>754</v>
      </c>
      <c r="U4" s="2">
        <v>792</v>
      </c>
      <c r="V4" s="2">
        <v>828</v>
      </c>
      <c r="W4" s="5">
        <v>837</v>
      </c>
      <c r="X4" s="5">
        <v>846</v>
      </c>
      <c r="Y4" s="5"/>
    </row>
    <row r="5" spans="1:51" s="2" customFormat="1" x14ac:dyDescent="0.2">
      <c r="B5" s="2" t="s">
        <v>23</v>
      </c>
      <c r="C5" s="5"/>
      <c r="D5" s="5"/>
      <c r="E5" s="5"/>
      <c r="F5" s="5"/>
      <c r="G5" s="5">
        <v>465</v>
      </c>
      <c r="H5" s="5"/>
      <c r="I5" s="5"/>
      <c r="J5" s="5"/>
      <c r="K5" s="5">
        <v>482</v>
      </c>
      <c r="L5" s="5"/>
      <c r="M5" s="5"/>
      <c r="N5" s="5"/>
      <c r="Q5" s="2">
        <v>305</v>
      </c>
      <c r="R5" s="2">
        <v>321</v>
      </c>
      <c r="S5" s="2">
        <v>331</v>
      </c>
      <c r="T5" s="2">
        <v>354</v>
      </c>
      <c r="U5" s="2">
        <v>386</v>
      </c>
      <c r="V5" s="2">
        <v>430</v>
      </c>
      <c r="W5" s="5">
        <v>464</v>
      </c>
      <c r="X5" s="5">
        <v>480</v>
      </c>
      <c r="Y5" s="5"/>
    </row>
    <row r="6" spans="1:51" s="2" customFormat="1" x14ac:dyDescent="0.2">
      <c r="B6" s="2" t="s">
        <v>24</v>
      </c>
      <c r="C6" s="5"/>
      <c r="D6" s="5"/>
      <c r="E6" s="5"/>
      <c r="F6" s="5"/>
      <c r="G6" s="5">
        <v>54</v>
      </c>
      <c r="H6" s="5"/>
      <c r="I6" s="5"/>
      <c r="J6" s="5"/>
      <c r="K6" s="5">
        <v>54</v>
      </c>
      <c r="L6" s="5"/>
      <c r="M6" s="5"/>
      <c r="N6" s="5"/>
      <c r="Q6" s="2">
        <v>32</v>
      </c>
      <c r="R6" s="2">
        <v>37</v>
      </c>
      <c r="S6" s="2">
        <v>40</v>
      </c>
      <c r="T6" s="2">
        <v>44</v>
      </c>
      <c r="U6" s="2">
        <v>46</v>
      </c>
      <c r="V6" s="2">
        <v>49</v>
      </c>
      <c r="W6" s="5">
        <v>54</v>
      </c>
      <c r="X6" s="5">
        <v>54</v>
      </c>
      <c r="Y6" s="5"/>
    </row>
    <row r="7" spans="1:51" s="2" customFormat="1" x14ac:dyDescent="0.2">
      <c r="B7" s="2" t="s">
        <v>25</v>
      </c>
      <c r="C7" s="5"/>
      <c r="D7" s="5"/>
      <c r="E7" s="5"/>
      <c r="F7" s="5"/>
      <c r="G7" s="5">
        <v>37</v>
      </c>
      <c r="H7" s="5"/>
      <c r="I7" s="5"/>
      <c r="J7" s="5"/>
      <c r="K7" s="5">
        <v>37</v>
      </c>
      <c r="L7" s="5"/>
      <c r="M7" s="5"/>
      <c r="N7" s="5"/>
      <c r="P7" s="2">
        <v>23</v>
      </c>
      <c r="Q7" s="2">
        <v>23</v>
      </c>
      <c r="R7" s="2">
        <v>24</v>
      </c>
      <c r="S7" s="2">
        <v>25</v>
      </c>
      <c r="T7" s="2">
        <v>26</v>
      </c>
      <c r="U7" s="2">
        <v>30</v>
      </c>
      <c r="V7" s="2">
        <v>33</v>
      </c>
      <c r="W7" s="5">
        <v>37</v>
      </c>
      <c r="X7" s="5">
        <v>36</v>
      </c>
      <c r="Y7" s="5"/>
    </row>
    <row r="8" spans="1:51" s="2" customFormat="1" x14ac:dyDescent="0.2">
      <c r="B8" s="2" t="s">
        <v>26</v>
      </c>
      <c r="C8" s="5"/>
      <c r="D8" s="5"/>
      <c r="E8" s="5"/>
      <c r="F8" s="5"/>
      <c r="G8" s="5">
        <v>40</v>
      </c>
      <c r="H8" s="5"/>
      <c r="I8" s="5"/>
      <c r="J8" s="5"/>
      <c r="K8" s="5">
        <v>43</v>
      </c>
      <c r="L8" s="5"/>
      <c r="M8" s="5"/>
      <c r="N8" s="5"/>
      <c r="P8" s="2">
        <v>7</v>
      </c>
      <c r="Q8" s="2">
        <v>7</v>
      </c>
      <c r="R8" s="2">
        <v>8</v>
      </c>
      <c r="S8" s="2">
        <v>11</v>
      </c>
      <c r="T8" s="2">
        <v>17</v>
      </c>
      <c r="U8" s="2">
        <v>23</v>
      </c>
      <c r="V8" s="2">
        <v>31</v>
      </c>
      <c r="W8" s="5">
        <v>38</v>
      </c>
      <c r="X8" s="5">
        <v>43</v>
      </c>
      <c r="Y8" s="5"/>
    </row>
    <row r="9" spans="1:51" s="2" customFormat="1" x14ac:dyDescent="0.2">
      <c r="B9" s="2" t="s">
        <v>27</v>
      </c>
      <c r="C9" s="5"/>
      <c r="D9" s="5"/>
      <c r="E9" s="5"/>
      <c r="F9" s="5"/>
      <c r="G9" s="5">
        <v>15</v>
      </c>
      <c r="H9" s="5"/>
      <c r="I9" s="5"/>
      <c r="J9" s="5"/>
      <c r="K9" s="5">
        <v>16</v>
      </c>
      <c r="L9" s="5"/>
      <c r="M9" s="5"/>
      <c r="N9" s="5"/>
      <c r="U9" s="2">
        <v>11</v>
      </c>
      <c r="V9" s="2">
        <v>12</v>
      </c>
      <c r="W9" s="5">
        <v>15</v>
      </c>
      <c r="X9" s="5">
        <v>16</v>
      </c>
      <c r="Y9" s="5"/>
    </row>
    <row r="10" spans="1:51" s="2" customFormat="1" x14ac:dyDescent="0.2">
      <c r="B10" s="2" t="s">
        <v>28</v>
      </c>
      <c r="C10" s="5"/>
      <c r="D10" s="5"/>
      <c r="E10" s="5"/>
      <c r="F10" s="5"/>
      <c r="G10" s="5">
        <v>53</v>
      </c>
      <c r="H10" s="5"/>
      <c r="I10" s="5"/>
      <c r="J10" s="5"/>
      <c r="K10" s="5">
        <v>59</v>
      </c>
      <c r="L10" s="5"/>
      <c r="M10" s="5"/>
      <c r="N10" s="5"/>
      <c r="V10" s="2">
        <v>44</v>
      </c>
      <c r="W10" s="5">
        <v>52</v>
      </c>
      <c r="X10" s="5">
        <v>59</v>
      </c>
      <c r="Y10" s="5"/>
    </row>
    <row r="11" spans="1:51" s="6" customFormat="1" x14ac:dyDescent="0.2">
      <c r="B11" s="6" t="s">
        <v>29</v>
      </c>
      <c r="C11" s="7"/>
      <c r="D11" s="7"/>
      <c r="E11" s="7"/>
      <c r="F11" s="7"/>
      <c r="G11" s="7">
        <f>SUM(G4:G10)</f>
        <v>1504</v>
      </c>
      <c r="H11" s="7">
        <v>1520</v>
      </c>
      <c r="I11" s="7">
        <v>1528</v>
      </c>
      <c r="J11" s="7">
        <v>1534</v>
      </c>
      <c r="K11" s="7">
        <f>SUM(K4:K10)</f>
        <v>1534</v>
      </c>
      <c r="L11" s="7">
        <f>+K11+5</f>
        <v>1539</v>
      </c>
      <c r="M11" s="7">
        <f t="shared" ref="M11:N11" si="3">+L11+5</f>
        <v>1544</v>
      </c>
      <c r="N11" s="7">
        <f t="shared" si="3"/>
        <v>1549</v>
      </c>
      <c r="P11" s="7">
        <f t="shared" ref="P11:V11" si="4">SUM(P4:P10)</f>
        <v>644</v>
      </c>
      <c r="Q11" s="7">
        <f t="shared" si="4"/>
        <v>1020</v>
      </c>
      <c r="R11" s="7">
        <f t="shared" si="4"/>
        <v>1081</v>
      </c>
      <c r="S11" s="7">
        <f t="shared" si="4"/>
        <v>1130</v>
      </c>
      <c r="T11" s="7">
        <f t="shared" si="4"/>
        <v>1195</v>
      </c>
      <c r="U11" s="7">
        <f t="shared" si="4"/>
        <v>1288</v>
      </c>
      <c r="V11" s="7">
        <f t="shared" si="4"/>
        <v>1427</v>
      </c>
      <c r="W11" s="7">
        <f>SUM(W4:W10)</f>
        <v>1497</v>
      </c>
      <c r="X11" s="7">
        <f>SUM(X4:X10)</f>
        <v>1534</v>
      </c>
      <c r="Y11" s="7">
        <f>+X11+20</f>
        <v>1554</v>
      </c>
    </row>
    <row r="12" spans="1:51" x14ac:dyDescent="0.2">
      <c r="B12" s="2" t="s">
        <v>31</v>
      </c>
      <c r="G12" s="9">
        <f t="shared" ref="G12:J12" si="5">G15/G11</f>
        <v>1.0610372340425531</v>
      </c>
      <c r="H12" s="9">
        <f t="shared" si="5"/>
        <v>1.0256578947368422</v>
      </c>
      <c r="I12" s="9">
        <f t="shared" si="5"/>
        <v>1.1327879581151834</v>
      </c>
      <c r="J12" s="9">
        <f t="shared" si="5"/>
        <v>1.2244458930899609</v>
      </c>
      <c r="K12" s="9">
        <f>K15/K11</f>
        <v>1.0997392438070404</v>
      </c>
      <c r="L12" s="38">
        <f>+H12*1.03</f>
        <v>1.0564276315789476</v>
      </c>
      <c r="M12" s="38">
        <f t="shared" ref="M12:N12" si="6">+I12*1.03</f>
        <v>1.166771596858639</v>
      </c>
      <c r="N12" s="38">
        <f t="shared" si="6"/>
        <v>1.2611792698826598</v>
      </c>
      <c r="P12" s="33">
        <f t="shared" ref="P12:X12" si="7">P15/P11</f>
        <v>4.6043478260869559</v>
      </c>
      <c r="Q12" s="33">
        <f t="shared" si="7"/>
        <v>3.9191176470588234</v>
      </c>
      <c r="R12" s="33">
        <f t="shared" si="7"/>
        <v>4.2489361702127662</v>
      </c>
      <c r="S12" s="33">
        <f t="shared" si="7"/>
        <v>4.0945132743362835</v>
      </c>
      <c r="T12" s="33">
        <f t="shared" si="7"/>
        <v>4.1676150627615067</v>
      </c>
      <c r="U12" s="33">
        <f t="shared" si="7"/>
        <v>4.1359472049689447</v>
      </c>
      <c r="V12" s="33">
        <f t="shared" si="7"/>
        <v>4.1492641906096708</v>
      </c>
      <c r="W12" s="33">
        <f t="shared" si="7"/>
        <v>4.1987975951903813</v>
      </c>
      <c r="X12" s="33">
        <f t="shared" si="7"/>
        <v>4.4093872229465454</v>
      </c>
    </row>
    <row r="13" spans="1:51" x14ac:dyDescent="0.2">
      <c r="B13" s="2" t="s">
        <v>99</v>
      </c>
      <c r="K13" s="37">
        <f>K12/G12-1</f>
        <v>3.6475637727653165E-2</v>
      </c>
      <c r="L13" s="37">
        <f t="shared" ref="L13:N13" si="8">L12/H12-1</f>
        <v>3.0000000000000027E-2</v>
      </c>
      <c r="M13" s="37">
        <f t="shared" si="8"/>
        <v>3.0000000000000027E-2</v>
      </c>
      <c r="N13" s="37">
        <f t="shared" si="8"/>
        <v>3.0000000000000027E-2</v>
      </c>
      <c r="Q13" s="10">
        <f t="shared" ref="Q13:W13" si="9">Q12/P12-1</f>
        <v>-0.14882241848580779</v>
      </c>
      <c r="R13" s="10">
        <f t="shared" si="9"/>
        <v>8.4156321104946086E-2</v>
      </c>
      <c r="S13" s="10">
        <f t="shared" si="9"/>
        <v>-3.6343896375536699E-2</v>
      </c>
      <c r="T13" s="10">
        <f t="shared" si="9"/>
        <v>1.7853596637092961E-2</v>
      </c>
      <c r="U13" s="10">
        <f t="shared" si="9"/>
        <v>-7.5985563243402554E-3</v>
      </c>
      <c r="V13" s="10">
        <f t="shared" si="9"/>
        <v>3.2198151912401496E-3</v>
      </c>
      <c r="W13" s="10">
        <f t="shared" si="9"/>
        <v>1.1937876766876299E-2</v>
      </c>
      <c r="X13" s="10">
        <f>X12/W12-1</f>
        <v>5.0154746205768319E-2</v>
      </c>
    </row>
    <row r="14" spans="1:51" x14ac:dyDescent="0.2">
      <c r="Q14" s="10"/>
      <c r="R14" s="10"/>
      <c r="S14" s="10"/>
      <c r="T14" s="10"/>
      <c r="U14" s="10"/>
      <c r="V14" s="10"/>
      <c r="W14" s="10"/>
      <c r="X14" s="10"/>
    </row>
    <row r="15" spans="1:51" s="6" customFormat="1" x14ac:dyDescent="0.2">
      <c r="B15" s="6" t="s">
        <v>30</v>
      </c>
      <c r="C15" s="7"/>
      <c r="D15" s="7">
        <v>1485.6</v>
      </c>
      <c r="E15" s="7">
        <v>1618.5</v>
      </c>
      <c r="F15" s="7">
        <v>1650.1</v>
      </c>
      <c r="G15" s="7">
        <v>1595.8</v>
      </c>
      <c r="H15" s="7">
        <v>1559</v>
      </c>
      <c r="I15" s="7">
        <v>1730.9</v>
      </c>
      <c r="J15" s="7">
        <v>1878.3</v>
      </c>
      <c r="K15" s="7">
        <v>1687</v>
      </c>
      <c r="L15" s="7">
        <f>+L12*L11</f>
        <v>1625.8421250000004</v>
      </c>
      <c r="M15" s="7">
        <f t="shared" ref="M15:N15" si="10">+M12*M11</f>
        <v>1801.4953455497387</v>
      </c>
      <c r="N15" s="7">
        <f t="shared" si="10"/>
        <v>1953.5666890482401</v>
      </c>
      <c r="P15" s="6">
        <v>2965.2</v>
      </c>
      <c r="Q15" s="6">
        <v>3997.5</v>
      </c>
      <c r="R15" s="6">
        <v>4593.1000000000004</v>
      </c>
      <c r="S15" s="6">
        <v>4626.8</v>
      </c>
      <c r="T15" s="6">
        <v>4980.3</v>
      </c>
      <c r="U15" s="6">
        <v>5327.1</v>
      </c>
      <c r="V15" s="6">
        <v>5921</v>
      </c>
      <c r="W15" s="7">
        <v>6285.6</v>
      </c>
      <c r="X15" s="7">
        <v>6764</v>
      </c>
      <c r="Y15" s="7">
        <f>SUM(K15:N15)</f>
        <v>7067.9041595979788</v>
      </c>
      <c r="Z15" s="6">
        <f>+Y15*1.02</f>
        <v>7209.2622427899387</v>
      </c>
      <c r="AA15" s="6">
        <f t="shared" ref="AA15:AK15" si="11">+Z15*1.02</f>
        <v>7353.447487645738</v>
      </c>
      <c r="AB15" s="6">
        <f t="shared" si="11"/>
        <v>7500.5164373986527</v>
      </c>
      <c r="AC15" s="6">
        <f t="shared" si="11"/>
        <v>7650.526766146626</v>
      </c>
      <c r="AD15" s="6">
        <f t="shared" si="11"/>
        <v>7803.5373014695588</v>
      </c>
      <c r="AE15" s="6">
        <f t="shared" si="11"/>
        <v>7959.6080474989503</v>
      </c>
      <c r="AF15" s="6">
        <f t="shared" si="11"/>
        <v>8118.8002084489299</v>
      </c>
      <c r="AG15" s="6">
        <f t="shared" si="11"/>
        <v>8281.1762126179092</v>
      </c>
      <c r="AH15" s="6">
        <f t="shared" si="11"/>
        <v>8446.7997368702672</v>
      </c>
      <c r="AI15" s="6">
        <f t="shared" si="11"/>
        <v>8615.7357316076723</v>
      </c>
      <c r="AJ15" s="6">
        <f t="shared" si="11"/>
        <v>8788.0504462398258</v>
      </c>
      <c r="AK15" s="6">
        <f t="shared" si="11"/>
        <v>8963.8114551646231</v>
      </c>
    </row>
    <row r="16" spans="1:51" s="2" customFormat="1" x14ac:dyDescent="0.2">
      <c r="B16" s="2" t="s">
        <v>33</v>
      </c>
      <c r="C16" s="5"/>
      <c r="D16" s="5">
        <v>447</v>
      </c>
      <c r="E16" s="5">
        <v>485.5</v>
      </c>
      <c r="F16" s="5">
        <v>505.5</v>
      </c>
      <c r="G16" s="5">
        <v>502</v>
      </c>
      <c r="H16" s="5">
        <v>485.5</v>
      </c>
      <c r="I16" s="5">
        <v>530.70000000000005</v>
      </c>
      <c r="J16" s="5">
        <v>566.9</v>
      </c>
      <c r="K16" s="5">
        <v>502.8</v>
      </c>
      <c r="L16" s="5"/>
      <c r="M16" s="5"/>
      <c r="N16" s="5"/>
      <c r="W16" s="5"/>
      <c r="X16" s="5"/>
      <c r="Y16" s="5"/>
    </row>
    <row r="17" spans="2:138" s="2" customFormat="1" x14ac:dyDescent="0.2">
      <c r="B17" s="2" t="s">
        <v>34</v>
      </c>
      <c r="C17" s="5"/>
      <c r="D17" s="5">
        <v>491.6</v>
      </c>
      <c r="E17" s="5">
        <v>508.9</v>
      </c>
      <c r="F17" s="5">
        <v>525.6</v>
      </c>
      <c r="G17" s="5">
        <v>508.3</v>
      </c>
      <c r="H17" s="5">
        <v>506.8</v>
      </c>
      <c r="I17" s="5">
        <v>535.6</v>
      </c>
      <c r="J17" s="5">
        <v>584.9</v>
      </c>
      <c r="K17" s="5">
        <v>536</v>
      </c>
      <c r="L17" s="5"/>
      <c r="M17" s="5"/>
      <c r="N17" s="5"/>
      <c r="W17" s="5"/>
      <c r="X17" s="5"/>
      <c r="Y17" s="5"/>
    </row>
    <row r="18" spans="2:138" s="2" customFormat="1" x14ac:dyDescent="0.2">
      <c r="B18" s="2" t="s">
        <v>44</v>
      </c>
      <c r="C18" s="5"/>
      <c r="D18" s="5">
        <v>261.89999999999998</v>
      </c>
      <c r="E18" s="5">
        <v>271.39999999999998</v>
      </c>
      <c r="F18" s="5">
        <v>284.89999999999998</v>
      </c>
      <c r="G18" s="5">
        <v>272.3</v>
      </c>
      <c r="H18" s="5">
        <v>277.39999999999998</v>
      </c>
      <c r="I18" s="5">
        <v>276</v>
      </c>
      <c r="J18" s="5">
        <v>295.10000000000002</v>
      </c>
      <c r="K18" s="5">
        <v>271.89999999999998</v>
      </c>
      <c r="L18" s="5"/>
      <c r="M18" s="5"/>
      <c r="N18" s="5"/>
      <c r="W18" s="5"/>
      <c r="X18" s="5"/>
      <c r="Y18" s="5"/>
    </row>
    <row r="19" spans="2:138" s="2" customFormat="1" x14ac:dyDescent="0.2">
      <c r="B19" s="2" t="s">
        <v>32</v>
      </c>
      <c r="C19" s="5"/>
      <c r="D19" s="5">
        <f t="shared" ref="D19:K19" si="12">SUM(D16:D18)</f>
        <v>1200.5</v>
      </c>
      <c r="E19" s="5">
        <f t="shared" si="12"/>
        <v>1265.8</v>
      </c>
      <c r="F19" s="5">
        <f t="shared" si="12"/>
        <v>1316</v>
      </c>
      <c r="G19" s="5">
        <f t="shared" si="12"/>
        <v>1282.5999999999999</v>
      </c>
      <c r="H19" s="5">
        <f t="shared" si="12"/>
        <v>1269.6999999999998</v>
      </c>
      <c r="I19" s="5">
        <f t="shared" si="12"/>
        <v>1342.3000000000002</v>
      </c>
      <c r="J19" s="5">
        <f t="shared" si="12"/>
        <v>1446.9</v>
      </c>
      <c r="K19" s="5">
        <f t="shared" si="12"/>
        <v>1310.6999999999998</v>
      </c>
      <c r="L19" s="5">
        <f>L15-L20</f>
        <v>1268.1568575000003</v>
      </c>
      <c r="M19" s="5">
        <f t="shared" ref="M19:N19" si="13">M15-M20</f>
        <v>1405.1663695287962</v>
      </c>
      <c r="N19" s="5">
        <f t="shared" si="13"/>
        <v>1523.7820174576273</v>
      </c>
      <c r="W19" s="5"/>
      <c r="X19" s="5"/>
      <c r="Y19" s="5"/>
    </row>
    <row r="20" spans="2:138" x14ac:dyDescent="0.2">
      <c r="B20" s="2" t="s">
        <v>36</v>
      </c>
      <c r="C20" s="5"/>
      <c r="D20" s="5">
        <f t="shared" ref="D20:K20" si="14">+D15-D19</f>
        <v>285.09999999999991</v>
      </c>
      <c r="E20" s="5">
        <f t="shared" si="14"/>
        <v>352.70000000000005</v>
      </c>
      <c r="F20" s="5">
        <f t="shared" si="14"/>
        <v>334.09999999999991</v>
      </c>
      <c r="G20" s="5">
        <f t="shared" si="14"/>
        <v>313.20000000000005</v>
      </c>
      <c r="H20" s="5">
        <f t="shared" si="14"/>
        <v>289.30000000000018</v>
      </c>
      <c r="I20" s="5">
        <f t="shared" si="14"/>
        <v>388.59999999999991</v>
      </c>
      <c r="J20" s="5">
        <f t="shared" si="14"/>
        <v>431.39999999999986</v>
      </c>
      <c r="K20" s="5">
        <f t="shared" si="14"/>
        <v>376.30000000000018</v>
      </c>
      <c r="L20" s="5">
        <f>+L15*0.22</f>
        <v>357.68526750000007</v>
      </c>
      <c r="M20" s="5">
        <f t="shared" ref="M20:N20" si="15">+M15*0.22</f>
        <v>396.32897602094249</v>
      </c>
      <c r="N20" s="5">
        <f t="shared" si="15"/>
        <v>429.78467159061279</v>
      </c>
      <c r="Y20" s="5">
        <f>SUM(K20:N20)</f>
        <v>1560.0989151115555</v>
      </c>
      <c r="Z20" s="2">
        <f>+Z15*0.22</f>
        <v>1586.0376934137864</v>
      </c>
      <c r="AA20" s="2">
        <f t="shared" ref="AA20:AK20" si="16">+AA15*0.22</f>
        <v>1617.7584472820624</v>
      </c>
      <c r="AB20" s="2">
        <f t="shared" si="16"/>
        <v>1650.1136162277037</v>
      </c>
      <c r="AC20" s="2">
        <f t="shared" si="16"/>
        <v>1683.1158885522577</v>
      </c>
      <c r="AD20" s="2">
        <f t="shared" si="16"/>
        <v>1716.778206323303</v>
      </c>
      <c r="AE20" s="2">
        <f t="shared" si="16"/>
        <v>1751.1137704497692</v>
      </c>
      <c r="AF20" s="2">
        <f t="shared" si="16"/>
        <v>1786.1360458587646</v>
      </c>
      <c r="AG20" s="2">
        <f t="shared" si="16"/>
        <v>1821.85876677594</v>
      </c>
      <c r="AH20" s="2">
        <f t="shared" si="16"/>
        <v>1858.2959421114588</v>
      </c>
      <c r="AI20" s="2">
        <f t="shared" si="16"/>
        <v>1895.4618609536878</v>
      </c>
      <c r="AJ20" s="2">
        <f t="shared" si="16"/>
        <v>1933.3710981727618</v>
      </c>
      <c r="AK20" s="2">
        <f t="shared" si="16"/>
        <v>1972.0385201362171</v>
      </c>
    </row>
    <row r="21" spans="2:138" x14ac:dyDescent="0.2">
      <c r="B21" s="2" t="s">
        <v>37</v>
      </c>
      <c r="C21" s="5"/>
      <c r="D21" s="5">
        <v>174.7</v>
      </c>
      <c r="E21" s="5">
        <v>154.19999999999999</v>
      </c>
      <c r="F21" s="5">
        <v>105.4</v>
      </c>
      <c r="G21" s="5">
        <v>95.4</v>
      </c>
      <c r="H21" s="5">
        <v>190.4</v>
      </c>
      <c r="I21" s="5">
        <v>134.19999999999999</v>
      </c>
      <c r="J21" s="5">
        <v>119.5</v>
      </c>
      <c r="K21" s="5">
        <v>97.1</v>
      </c>
      <c r="L21" s="5">
        <f>+H21*1.02</f>
        <v>194.208</v>
      </c>
      <c r="M21" s="5">
        <f t="shared" ref="M21:M22" si="17">+I21*1.02</f>
        <v>136.88399999999999</v>
      </c>
      <c r="N21" s="5">
        <f t="shared" ref="N21:N22" si="18">+J21*1.02</f>
        <v>121.89</v>
      </c>
      <c r="Y21" s="5">
        <f>SUM(K21:N21)</f>
        <v>550.08199999999999</v>
      </c>
      <c r="Z21" s="2">
        <f>+Y21*1.01</f>
        <v>555.58281999999997</v>
      </c>
      <c r="AA21" s="2">
        <f t="shared" ref="AA21:AK21" si="19">+Z21*1.01</f>
        <v>561.13864819999992</v>
      </c>
      <c r="AB21" s="2">
        <f t="shared" si="19"/>
        <v>566.75003468199998</v>
      </c>
      <c r="AC21" s="2">
        <f t="shared" si="19"/>
        <v>572.41753502882</v>
      </c>
      <c r="AD21" s="2">
        <f t="shared" si="19"/>
        <v>578.14171037910819</v>
      </c>
      <c r="AE21" s="2">
        <f t="shared" si="19"/>
        <v>583.9231274828993</v>
      </c>
      <c r="AF21" s="2">
        <f t="shared" si="19"/>
        <v>589.76235875772829</v>
      </c>
      <c r="AG21" s="2">
        <f t="shared" si="19"/>
        <v>595.65998234530559</v>
      </c>
      <c r="AH21" s="2">
        <f t="shared" si="19"/>
        <v>601.61658216875867</v>
      </c>
      <c r="AI21" s="2">
        <f t="shared" si="19"/>
        <v>607.63274799044621</v>
      </c>
      <c r="AJ21" s="2">
        <f t="shared" si="19"/>
        <v>613.70907547035063</v>
      </c>
      <c r="AK21" s="2">
        <f t="shared" si="19"/>
        <v>619.84616622505416</v>
      </c>
    </row>
    <row r="22" spans="2:138" x14ac:dyDescent="0.2">
      <c r="B22" s="2" t="s">
        <v>35</v>
      </c>
      <c r="C22" s="5"/>
      <c r="D22" s="5"/>
      <c r="E22" s="5"/>
      <c r="F22" s="5">
        <v>67.5</v>
      </c>
      <c r="G22" s="5">
        <v>64.5</v>
      </c>
      <c r="H22" s="5"/>
      <c r="I22" s="5"/>
      <c r="J22" s="5">
        <v>65.5</v>
      </c>
      <c r="K22" s="5">
        <v>65.599999999999994</v>
      </c>
      <c r="L22" s="5">
        <f t="shared" ref="L22" si="20">+H22*1.02</f>
        <v>0</v>
      </c>
      <c r="M22" s="5">
        <f t="shared" si="17"/>
        <v>0</v>
      </c>
      <c r="N22" s="5">
        <f t="shared" si="18"/>
        <v>66.81</v>
      </c>
      <c r="Y22" s="5">
        <f>SUM(K22:N22)</f>
        <v>132.41</v>
      </c>
      <c r="Z22" s="2">
        <f t="shared" ref="Z22:AK22" si="21">+Y22*1.01</f>
        <v>133.73409999999998</v>
      </c>
      <c r="AA22" s="2">
        <f t="shared" si="21"/>
        <v>135.07144099999999</v>
      </c>
      <c r="AB22" s="2">
        <f t="shared" si="21"/>
        <v>136.42215540999999</v>
      </c>
      <c r="AC22" s="2">
        <f t="shared" si="21"/>
        <v>137.78637696409999</v>
      </c>
      <c r="AD22" s="2">
        <f t="shared" si="21"/>
        <v>139.164240733741</v>
      </c>
      <c r="AE22" s="2">
        <f t="shared" si="21"/>
        <v>140.5558831410784</v>
      </c>
      <c r="AF22" s="2">
        <f t="shared" si="21"/>
        <v>141.96144197248918</v>
      </c>
      <c r="AG22" s="2">
        <f t="shared" si="21"/>
        <v>143.38105639221408</v>
      </c>
      <c r="AH22" s="2">
        <f t="shared" si="21"/>
        <v>144.81486695613623</v>
      </c>
      <c r="AI22" s="2">
        <f t="shared" si="21"/>
        <v>146.26301562569759</v>
      </c>
      <c r="AJ22" s="2">
        <f t="shared" si="21"/>
        <v>147.72564578195457</v>
      </c>
      <c r="AK22" s="2">
        <f t="shared" si="21"/>
        <v>149.20290223977412</v>
      </c>
    </row>
    <row r="23" spans="2:138" x14ac:dyDescent="0.2">
      <c r="B23" s="2" t="s">
        <v>45</v>
      </c>
      <c r="C23" s="5"/>
      <c r="D23" s="5">
        <f t="shared" ref="D23:K23" si="22">+D22+D21</f>
        <v>174.7</v>
      </c>
      <c r="E23" s="5">
        <f t="shared" si="22"/>
        <v>154.19999999999999</v>
      </c>
      <c r="F23" s="5">
        <f t="shared" si="22"/>
        <v>172.9</v>
      </c>
      <c r="G23" s="5">
        <f t="shared" si="22"/>
        <v>159.9</v>
      </c>
      <c r="H23" s="5">
        <f t="shared" si="22"/>
        <v>190.4</v>
      </c>
      <c r="I23" s="5">
        <f t="shared" si="22"/>
        <v>134.19999999999999</v>
      </c>
      <c r="J23" s="5">
        <f t="shared" si="22"/>
        <v>185</v>
      </c>
      <c r="K23" s="5">
        <f t="shared" si="22"/>
        <v>162.69999999999999</v>
      </c>
      <c r="L23" s="5">
        <f t="shared" ref="L23:N23" si="23">+L22+L21</f>
        <v>194.208</v>
      </c>
      <c r="M23" s="5">
        <f t="shared" si="23"/>
        <v>136.88399999999999</v>
      </c>
      <c r="N23" s="5">
        <f t="shared" si="23"/>
        <v>188.7</v>
      </c>
      <c r="Y23" s="5">
        <f>Y22+Y21</f>
        <v>682.49199999999996</v>
      </c>
      <c r="Z23" s="5">
        <f t="shared" ref="Z23:AK23" si="24">Z22+Z21</f>
        <v>689.31691999999998</v>
      </c>
      <c r="AA23" s="5">
        <f t="shared" si="24"/>
        <v>696.21008919999986</v>
      </c>
      <c r="AB23" s="5">
        <f t="shared" si="24"/>
        <v>703.17219009199994</v>
      </c>
      <c r="AC23" s="5">
        <f t="shared" si="24"/>
        <v>710.20391199291998</v>
      </c>
      <c r="AD23" s="5">
        <f t="shared" si="24"/>
        <v>717.30595111284924</v>
      </c>
      <c r="AE23" s="5">
        <f t="shared" si="24"/>
        <v>724.47901062397773</v>
      </c>
      <c r="AF23" s="5">
        <f t="shared" si="24"/>
        <v>731.72380073021748</v>
      </c>
      <c r="AG23" s="5">
        <f t="shared" si="24"/>
        <v>739.04103873751967</v>
      </c>
      <c r="AH23" s="5">
        <f t="shared" si="24"/>
        <v>746.43144912489493</v>
      </c>
      <c r="AI23" s="5">
        <f t="shared" si="24"/>
        <v>753.89576361614377</v>
      </c>
      <c r="AJ23" s="5">
        <f t="shared" si="24"/>
        <v>761.43472125230517</v>
      </c>
      <c r="AK23" s="5">
        <f t="shared" si="24"/>
        <v>769.04906846482822</v>
      </c>
    </row>
    <row r="24" spans="2:138" x14ac:dyDescent="0.2">
      <c r="B24" s="2" t="s">
        <v>38</v>
      </c>
      <c r="C24" s="5"/>
      <c r="D24" s="5">
        <f t="shared" ref="D24:K24" si="25">+D20-D23</f>
        <v>110.39999999999992</v>
      </c>
      <c r="E24" s="5">
        <f t="shared" si="25"/>
        <v>198.50000000000006</v>
      </c>
      <c r="F24" s="5">
        <f t="shared" si="25"/>
        <v>161.1999999999999</v>
      </c>
      <c r="G24" s="5">
        <f t="shared" si="25"/>
        <v>153.30000000000004</v>
      </c>
      <c r="H24" s="5">
        <f t="shared" si="25"/>
        <v>98.900000000000176</v>
      </c>
      <c r="I24" s="5">
        <f t="shared" si="25"/>
        <v>254.39999999999992</v>
      </c>
      <c r="J24" s="5">
        <f t="shared" si="25"/>
        <v>246.39999999999986</v>
      </c>
      <c r="K24" s="5">
        <f t="shared" si="25"/>
        <v>213.60000000000019</v>
      </c>
      <c r="L24" s="5">
        <f t="shared" ref="L24:N24" si="26">+L20-L23</f>
        <v>163.47726750000007</v>
      </c>
      <c r="M24" s="5">
        <f t="shared" si="26"/>
        <v>259.44497602094248</v>
      </c>
      <c r="N24" s="5">
        <f t="shared" si="26"/>
        <v>241.0846715906128</v>
      </c>
      <c r="Y24" s="5">
        <f>Y20-Y23</f>
        <v>877.60691511155551</v>
      </c>
      <c r="Z24" s="5">
        <f t="shared" ref="Z24:AK24" si="27">Z20-Z23</f>
        <v>896.72077341378645</v>
      </c>
      <c r="AA24" s="5">
        <f t="shared" si="27"/>
        <v>921.54835808206258</v>
      </c>
      <c r="AB24" s="5">
        <f t="shared" si="27"/>
        <v>946.94142613570375</v>
      </c>
      <c r="AC24" s="5">
        <f t="shared" si="27"/>
        <v>972.91197655933775</v>
      </c>
      <c r="AD24" s="5">
        <f t="shared" si="27"/>
        <v>999.4722552104538</v>
      </c>
      <c r="AE24" s="5">
        <f t="shared" si="27"/>
        <v>1026.6347598257914</v>
      </c>
      <c r="AF24" s="5">
        <f t="shared" si="27"/>
        <v>1054.4122451285471</v>
      </c>
      <c r="AG24" s="5">
        <f t="shared" si="27"/>
        <v>1082.8177280384202</v>
      </c>
      <c r="AH24" s="5">
        <f t="shared" si="27"/>
        <v>1111.8644929865638</v>
      </c>
      <c r="AI24" s="5">
        <f t="shared" si="27"/>
        <v>1141.5660973375441</v>
      </c>
      <c r="AJ24" s="5">
        <f t="shared" si="27"/>
        <v>1171.9363769204565</v>
      </c>
      <c r="AK24" s="5">
        <f t="shared" si="27"/>
        <v>1202.9894516713889</v>
      </c>
    </row>
    <row r="25" spans="2:138" x14ac:dyDescent="0.2">
      <c r="B25" s="2" t="s">
        <v>39</v>
      </c>
      <c r="C25" s="5"/>
      <c r="D25" s="5">
        <v>32.9</v>
      </c>
      <c r="E25" s="5">
        <v>33.1</v>
      </c>
      <c r="F25" s="5">
        <v>35.6</v>
      </c>
      <c r="G25" s="5">
        <v>111.3</v>
      </c>
      <c r="H25" s="5">
        <v>33.700000000000003</v>
      </c>
      <c r="I25" s="5">
        <v>23.3</v>
      </c>
      <c r="J25" s="5">
        <v>24</v>
      </c>
      <c r="K25" s="5">
        <v>22.4</v>
      </c>
      <c r="L25" s="5">
        <f>+K25</f>
        <v>22.4</v>
      </c>
      <c r="M25" s="5">
        <f t="shared" ref="M25:N25" si="28">+L25</f>
        <v>22.4</v>
      </c>
      <c r="N25" s="5">
        <f t="shared" si="28"/>
        <v>22.4</v>
      </c>
      <c r="Y25" s="5">
        <f>SUM(K25:N25)</f>
        <v>89.6</v>
      </c>
      <c r="Z25" s="2">
        <f>-Y36*0.01</f>
        <v>3.7457550517748905</v>
      </c>
      <c r="AA25" s="2">
        <f t="shared" ref="AA25:AK25" si="29">-Z36*0.01</f>
        <v>-2.0585825675781848</v>
      </c>
      <c r="AB25" s="2">
        <f t="shared" si="29"/>
        <v>-8.0620276818008509</v>
      </c>
      <c r="AC25" s="2">
        <f t="shared" si="29"/>
        <v>-14.269550131614631</v>
      </c>
      <c r="AD25" s="2">
        <f t="shared" si="29"/>
        <v>-20.68623005510582</v>
      </c>
      <c r="AE25" s="2">
        <f t="shared" si="29"/>
        <v>-27.317260209331959</v>
      </c>
      <c r="AF25" s="2">
        <f t="shared" si="29"/>
        <v>-34.167948339560262</v>
      </c>
      <c r="AG25" s="2">
        <f t="shared" si="29"/>
        <v>-41.243719597102967</v>
      </c>
      <c r="AH25" s="2">
        <f t="shared" si="29"/>
        <v>-48.550119006733865</v>
      </c>
      <c r="AI25" s="2">
        <f t="shared" si="29"/>
        <v>-56.092813984690302</v>
      </c>
      <c r="AJ25" s="2">
        <f t="shared" si="29"/>
        <v>-63.877596908284822</v>
      </c>
      <c r="AK25" s="2">
        <f t="shared" si="29"/>
        <v>-71.910387738171636</v>
      </c>
    </row>
    <row r="26" spans="2:138" x14ac:dyDescent="0.2">
      <c r="B26" s="2" t="s">
        <v>40</v>
      </c>
      <c r="C26" s="5"/>
      <c r="D26" s="5">
        <f t="shared" ref="D26:K26" si="30">+D24-D25</f>
        <v>77.499999999999915</v>
      </c>
      <c r="E26" s="5">
        <f t="shared" si="30"/>
        <v>165.40000000000006</v>
      </c>
      <c r="F26" s="5">
        <f t="shared" si="30"/>
        <v>125.59999999999991</v>
      </c>
      <c r="G26" s="5">
        <f t="shared" si="30"/>
        <v>42.000000000000043</v>
      </c>
      <c r="H26" s="5">
        <f t="shared" si="30"/>
        <v>65.200000000000173</v>
      </c>
      <c r="I26" s="5">
        <f t="shared" si="30"/>
        <v>231.09999999999991</v>
      </c>
      <c r="J26" s="5">
        <f t="shared" si="30"/>
        <v>222.39999999999986</v>
      </c>
      <c r="K26" s="5">
        <f t="shared" si="30"/>
        <v>191.20000000000019</v>
      </c>
      <c r="L26" s="5">
        <f t="shared" ref="L26:N26" si="31">+L24-L25</f>
        <v>141.07726750000006</v>
      </c>
      <c r="M26" s="5">
        <f t="shared" si="31"/>
        <v>237.04497602094247</v>
      </c>
      <c r="N26" s="5">
        <f t="shared" si="31"/>
        <v>218.68467159061279</v>
      </c>
      <c r="Y26" s="5">
        <f>Y24-Y25</f>
        <v>788.00691511155549</v>
      </c>
      <c r="Z26" s="5">
        <f t="shared" ref="Z26:AK26" si="32">Z24-Z25</f>
        <v>892.97501836201161</v>
      </c>
      <c r="AA26" s="5">
        <f t="shared" si="32"/>
        <v>923.60694064964082</v>
      </c>
      <c r="AB26" s="5">
        <f t="shared" si="32"/>
        <v>955.00345381750458</v>
      </c>
      <c r="AC26" s="5">
        <f t="shared" si="32"/>
        <v>987.18152669095241</v>
      </c>
      <c r="AD26" s="5">
        <f t="shared" si="32"/>
        <v>1020.1584852655596</v>
      </c>
      <c r="AE26" s="5">
        <f t="shared" si="32"/>
        <v>1053.9520200351235</v>
      </c>
      <c r="AF26" s="5">
        <f t="shared" si="32"/>
        <v>1088.5801934681074</v>
      </c>
      <c r="AG26" s="5">
        <f t="shared" si="32"/>
        <v>1124.0614476355231</v>
      </c>
      <c r="AH26" s="5">
        <f t="shared" si="32"/>
        <v>1160.4146119932977</v>
      </c>
      <c r="AI26" s="5">
        <f t="shared" si="32"/>
        <v>1197.6589113222344</v>
      </c>
      <c r="AJ26" s="5">
        <f t="shared" si="32"/>
        <v>1235.8139738287414</v>
      </c>
      <c r="AK26" s="5">
        <f t="shared" si="32"/>
        <v>1274.8998394095606</v>
      </c>
    </row>
    <row r="27" spans="2:138" x14ac:dyDescent="0.2">
      <c r="B27" s="2" t="s">
        <v>41</v>
      </c>
      <c r="C27" s="5"/>
      <c r="D27" s="5">
        <v>-4.2</v>
      </c>
      <c r="E27" s="5">
        <v>2.5</v>
      </c>
      <c r="F27" s="5">
        <v>-14.5</v>
      </c>
      <c r="G27" s="5">
        <v>-24.4</v>
      </c>
      <c r="H27" s="5">
        <v>-23.8</v>
      </c>
      <c r="I27" s="5">
        <v>18.7</v>
      </c>
      <c r="J27" s="5">
        <v>8.4</v>
      </c>
      <c r="K27" s="5">
        <v>30.8</v>
      </c>
      <c r="L27" s="5">
        <f>+L26*0.35</f>
        <v>49.37704362500002</v>
      </c>
      <c r="M27" s="5">
        <f t="shared" ref="M27:N27" si="33">+M26*0.35</f>
        <v>82.965741607329861</v>
      </c>
      <c r="N27" s="5">
        <f t="shared" si="33"/>
        <v>76.539635056714474</v>
      </c>
      <c r="Y27" s="5">
        <f>Y26*0.35</f>
        <v>275.80242028904439</v>
      </c>
      <c r="Z27" s="5">
        <f t="shared" ref="Z27:AK27" si="34">Z26*0.35</f>
        <v>312.54125642670402</v>
      </c>
      <c r="AA27" s="5">
        <f t="shared" si="34"/>
        <v>323.26242922737424</v>
      </c>
      <c r="AB27" s="5">
        <f t="shared" si="34"/>
        <v>334.25120883612658</v>
      </c>
      <c r="AC27" s="5">
        <f t="shared" si="34"/>
        <v>345.51353434183335</v>
      </c>
      <c r="AD27" s="5">
        <f t="shared" si="34"/>
        <v>357.05546984294585</v>
      </c>
      <c r="AE27" s="5">
        <f t="shared" si="34"/>
        <v>368.88320701229321</v>
      </c>
      <c r="AF27" s="5">
        <f t="shared" si="34"/>
        <v>381.00306771383754</v>
      </c>
      <c r="AG27" s="5">
        <f t="shared" si="34"/>
        <v>393.42150667243305</v>
      </c>
      <c r="AH27" s="5">
        <f t="shared" si="34"/>
        <v>406.14511419765421</v>
      </c>
      <c r="AI27" s="5">
        <f t="shared" si="34"/>
        <v>419.18061896278203</v>
      </c>
      <c r="AJ27" s="5">
        <f t="shared" si="34"/>
        <v>432.53489084005946</v>
      </c>
      <c r="AK27" s="5">
        <f t="shared" si="34"/>
        <v>446.21494379334621</v>
      </c>
    </row>
    <row r="28" spans="2:138" x14ac:dyDescent="0.2">
      <c r="B28" s="2" t="s">
        <v>42</v>
      </c>
      <c r="C28" s="5"/>
      <c r="D28" s="5">
        <f t="shared" ref="D28:K28" si="35">D26-D27</f>
        <v>81.699999999999918</v>
      </c>
      <c r="E28" s="5">
        <f t="shared" si="35"/>
        <v>162.90000000000006</v>
      </c>
      <c r="F28" s="5">
        <f t="shared" si="35"/>
        <v>140.09999999999991</v>
      </c>
      <c r="G28" s="5">
        <f t="shared" si="35"/>
        <v>66.400000000000034</v>
      </c>
      <c r="H28" s="5">
        <f t="shared" si="35"/>
        <v>89.000000000000171</v>
      </c>
      <c r="I28" s="5">
        <f t="shared" si="35"/>
        <v>212.39999999999992</v>
      </c>
      <c r="J28" s="5">
        <f t="shared" si="35"/>
        <v>213.99999999999986</v>
      </c>
      <c r="K28" s="5">
        <f t="shared" si="35"/>
        <v>160.40000000000018</v>
      </c>
      <c r="L28" s="5">
        <f t="shared" ref="L28:N28" si="36">L26-L27</f>
        <v>91.700223875000034</v>
      </c>
      <c r="M28" s="5">
        <f t="shared" si="36"/>
        <v>154.0792344136126</v>
      </c>
      <c r="N28" s="5">
        <f t="shared" si="36"/>
        <v>142.14503653389832</v>
      </c>
      <c r="Y28" s="5">
        <f>Y26-Y27</f>
        <v>512.20449482251115</v>
      </c>
      <c r="Z28" s="5">
        <f t="shared" ref="Z28:AK28" si="37">Z26-Z27</f>
        <v>580.43376193530753</v>
      </c>
      <c r="AA28" s="5">
        <f t="shared" si="37"/>
        <v>600.34451142226658</v>
      </c>
      <c r="AB28" s="5">
        <f t="shared" si="37"/>
        <v>620.752244981378</v>
      </c>
      <c r="AC28" s="5">
        <f t="shared" si="37"/>
        <v>641.667992349119</v>
      </c>
      <c r="AD28" s="5">
        <f t="shared" si="37"/>
        <v>663.10301542261379</v>
      </c>
      <c r="AE28" s="5">
        <f t="shared" si="37"/>
        <v>685.06881302283023</v>
      </c>
      <c r="AF28" s="5">
        <f t="shared" si="37"/>
        <v>707.5771257542699</v>
      </c>
      <c r="AG28" s="5">
        <f t="shared" si="37"/>
        <v>730.63994096309011</v>
      </c>
      <c r="AH28" s="5">
        <f t="shared" si="37"/>
        <v>754.26949779564347</v>
      </c>
      <c r="AI28" s="5">
        <f t="shared" si="37"/>
        <v>778.47829235945233</v>
      </c>
      <c r="AJ28" s="5">
        <f t="shared" si="37"/>
        <v>803.27908298868192</v>
      </c>
      <c r="AK28" s="5">
        <f t="shared" si="37"/>
        <v>828.68489561621436</v>
      </c>
      <c r="AL28" s="5">
        <f>+AK28*(1+$AN$30)</f>
        <v>836.97174457237656</v>
      </c>
      <c r="AM28" s="5">
        <f t="shared" ref="AM28:CX28" si="38">+AL28*(1+$AN$30)</f>
        <v>845.34146201810029</v>
      </c>
      <c r="AN28" s="5">
        <f t="shared" si="38"/>
        <v>853.79487663828127</v>
      </c>
      <c r="AO28" s="5">
        <f t="shared" si="38"/>
        <v>862.33282540466405</v>
      </c>
      <c r="AP28" s="5">
        <f t="shared" si="38"/>
        <v>870.95615365871072</v>
      </c>
      <c r="AQ28" s="5">
        <f t="shared" si="38"/>
        <v>879.66571519529782</v>
      </c>
      <c r="AR28" s="5">
        <f t="shared" si="38"/>
        <v>888.46237234725083</v>
      </c>
      <c r="AS28" s="5">
        <f t="shared" si="38"/>
        <v>897.34699607072332</v>
      </c>
      <c r="AT28" s="5">
        <f t="shared" si="38"/>
        <v>906.32046603143056</v>
      </c>
      <c r="AU28" s="5">
        <f t="shared" si="38"/>
        <v>915.3836706917449</v>
      </c>
      <c r="AV28" s="5">
        <f t="shared" si="38"/>
        <v>924.53750739866234</v>
      </c>
      <c r="AW28" s="5">
        <f t="shared" si="38"/>
        <v>933.78288247264902</v>
      </c>
      <c r="AX28" s="5">
        <f t="shared" si="38"/>
        <v>943.12071129737546</v>
      </c>
      <c r="AY28" s="5">
        <f t="shared" si="38"/>
        <v>952.55191841034923</v>
      </c>
      <c r="AZ28" s="5">
        <f t="shared" si="38"/>
        <v>962.0774375944527</v>
      </c>
      <c r="BA28" s="5">
        <f t="shared" si="38"/>
        <v>971.69821197039721</v>
      </c>
      <c r="BB28" s="5">
        <f t="shared" si="38"/>
        <v>981.41519409010118</v>
      </c>
      <c r="BC28" s="5">
        <f t="shared" si="38"/>
        <v>991.22934603100225</v>
      </c>
      <c r="BD28" s="5">
        <f t="shared" si="38"/>
        <v>1001.1416394913123</v>
      </c>
      <c r="BE28" s="5">
        <f t="shared" si="38"/>
        <v>1011.1530558862254</v>
      </c>
      <c r="BF28" s="5">
        <f t="shared" si="38"/>
        <v>1021.2645864450876</v>
      </c>
      <c r="BG28" s="5">
        <f t="shared" si="38"/>
        <v>1031.4772323095385</v>
      </c>
      <c r="BH28" s="5">
        <f t="shared" si="38"/>
        <v>1041.792004632634</v>
      </c>
      <c r="BI28" s="5">
        <f t="shared" si="38"/>
        <v>1052.2099246789603</v>
      </c>
      <c r="BJ28" s="5">
        <f t="shared" si="38"/>
        <v>1062.7320239257499</v>
      </c>
      <c r="BK28" s="5">
        <f t="shared" si="38"/>
        <v>1073.3593441650073</v>
      </c>
      <c r="BL28" s="5">
        <f t="shared" si="38"/>
        <v>1084.0929376066574</v>
      </c>
      <c r="BM28" s="5">
        <f t="shared" si="38"/>
        <v>1094.9338669827241</v>
      </c>
      <c r="BN28" s="5">
        <f t="shared" si="38"/>
        <v>1105.8832056525514</v>
      </c>
      <c r="BO28" s="5">
        <f t="shared" si="38"/>
        <v>1116.9420377090769</v>
      </c>
      <c r="BP28" s="5">
        <f t="shared" si="38"/>
        <v>1128.1114580861677</v>
      </c>
      <c r="BQ28" s="5">
        <f t="shared" si="38"/>
        <v>1139.3925726670293</v>
      </c>
      <c r="BR28" s="5">
        <f t="shared" si="38"/>
        <v>1150.7864983936995</v>
      </c>
      <c r="BS28" s="5">
        <f t="shared" si="38"/>
        <v>1162.2943633776365</v>
      </c>
      <c r="BT28" s="5">
        <f t="shared" si="38"/>
        <v>1173.917307011413</v>
      </c>
      <c r="BU28" s="5">
        <f t="shared" si="38"/>
        <v>1185.6564800815272</v>
      </c>
      <c r="BV28" s="5">
        <f t="shared" si="38"/>
        <v>1197.5130448823425</v>
      </c>
      <c r="BW28" s="5">
        <f t="shared" si="38"/>
        <v>1209.4881753311658</v>
      </c>
      <c r="BX28" s="5">
        <f t="shared" si="38"/>
        <v>1221.5830570844776</v>
      </c>
      <c r="BY28" s="5">
        <f t="shared" si="38"/>
        <v>1233.7988876553222</v>
      </c>
      <c r="BZ28" s="5">
        <f t="shared" si="38"/>
        <v>1246.1368765318755</v>
      </c>
      <c r="CA28" s="5">
        <f t="shared" si="38"/>
        <v>1258.5982452971944</v>
      </c>
      <c r="CB28" s="5">
        <f t="shared" si="38"/>
        <v>1271.1842277501662</v>
      </c>
      <c r="CC28" s="5">
        <f t="shared" si="38"/>
        <v>1283.896070027668</v>
      </c>
      <c r="CD28" s="5">
        <f t="shared" si="38"/>
        <v>1296.7350307279446</v>
      </c>
      <c r="CE28" s="5">
        <f t="shared" si="38"/>
        <v>1309.7023810352241</v>
      </c>
      <c r="CF28" s="5">
        <f t="shared" si="38"/>
        <v>1322.7994048455764</v>
      </c>
      <c r="CG28" s="5">
        <f t="shared" si="38"/>
        <v>1336.0273988940321</v>
      </c>
      <c r="CH28" s="5">
        <f t="shared" si="38"/>
        <v>1349.3876728829725</v>
      </c>
      <c r="CI28" s="5">
        <f t="shared" si="38"/>
        <v>1362.8815496118023</v>
      </c>
      <c r="CJ28" s="5">
        <f t="shared" si="38"/>
        <v>1376.5103651079203</v>
      </c>
      <c r="CK28" s="5">
        <f t="shared" si="38"/>
        <v>1390.2754687589995</v>
      </c>
      <c r="CL28" s="5">
        <f t="shared" si="38"/>
        <v>1404.1782234465895</v>
      </c>
      <c r="CM28" s="5">
        <f t="shared" si="38"/>
        <v>1418.2200056810555</v>
      </c>
      <c r="CN28" s="5">
        <f t="shared" si="38"/>
        <v>1432.4022057378661</v>
      </c>
      <c r="CO28" s="5">
        <f t="shared" si="38"/>
        <v>1446.7262277952448</v>
      </c>
      <c r="CP28" s="5">
        <f t="shared" si="38"/>
        <v>1461.1934900731972</v>
      </c>
      <c r="CQ28" s="5">
        <f t="shared" si="38"/>
        <v>1475.8054249739291</v>
      </c>
      <c r="CR28" s="5">
        <f t="shared" si="38"/>
        <v>1490.5634792236685</v>
      </c>
      <c r="CS28" s="5">
        <f t="shared" si="38"/>
        <v>1505.4691140159052</v>
      </c>
      <c r="CT28" s="5">
        <f t="shared" si="38"/>
        <v>1520.5238051560643</v>
      </c>
      <c r="CU28" s="5">
        <f t="shared" si="38"/>
        <v>1535.729043207625</v>
      </c>
      <c r="CV28" s="5">
        <f t="shared" si="38"/>
        <v>1551.0863336397013</v>
      </c>
      <c r="CW28" s="5">
        <f t="shared" si="38"/>
        <v>1566.5971969760983</v>
      </c>
      <c r="CX28" s="5">
        <f t="shared" si="38"/>
        <v>1582.2631689458592</v>
      </c>
      <c r="CY28" s="5">
        <f t="shared" ref="CY28:EH28" si="39">+CX28*(1+$AN$30)</f>
        <v>1598.0858006353178</v>
      </c>
      <c r="CZ28" s="5">
        <f t="shared" si="39"/>
        <v>1614.066658641671</v>
      </c>
      <c r="DA28" s="5">
        <f t="shared" si="39"/>
        <v>1630.2073252280877</v>
      </c>
      <c r="DB28" s="5">
        <f t="shared" si="39"/>
        <v>1646.5093984803686</v>
      </c>
      <c r="DC28" s="5">
        <f t="shared" si="39"/>
        <v>1662.9744924651723</v>
      </c>
      <c r="DD28" s="5">
        <f t="shared" si="39"/>
        <v>1679.604237389824</v>
      </c>
      <c r="DE28" s="5">
        <f t="shared" si="39"/>
        <v>1696.4002797637222</v>
      </c>
      <c r="DF28" s="5">
        <f t="shared" si="39"/>
        <v>1713.3642825613595</v>
      </c>
      <c r="DG28" s="5">
        <f t="shared" si="39"/>
        <v>1730.4979253869731</v>
      </c>
      <c r="DH28" s="5">
        <f t="shared" si="39"/>
        <v>1747.8029046408428</v>
      </c>
      <c r="DI28" s="5">
        <f t="shared" si="39"/>
        <v>1765.2809336872513</v>
      </c>
      <c r="DJ28" s="5">
        <f t="shared" si="39"/>
        <v>1782.9337430241237</v>
      </c>
      <c r="DK28" s="5">
        <f t="shared" si="39"/>
        <v>1800.7630804543649</v>
      </c>
      <c r="DL28" s="5">
        <f t="shared" si="39"/>
        <v>1818.7707112589085</v>
      </c>
      <c r="DM28" s="5">
        <f t="shared" si="39"/>
        <v>1836.9584183714976</v>
      </c>
      <c r="DN28" s="5">
        <f t="shared" si="39"/>
        <v>1855.3280025552126</v>
      </c>
      <c r="DO28" s="5">
        <f t="shared" si="39"/>
        <v>1873.8812825807647</v>
      </c>
      <c r="DP28" s="5">
        <f t="shared" si="39"/>
        <v>1892.6200954065723</v>
      </c>
      <c r="DQ28" s="5">
        <f t="shared" si="39"/>
        <v>1911.5462963606381</v>
      </c>
      <c r="DR28" s="5">
        <f t="shared" si="39"/>
        <v>1930.6617593242445</v>
      </c>
      <c r="DS28" s="5">
        <f t="shared" si="39"/>
        <v>1949.9683769174869</v>
      </c>
      <c r="DT28" s="5">
        <f t="shared" si="39"/>
        <v>1969.4680606866618</v>
      </c>
      <c r="DU28" s="5">
        <f t="shared" si="39"/>
        <v>1989.1627412935284</v>
      </c>
      <c r="DV28" s="5">
        <f t="shared" si="39"/>
        <v>2009.0543687064637</v>
      </c>
      <c r="DW28" s="5">
        <f t="shared" si="39"/>
        <v>2029.1449123935283</v>
      </c>
      <c r="DX28" s="5">
        <f t="shared" si="39"/>
        <v>2049.4363615174634</v>
      </c>
      <c r="DY28" s="5">
        <f t="shared" si="39"/>
        <v>2069.9307251326381</v>
      </c>
      <c r="DZ28" s="5">
        <f t="shared" si="39"/>
        <v>2090.6300323839646</v>
      </c>
      <c r="EA28" s="5">
        <f t="shared" si="39"/>
        <v>2111.5363327078044</v>
      </c>
      <c r="EB28" s="5">
        <f t="shared" si="39"/>
        <v>2132.6516960348827</v>
      </c>
      <c r="EC28" s="5">
        <f t="shared" si="39"/>
        <v>2153.9782129952314</v>
      </c>
      <c r="ED28" s="5">
        <f t="shared" si="39"/>
        <v>2175.5179951251839</v>
      </c>
      <c r="EE28" s="5">
        <f t="shared" si="39"/>
        <v>2197.2731750764356</v>
      </c>
      <c r="EF28" s="5">
        <f t="shared" si="39"/>
        <v>2219.2459068272001</v>
      </c>
      <c r="EG28" s="5">
        <f t="shared" si="39"/>
        <v>2241.4383658954721</v>
      </c>
      <c r="EH28" s="5">
        <f t="shared" si="39"/>
        <v>2263.8527495544267</v>
      </c>
    </row>
    <row r="29" spans="2:138" x14ac:dyDescent="0.2">
      <c r="B29" s="2" t="s">
        <v>46</v>
      </c>
      <c r="C29" s="8"/>
      <c r="D29" s="8">
        <f t="shared" ref="D29:K29" si="40">D28/D30</f>
        <v>0.6152108433734933</v>
      </c>
      <c r="E29" s="8">
        <f t="shared" si="40"/>
        <v>1.2211394302848579</v>
      </c>
      <c r="F29" s="8">
        <f t="shared" si="40"/>
        <v>1.0470852017937211</v>
      </c>
      <c r="G29" s="8">
        <f t="shared" si="40"/>
        <v>0.50226928895612744</v>
      </c>
      <c r="H29" s="8">
        <f t="shared" si="40"/>
        <v>0.69694596711041634</v>
      </c>
      <c r="I29" s="8">
        <f t="shared" si="40"/>
        <v>1.6737588652482263</v>
      </c>
      <c r="J29" s="8">
        <f t="shared" si="40"/>
        <v>1.6666666666666654</v>
      </c>
      <c r="K29" s="8">
        <f t="shared" si="40"/>
        <v>1.240525908739367</v>
      </c>
      <c r="L29" s="8">
        <f t="shared" ref="L29:N29" si="41">L28/L30</f>
        <v>0.70920513437741706</v>
      </c>
      <c r="M29" s="8">
        <f t="shared" si="41"/>
        <v>1.1916414107781328</v>
      </c>
      <c r="N29" s="8">
        <f t="shared" si="41"/>
        <v>1.0993428966272105</v>
      </c>
    </row>
    <row r="30" spans="2:138" x14ac:dyDescent="0.2">
      <c r="B30" s="2" t="s">
        <v>1</v>
      </c>
      <c r="C30" s="5"/>
      <c r="D30" s="5">
        <v>132.80000000000001</v>
      </c>
      <c r="E30" s="5">
        <v>133.4</v>
      </c>
      <c r="F30" s="5">
        <v>133.80000000000001</v>
      </c>
      <c r="G30" s="5">
        <v>132.19999999999999</v>
      </c>
      <c r="H30" s="5">
        <v>127.7</v>
      </c>
      <c r="I30" s="5">
        <v>126.9</v>
      </c>
      <c r="J30" s="5">
        <v>128.4</v>
      </c>
      <c r="K30" s="5">
        <v>129.30000000000001</v>
      </c>
      <c r="L30" s="5">
        <v>129.30000000000001</v>
      </c>
      <c r="M30" s="5">
        <v>129.30000000000001</v>
      </c>
      <c r="N30" s="5">
        <v>129.30000000000001</v>
      </c>
      <c r="AM30" t="s">
        <v>106</v>
      </c>
      <c r="AN30" s="39">
        <v>0.01</v>
      </c>
    </row>
    <row r="31" spans="2:138" x14ac:dyDescent="0.2">
      <c r="K31" s="5"/>
      <c r="AM31" t="s">
        <v>107</v>
      </c>
      <c r="AN31" s="39">
        <v>7.0000000000000007E-2</v>
      </c>
    </row>
    <row r="32" spans="2:138" x14ac:dyDescent="0.2">
      <c r="B32" s="2" t="s">
        <v>43</v>
      </c>
      <c r="H32" s="10">
        <f>H15/D15-1</f>
        <v>4.9407646742057221E-2</v>
      </c>
      <c r="I32" s="10">
        <f>I15/E15-1</f>
        <v>6.9447018844609243E-2</v>
      </c>
      <c r="J32" s="10">
        <f>J15/F15-1</f>
        <v>0.1382946488091632</v>
      </c>
      <c r="K32" s="10">
        <f>K15/G15-1</f>
        <v>5.7150018799348334E-2</v>
      </c>
      <c r="L32" s="10">
        <f t="shared" ref="L32:N32" si="42">L15/H15-1</f>
        <v>4.2875000000000218E-2</v>
      </c>
      <c r="M32" s="10">
        <f t="shared" si="42"/>
        <v>4.0785340314136276E-2</v>
      </c>
      <c r="N32" s="10">
        <f t="shared" si="42"/>
        <v>4.0071707953063918E-2</v>
      </c>
      <c r="Q32" s="10">
        <f t="shared" ref="Q32:W32" si="43">Q15/P15-1</f>
        <v>0.34813840550384478</v>
      </c>
      <c r="R32" s="10">
        <f t="shared" si="43"/>
        <v>0.1489931207004378</v>
      </c>
      <c r="S32" s="10">
        <f t="shared" si="43"/>
        <v>7.3370925954148181E-3</v>
      </c>
      <c r="T32" s="10">
        <f t="shared" si="43"/>
        <v>7.6402697328607161E-2</v>
      </c>
      <c r="U32" s="10">
        <f t="shared" si="43"/>
        <v>6.9634359375941202E-2</v>
      </c>
      <c r="V32" s="10">
        <f t="shared" si="43"/>
        <v>0.11148654990520157</v>
      </c>
      <c r="W32" s="10">
        <f t="shared" si="43"/>
        <v>6.1577436243877681E-2</v>
      </c>
      <c r="X32" s="10">
        <f>X15/W15-1</f>
        <v>7.6110474735904265E-2</v>
      </c>
      <c r="Y32" s="10">
        <f t="shared" ref="Y32:AK32" si="44">Y15/X15-1</f>
        <v>4.4929651034591789E-2</v>
      </c>
      <c r="Z32" s="10">
        <f t="shared" si="44"/>
        <v>2.0000000000000018E-2</v>
      </c>
      <c r="AA32" s="10">
        <f t="shared" si="44"/>
        <v>2.0000000000000018E-2</v>
      </c>
      <c r="AB32" s="10">
        <f t="shared" si="44"/>
        <v>2.0000000000000018E-2</v>
      </c>
      <c r="AC32" s="10">
        <f t="shared" si="44"/>
        <v>2.0000000000000018E-2</v>
      </c>
      <c r="AD32" s="10">
        <f t="shared" si="44"/>
        <v>2.0000000000000018E-2</v>
      </c>
      <c r="AE32" s="10">
        <f t="shared" si="44"/>
        <v>2.0000000000000018E-2</v>
      </c>
      <c r="AF32" s="10">
        <f t="shared" si="44"/>
        <v>2.0000000000000018E-2</v>
      </c>
      <c r="AG32" s="10">
        <f t="shared" si="44"/>
        <v>2.0000000000000018E-2</v>
      </c>
      <c r="AH32" s="10">
        <f t="shared" si="44"/>
        <v>2.0000000000000018E-2</v>
      </c>
      <c r="AI32" s="10">
        <f t="shared" si="44"/>
        <v>2.0000000000000018E-2</v>
      </c>
      <c r="AJ32" s="10">
        <f t="shared" si="44"/>
        <v>2.0000000000000018E-2</v>
      </c>
      <c r="AK32" s="10">
        <f t="shared" si="44"/>
        <v>2.0000000000000018E-2</v>
      </c>
      <c r="AM32" t="s">
        <v>108</v>
      </c>
      <c r="AN32" s="2">
        <f>NPV(AN31,Z28:EH28)+Main!L5-Main!L6</f>
        <v>10826.848958777593</v>
      </c>
    </row>
    <row r="33" spans="2:40" x14ac:dyDescent="0.2">
      <c r="B33" s="2" t="s">
        <v>80</v>
      </c>
      <c r="H33" s="37">
        <v>1.4999999999999999E-2</v>
      </c>
      <c r="I33" s="37">
        <v>3.5999999999999997E-2</v>
      </c>
      <c r="J33" s="37">
        <v>3.7999999999999999E-2</v>
      </c>
      <c r="K33" s="37">
        <v>3.4000000000000002E-2</v>
      </c>
      <c r="AM33" t="s">
        <v>109</v>
      </c>
      <c r="AN33" s="1">
        <f>AN32/Main!L3</f>
        <v>84.49303897643729</v>
      </c>
    </row>
    <row r="34" spans="2:40" x14ac:dyDescent="0.2">
      <c r="B34" s="2" t="s">
        <v>36</v>
      </c>
      <c r="C34" s="10"/>
      <c r="D34" s="10">
        <f t="shared" ref="D34:K34" si="45">D20/D15</f>
        <v>0.19190899299946146</v>
      </c>
      <c r="E34" s="10">
        <f t="shared" si="45"/>
        <v>0.21791782514674085</v>
      </c>
      <c r="F34" s="10">
        <f t="shared" si="45"/>
        <v>0.2024725774195503</v>
      </c>
      <c r="G34" s="10">
        <f t="shared" si="45"/>
        <v>0.19626519613986718</v>
      </c>
      <c r="H34" s="10">
        <f t="shared" si="45"/>
        <v>0.18556767158434906</v>
      </c>
      <c r="I34" s="10">
        <f t="shared" si="45"/>
        <v>0.2245074816569414</v>
      </c>
      <c r="J34" s="10">
        <f t="shared" si="45"/>
        <v>0.22967577064366707</v>
      </c>
      <c r="K34" s="10">
        <f t="shared" si="45"/>
        <v>0.22305868405453477</v>
      </c>
      <c r="L34" s="10">
        <f t="shared" ref="L34:N34" si="46">L20/L15</f>
        <v>0.22</v>
      </c>
      <c r="M34" s="10">
        <f t="shared" si="46"/>
        <v>0.22</v>
      </c>
      <c r="N34" s="10">
        <f t="shared" si="46"/>
        <v>0.22</v>
      </c>
      <c r="Y34" s="10">
        <f t="shared" ref="Y34:AK34" si="47">Y20/Y15</f>
        <v>0.22073006083323768</v>
      </c>
      <c r="Z34" s="10">
        <f t="shared" si="47"/>
        <v>0.22</v>
      </c>
      <c r="AA34" s="10">
        <f t="shared" si="47"/>
        <v>0.22</v>
      </c>
      <c r="AB34" s="10">
        <f t="shared" si="47"/>
        <v>0.22</v>
      </c>
      <c r="AC34" s="10">
        <f t="shared" si="47"/>
        <v>0.22</v>
      </c>
      <c r="AD34" s="10">
        <f t="shared" si="47"/>
        <v>0.22</v>
      </c>
      <c r="AE34" s="10">
        <f t="shared" si="47"/>
        <v>0.22</v>
      </c>
      <c r="AF34" s="10">
        <f t="shared" si="47"/>
        <v>0.22</v>
      </c>
      <c r="AG34" s="10">
        <f t="shared" si="47"/>
        <v>0.22</v>
      </c>
      <c r="AH34" s="10">
        <f t="shared" si="47"/>
        <v>0.22</v>
      </c>
      <c r="AI34" s="10">
        <f t="shared" si="47"/>
        <v>0.22</v>
      </c>
      <c r="AJ34" s="10">
        <f t="shared" si="47"/>
        <v>0.22</v>
      </c>
      <c r="AK34" s="10">
        <f t="shared" si="47"/>
        <v>0.22</v>
      </c>
      <c r="AM34" t="s">
        <v>110</v>
      </c>
      <c r="AN34" s="39">
        <f>AN33/Main!L3</f>
        <v>0.65938609309645235</v>
      </c>
    </row>
    <row r="36" spans="2:40" x14ac:dyDescent="0.2">
      <c r="B36" t="s">
        <v>51</v>
      </c>
      <c r="G36" s="5">
        <f>+G37-G54</f>
        <v>-1169.8</v>
      </c>
      <c r="H36" s="5">
        <f t="shared" ref="H36:I36" si="48">+H37-H54</f>
        <v>-1345.9</v>
      </c>
      <c r="I36" s="5">
        <f t="shared" si="48"/>
        <v>-1040.5</v>
      </c>
      <c r="J36" s="5">
        <f>+J37-J54</f>
        <v>-931.4</v>
      </c>
      <c r="K36" s="5">
        <f>+K37-K54</f>
        <v>-762.49999999999989</v>
      </c>
      <c r="L36" s="5">
        <f>+K36+L28</f>
        <v>-670.79977612499988</v>
      </c>
      <c r="M36" s="5">
        <f t="shared" ref="M36:N36" si="49">+L36+M28</f>
        <v>-516.72054171138734</v>
      </c>
      <c r="N36" s="5">
        <f t="shared" si="49"/>
        <v>-374.57550517748905</v>
      </c>
      <c r="Y36" s="5">
        <f>+N36</f>
        <v>-374.57550517748905</v>
      </c>
      <c r="Z36" s="2">
        <f>+Y36+Z28</f>
        <v>205.85825675781848</v>
      </c>
      <c r="AA36" s="2">
        <f t="shared" ref="AA36:AK36" si="50">+Z36+AA28</f>
        <v>806.20276818008506</v>
      </c>
      <c r="AB36" s="2">
        <f t="shared" si="50"/>
        <v>1426.9550131614631</v>
      </c>
      <c r="AC36" s="2">
        <f t="shared" si="50"/>
        <v>2068.6230055105821</v>
      </c>
      <c r="AD36" s="2">
        <f t="shared" si="50"/>
        <v>2731.7260209331957</v>
      </c>
      <c r="AE36" s="2">
        <f t="shared" si="50"/>
        <v>3416.7948339560262</v>
      </c>
      <c r="AF36" s="2">
        <f t="shared" si="50"/>
        <v>4124.3719597102963</v>
      </c>
      <c r="AG36" s="2">
        <f t="shared" si="50"/>
        <v>4855.0119006733867</v>
      </c>
      <c r="AH36" s="2">
        <f t="shared" si="50"/>
        <v>5609.2813984690301</v>
      </c>
      <c r="AI36" s="2">
        <f t="shared" si="50"/>
        <v>6387.7596908284822</v>
      </c>
      <c r="AJ36" s="2">
        <f t="shared" si="50"/>
        <v>7191.0387738171639</v>
      </c>
      <c r="AK36" s="2">
        <f t="shared" si="50"/>
        <v>8019.7236694333787</v>
      </c>
    </row>
    <row r="37" spans="2:40" s="2" customFormat="1" x14ac:dyDescent="0.2">
      <c r="B37" s="2" t="s">
        <v>4</v>
      </c>
      <c r="C37" s="5"/>
      <c r="D37" s="5"/>
      <c r="E37" s="5"/>
      <c r="F37" s="5"/>
      <c r="G37" s="5">
        <v>413.7</v>
      </c>
      <c r="H37" s="5">
        <v>157.5</v>
      </c>
      <c r="I37" s="5">
        <v>436.2</v>
      </c>
      <c r="J37" s="5">
        <v>535.9</v>
      </c>
      <c r="K37" s="5">
        <v>690.1</v>
      </c>
      <c r="L37" s="5"/>
      <c r="M37" s="5"/>
      <c r="N37" s="5"/>
      <c r="W37" s="5"/>
      <c r="X37" s="5"/>
      <c r="Y37" s="5"/>
    </row>
    <row r="38" spans="2:40" s="2" customFormat="1" x14ac:dyDescent="0.2">
      <c r="B38" s="2" t="s">
        <v>52</v>
      </c>
      <c r="C38" s="5"/>
      <c r="D38" s="5"/>
      <c r="E38" s="5"/>
      <c r="F38" s="5"/>
      <c r="G38" s="5">
        <v>86.2</v>
      </c>
      <c r="H38" s="5">
        <v>66.7</v>
      </c>
      <c r="I38" s="5">
        <v>64</v>
      </c>
      <c r="J38" s="5">
        <v>78</v>
      </c>
      <c r="K38" s="5">
        <v>60.8</v>
      </c>
      <c r="L38" s="5"/>
      <c r="M38" s="5"/>
      <c r="N38" s="5"/>
      <c r="W38" s="5"/>
      <c r="X38" s="5"/>
      <c r="Y38" s="5"/>
    </row>
    <row r="39" spans="2:40" s="2" customFormat="1" x14ac:dyDescent="0.2">
      <c r="B39" s="2" t="s">
        <v>53</v>
      </c>
      <c r="C39" s="5"/>
      <c r="D39" s="5"/>
      <c r="E39" s="5"/>
      <c r="F39" s="5"/>
      <c r="G39" s="5">
        <v>201.6</v>
      </c>
      <c r="H39" s="5">
        <v>193.5</v>
      </c>
      <c r="I39" s="5">
        <v>172.8</v>
      </c>
      <c r="J39" s="5">
        <v>163.9</v>
      </c>
      <c r="K39" s="5">
        <v>162.6</v>
      </c>
      <c r="L39" s="5"/>
      <c r="M39" s="5"/>
      <c r="N39" s="5"/>
      <c r="W39" s="5"/>
      <c r="X39" s="5"/>
      <c r="Y39" s="5"/>
    </row>
    <row r="40" spans="2:40" s="2" customFormat="1" x14ac:dyDescent="0.2">
      <c r="B40" s="2" t="s">
        <v>54</v>
      </c>
      <c r="C40" s="5"/>
      <c r="D40" s="5"/>
      <c r="E40" s="5"/>
      <c r="F40" s="5"/>
      <c r="G40" s="5">
        <v>0</v>
      </c>
      <c r="H40" s="5">
        <v>9.1999999999999993</v>
      </c>
      <c r="I40" s="5">
        <v>15.5</v>
      </c>
      <c r="J40" s="5">
        <v>18.899999999999999</v>
      </c>
      <c r="K40" s="5">
        <v>26.4</v>
      </c>
      <c r="L40" s="5"/>
      <c r="M40" s="5"/>
      <c r="N40" s="5"/>
      <c r="W40" s="5"/>
      <c r="X40" s="5"/>
      <c r="Y40" s="5"/>
    </row>
    <row r="41" spans="2:40" s="2" customFormat="1" x14ac:dyDescent="0.2">
      <c r="B41" s="2" t="s">
        <v>55</v>
      </c>
      <c r="C41" s="5"/>
      <c r="D41" s="5"/>
      <c r="E41" s="5"/>
      <c r="F41" s="5"/>
      <c r="G41" s="5">
        <v>75.099999999999994</v>
      </c>
      <c r="H41" s="5">
        <v>74.900000000000006</v>
      </c>
      <c r="I41" s="5">
        <v>73.5</v>
      </c>
      <c r="J41" s="5">
        <v>69.400000000000006</v>
      </c>
      <c r="K41" s="5">
        <v>74.3</v>
      </c>
      <c r="L41" s="5"/>
      <c r="M41" s="5"/>
      <c r="N41" s="5"/>
      <c r="W41" s="5"/>
      <c r="X41" s="5"/>
      <c r="Y41" s="5"/>
    </row>
    <row r="42" spans="2:40" s="2" customFormat="1" x14ac:dyDescent="0.2">
      <c r="B42" s="2" t="s">
        <v>56</v>
      </c>
      <c r="C42" s="5"/>
      <c r="D42" s="5"/>
      <c r="E42" s="5"/>
      <c r="F42" s="5"/>
      <c r="G42" s="5">
        <v>173</v>
      </c>
      <c r="H42" s="5">
        <v>172.7</v>
      </c>
      <c r="I42" s="5">
        <v>174.5</v>
      </c>
      <c r="J42" s="5">
        <v>157.4</v>
      </c>
      <c r="K42" s="5">
        <v>166.6</v>
      </c>
      <c r="L42" s="5"/>
      <c r="M42" s="5"/>
      <c r="N42" s="5"/>
      <c r="W42" s="5"/>
      <c r="X42" s="5"/>
      <c r="Y42" s="5"/>
    </row>
    <row r="43" spans="2:40" s="2" customFormat="1" x14ac:dyDescent="0.2">
      <c r="B43" s="2" t="s">
        <v>57</v>
      </c>
      <c r="C43" s="5"/>
      <c r="D43" s="5"/>
      <c r="E43" s="5"/>
      <c r="F43" s="5"/>
      <c r="G43" s="5">
        <v>54.3</v>
      </c>
      <c r="H43" s="5">
        <v>44.9</v>
      </c>
      <c r="I43" s="5">
        <v>45.4</v>
      </c>
      <c r="J43" s="5">
        <v>32.9</v>
      </c>
      <c r="K43" s="5">
        <v>23.8</v>
      </c>
      <c r="L43" s="5"/>
      <c r="M43" s="5"/>
      <c r="N43" s="5"/>
      <c r="W43" s="5"/>
      <c r="X43" s="5"/>
      <c r="Y43" s="5"/>
    </row>
    <row r="44" spans="2:40" s="2" customFormat="1" x14ac:dyDescent="0.2">
      <c r="B44" s="2" t="s">
        <v>58</v>
      </c>
      <c r="C44" s="5"/>
      <c r="D44" s="5"/>
      <c r="E44" s="5"/>
      <c r="F44" s="5"/>
      <c r="G44" s="5">
        <v>3380</v>
      </c>
      <c r="H44" s="5">
        <v>3338.3</v>
      </c>
      <c r="I44" s="5">
        <v>3288.5</v>
      </c>
      <c r="J44" s="5">
        <v>3215.8</v>
      </c>
      <c r="K44" s="5">
        <v>3104.2</v>
      </c>
      <c r="L44" s="5"/>
      <c r="M44" s="5"/>
      <c r="N44" s="5"/>
      <c r="W44" s="5"/>
      <c r="X44" s="5"/>
      <c r="Y44" s="5"/>
    </row>
    <row r="45" spans="2:40" s="2" customFormat="1" x14ac:dyDescent="0.2">
      <c r="B45" s="2" t="s">
        <v>59</v>
      </c>
      <c r="C45" s="5"/>
      <c r="D45" s="5"/>
      <c r="E45" s="5"/>
      <c r="F45" s="5"/>
      <c r="G45" s="5">
        <v>872.5</v>
      </c>
      <c r="H45" s="5">
        <v>872.5</v>
      </c>
      <c r="I45" s="5">
        <v>872.4</v>
      </c>
      <c r="J45" s="5">
        <v>872.4</v>
      </c>
      <c r="K45" s="5">
        <v>872.4</v>
      </c>
      <c r="L45" s="5"/>
      <c r="M45" s="5"/>
      <c r="N45" s="5"/>
      <c r="W45" s="5"/>
      <c r="X45" s="5"/>
      <c r="Y45" s="5"/>
    </row>
    <row r="46" spans="2:40" s="2" customFormat="1" x14ac:dyDescent="0.2">
      <c r="B46" s="2" t="s">
        <v>60</v>
      </c>
      <c r="C46" s="5"/>
      <c r="D46" s="5"/>
      <c r="E46" s="5"/>
      <c r="F46" s="5"/>
      <c r="G46" s="5">
        <v>574.6</v>
      </c>
      <c r="H46" s="5">
        <v>574.6</v>
      </c>
      <c r="I46" s="5">
        <v>574.6</v>
      </c>
      <c r="J46" s="5">
        <v>574.6</v>
      </c>
      <c r="K46" s="5">
        <v>574.6</v>
      </c>
      <c r="L46" s="5"/>
      <c r="M46" s="5"/>
      <c r="N46" s="5"/>
      <c r="W46" s="5"/>
      <c r="X46" s="5"/>
      <c r="Y46" s="5"/>
    </row>
    <row r="47" spans="2:40" s="2" customFormat="1" x14ac:dyDescent="0.2">
      <c r="B47" s="2" t="s">
        <v>62</v>
      </c>
      <c r="C47" s="5"/>
      <c r="D47" s="5"/>
      <c r="E47" s="5"/>
      <c r="F47" s="5"/>
      <c r="G47" s="5">
        <v>293.10000000000002</v>
      </c>
      <c r="H47" s="5">
        <v>283.10000000000002</v>
      </c>
      <c r="I47" s="5">
        <v>285.5</v>
      </c>
      <c r="J47" s="5">
        <v>275.5</v>
      </c>
      <c r="K47" s="5">
        <v>270.7</v>
      </c>
      <c r="L47" s="5"/>
      <c r="M47" s="5"/>
      <c r="N47" s="5"/>
      <c r="W47" s="5"/>
      <c r="X47" s="5"/>
      <c r="Y47" s="5"/>
    </row>
    <row r="48" spans="2:40" s="2" customFormat="1" x14ac:dyDescent="0.2">
      <c r="B48" s="2" t="s">
        <v>61</v>
      </c>
      <c r="C48" s="5"/>
      <c r="D48" s="5"/>
      <c r="E48" s="5"/>
      <c r="F48" s="5"/>
      <c r="G48" s="5">
        <f>SUM(G37:G47)</f>
        <v>6124.1</v>
      </c>
      <c r="H48" s="5">
        <f t="shared" ref="H48:I48" si="51">SUM(H37:H47)</f>
        <v>5787.9000000000015</v>
      </c>
      <c r="I48" s="5">
        <f t="shared" si="51"/>
        <v>6002.9</v>
      </c>
      <c r="J48" s="5">
        <f>SUM(J37:J47)</f>
        <v>5994.7</v>
      </c>
      <c r="K48" s="5">
        <f>SUM(K37:K47)</f>
        <v>6026.4999999999991</v>
      </c>
      <c r="L48" s="5"/>
      <c r="M48" s="5"/>
      <c r="N48" s="5"/>
      <c r="W48" s="5"/>
      <c r="X48" s="5"/>
      <c r="Y48" s="5"/>
    </row>
    <row r="49" spans="2:25" x14ac:dyDescent="0.2">
      <c r="J49" s="5"/>
    </row>
    <row r="50" spans="2:25" x14ac:dyDescent="0.2">
      <c r="B50" s="2" t="s">
        <v>63</v>
      </c>
      <c r="G50" s="5">
        <v>212.5</v>
      </c>
      <c r="H50" s="5">
        <v>201.8</v>
      </c>
      <c r="I50" s="5">
        <v>186</v>
      </c>
      <c r="J50" s="5">
        <v>198.8</v>
      </c>
      <c r="K50" s="5">
        <v>210.2</v>
      </c>
    </row>
    <row r="51" spans="2:25" x14ac:dyDescent="0.2">
      <c r="B51" s="2" t="s">
        <v>64</v>
      </c>
      <c r="G51" s="5">
        <v>101</v>
      </c>
      <c r="H51" s="5">
        <v>104.6</v>
      </c>
      <c r="I51" s="5">
        <v>125.7</v>
      </c>
      <c r="J51" s="5">
        <v>141.1</v>
      </c>
      <c r="K51" s="5">
        <v>106.5</v>
      </c>
    </row>
    <row r="52" spans="2:25" x14ac:dyDescent="0.2">
      <c r="B52" s="2" t="s">
        <v>41</v>
      </c>
      <c r="G52" s="5">
        <f>337+65.9+285.4</f>
        <v>688.3</v>
      </c>
      <c r="H52" s="5">
        <f>135.4+66+279.8</f>
        <v>481.20000000000005</v>
      </c>
      <c r="I52" s="5">
        <f>116.3+49.1+321</f>
        <v>486.4</v>
      </c>
      <c r="J52" s="5">
        <f>12.6+51.5+341.8</f>
        <v>405.9</v>
      </c>
      <c r="K52" s="5">
        <f>32.4+53.5+331.6</f>
        <v>417.5</v>
      </c>
    </row>
    <row r="53" spans="2:25" x14ac:dyDescent="0.2">
      <c r="B53" s="2" t="s">
        <v>65</v>
      </c>
      <c r="G53" s="5">
        <v>266.39999999999998</v>
      </c>
      <c r="H53" s="5">
        <v>265.7</v>
      </c>
      <c r="I53" s="5">
        <v>379.8</v>
      </c>
      <c r="J53" s="5">
        <v>328.6</v>
      </c>
      <c r="K53" s="5">
        <v>298.8</v>
      </c>
    </row>
    <row r="54" spans="2:25" x14ac:dyDescent="0.2">
      <c r="B54" s="2" t="s">
        <v>5</v>
      </c>
      <c r="G54" s="5">
        <f>1468.5+115</f>
        <v>1583.5</v>
      </c>
      <c r="H54" s="5">
        <f>20+1468.4+15</f>
        <v>1503.4</v>
      </c>
      <c r="I54" s="5">
        <f>15+1461.7</f>
        <v>1476.7</v>
      </c>
      <c r="J54" s="5">
        <f>15+1452.3</f>
        <v>1467.3</v>
      </c>
      <c r="K54" s="5">
        <f>15+1437.6</f>
        <v>1452.6</v>
      </c>
    </row>
    <row r="55" spans="2:25" x14ac:dyDescent="0.2">
      <c r="B55" s="2" t="s">
        <v>66</v>
      </c>
      <c r="G55" s="5">
        <v>504</v>
      </c>
      <c r="H55" s="5">
        <v>497.5</v>
      </c>
      <c r="I55" s="5">
        <v>478.9</v>
      </c>
      <c r="J55" s="5">
        <v>449.1</v>
      </c>
      <c r="K55" s="5">
        <v>426.2</v>
      </c>
    </row>
    <row r="56" spans="2:25" x14ac:dyDescent="0.2">
      <c r="B56" s="2" t="s">
        <v>67</v>
      </c>
      <c r="G56" s="5">
        <v>212.6</v>
      </c>
      <c r="H56" s="5">
        <v>218.8</v>
      </c>
      <c r="I56" s="5">
        <v>221</v>
      </c>
      <c r="J56" s="5">
        <v>225.9</v>
      </c>
      <c r="K56" s="5">
        <v>230.8</v>
      </c>
    </row>
    <row r="57" spans="2:25" x14ac:dyDescent="0.2">
      <c r="B57" s="2" t="s">
        <v>68</v>
      </c>
      <c r="G57" s="5">
        <f>51.4+376.5</f>
        <v>427.9</v>
      </c>
      <c r="H57" s="5">
        <f>50.8+358.6</f>
        <v>409.40000000000003</v>
      </c>
      <c r="I57" s="5">
        <f>50.1+360.5</f>
        <v>410.6</v>
      </c>
      <c r="J57" s="5">
        <v>444.5</v>
      </c>
      <c r="K57" s="5">
        <v>459.8</v>
      </c>
    </row>
    <row r="58" spans="2:25" x14ac:dyDescent="0.2">
      <c r="B58" s="2" t="s">
        <v>69</v>
      </c>
      <c r="G58" s="5">
        <f>SUM(G50:G57)</f>
        <v>3996.2</v>
      </c>
      <c r="H58" s="5">
        <f t="shared" ref="H58:I58" si="52">SUM(H50:H57)</f>
        <v>3682.4</v>
      </c>
      <c r="I58" s="5">
        <f t="shared" si="52"/>
        <v>3765.1</v>
      </c>
      <c r="J58" s="5">
        <f>SUM(J50:J57)</f>
        <v>3661.2</v>
      </c>
      <c r="K58" s="5">
        <f>SUM(K50:K57)</f>
        <v>3602.4</v>
      </c>
    </row>
    <row r="59" spans="2:25" x14ac:dyDescent="0.2">
      <c r="B59" s="2" t="s">
        <v>70</v>
      </c>
      <c r="G59" s="5">
        <v>2127.9</v>
      </c>
      <c r="H59" s="5">
        <v>2105.5</v>
      </c>
      <c r="I59" s="5">
        <v>2237.8000000000002</v>
      </c>
      <c r="J59" s="5">
        <v>2333.5</v>
      </c>
      <c r="K59" s="5">
        <v>2424.1</v>
      </c>
    </row>
    <row r="60" spans="2:25" x14ac:dyDescent="0.2">
      <c r="B60" s="2" t="s">
        <v>71</v>
      </c>
      <c r="G60" s="5">
        <f>G59+G58</f>
        <v>6124.1</v>
      </c>
      <c r="H60" s="5">
        <f t="shared" ref="H60:I60" si="53">H59+H58</f>
        <v>5787.9</v>
      </c>
      <c r="I60" s="5">
        <f t="shared" si="53"/>
        <v>6002.9</v>
      </c>
      <c r="J60" s="5">
        <f>J59+J58</f>
        <v>5994.7</v>
      </c>
      <c r="K60" s="5">
        <f>K59+K58</f>
        <v>6026.5</v>
      </c>
    </row>
    <row r="62" spans="2:25" s="2" customFormat="1" x14ac:dyDescent="0.2">
      <c r="B62" s="11" t="s">
        <v>73</v>
      </c>
      <c r="C62" s="5"/>
      <c r="D62" s="5"/>
      <c r="E62" s="5"/>
      <c r="F62" s="5"/>
      <c r="G62" s="5">
        <f>+G28</f>
        <v>66.400000000000034</v>
      </c>
      <c r="H62" s="5">
        <f>+H28</f>
        <v>89.000000000000171</v>
      </c>
      <c r="I62" s="5">
        <f>+I28</f>
        <v>212.39999999999992</v>
      </c>
      <c r="J62" s="5">
        <f>J28</f>
        <v>213.99999999999986</v>
      </c>
      <c r="K62" s="5">
        <f>K28</f>
        <v>160.40000000000018</v>
      </c>
      <c r="L62" s="5"/>
      <c r="M62" s="5"/>
      <c r="N62" s="5"/>
      <c r="W62" s="5"/>
      <c r="X62" s="5"/>
      <c r="Y62" s="5"/>
    </row>
    <row r="63" spans="2:25" s="2" customFormat="1" x14ac:dyDescent="0.2">
      <c r="B63" s="2" t="s">
        <v>72</v>
      </c>
      <c r="C63" s="5"/>
      <c r="D63" s="5"/>
      <c r="E63" s="5"/>
      <c r="F63" s="5"/>
      <c r="G63" s="5">
        <v>503.2</v>
      </c>
      <c r="H63" s="5">
        <f>470.4-G63</f>
        <v>-32.800000000000011</v>
      </c>
      <c r="I63" s="5">
        <f>604.2-H63-G63</f>
        <v>133.80000000000001</v>
      </c>
      <c r="J63" s="5">
        <f>709.5-I63-H63-G63</f>
        <v>105.30000000000001</v>
      </c>
      <c r="K63" s="5">
        <v>86.4</v>
      </c>
      <c r="L63" s="5"/>
      <c r="M63" s="5"/>
      <c r="N63" s="5"/>
      <c r="W63" s="5"/>
      <c r="X63" s="5">
        <v>709.5</v>
      </c>
      <c r="Y63" s="5"/>
    </row>
    <row r="64" spans="2:25" s="2" customFormat="1" x14ac:dyDescent="0.2">
      <c r="B64" s="2" t="s">
        <v>74</v>
      </c>
      <c r="C64" s="5"/>
      <c r="D64" s="5"/>
      <c r="E64" s="5"/>
      <c r="F64" s="5"/>
      <c r="G64" s="5">
        <v>-522.5</v>
      </c>
      <c r="H64" s="5">
        <f>-520.5-G64</f>
        <v>2</v>
      </c>
      <c r="I64" s="5">
        <f>-525.9-H64-G64</f>
        <v>-5.3999999999999773</v>
      </c>
      <c r="J64" s="5">
        <f>-513.1-I64-H64-G64</f>
        <v>12.799999999999955</v>
      </c>
      <c r="K64" s="5">
        <v>-5.4</v>
      </c>
      <c r="L64" s="5"/>
      <c r="M64" s="5"/>
      <c r="N64" s="5"/>
      <c r="W64" s="5"/>
      <c r="X64" s="5">
        <v>-513.1</v>
      </c>
      <c r="Y64" s="5"/>
    </row>
    <row r="65" spans="2:25" s="2" customFormat="1" x14ac:dyDescent="0.2">
      <c r="B65" s="2" t="s">
        <v>75</v>
      </c>
      <c r="C65" s="5"/>
      <c r="D65" s="5"/>
      <c r="E65" s="5"/>
      <c r="F65" s="5"/>
      <c r="G65" s="5">
        <v>78.7</v>
      </c>
      <c r="H65" s="5">
        <f>158.8-G65</f>
        <v>80.100000000000009</v>
      </c>
      <c r="I65" s="5">
        <f>238.4-H65-G65</f>
        <v>79.600000000000009</v>
      </c>
      <c r="J65" s="5">
        <f>319.3-I65-H65-G65</f>
        <v>80.899999999999963</v>
      </c>
      <c r="K65" s="5">
        <v>81.099999999999994</v>
      </c>
      <c r="L65" s="5"/>
      <c r="M65" s="5"/>
      <c r="N65" s="5"/>
      <c r="W65" s="5"/>
      <c r="X65" s="5">
        <v>319.3</v>
      </c>
      <c r="Y65" s="5"/>
    </row>
    <row r="66" spans="2:25" s="2" customFormat="1" x14ac:dyDescent="0.2">
      <c r="B66" s="2" t="s">
        <v>111</v>
      </c>
      <c r="C66" s="5"/>
      <c r="D66" s="5"/>
      <c r="E66" s="5"/>
      <c r="F66" s="5"/>
      <c r="G66" s="5">
        <v>6.9</v>
      </c>
      <c r="H66" s="5">
        <f>46.6-G66</f>
        <v>39.700000000000003</v>
      </c>
      <c r="I66" s="5">
        <f>51-H66-G66</f>
        <v>4.3999999999999968</v>
      </c>
      <c r="J66" s="5">
        <f>62.1-I66-H66-G66</f>
        <v>11.1</v>
      </c>
      <c r="K66" s="5">
        <v>-1.7</v>
      </c>
      <c r="L66" s="5"/>
      <c r="M66" s="5"/>
      <c r="N66" s="5"/>
      <c r="W66" s="5"/>
      <c r="X66" s="5">
        <v>62.1</v>
      </c>
      <c r="Y66" s="5"/>
    </row>
    <row r="67" spans="2:25" s="2" customFormat="1" x14ac:dyDescent="0.2">
      <c r="B67" s="2" t="s">
        <v>112</v>
      </c>
      <c r="C67" s="5"/>
      <c r="D67" s="5"/>
      <c r="E67" s="5"/>
      <c r="F67" s="5"/>
      <c r="G67" s="5">
        <v>3</v>
      </c>
      <c r="H67" s="5">
        <f>4.9-G67</f>
        <v>1.9000000000000004</v>
      </c>
      <c r="I67" s="5">
        <f>6.7-H67-G67</f>
        <v>1.7999999999999998</v>
      </c>
      <c r="J67" s="5">
        <f>8.6-I67-H67-G67</f>
        <v>1.8999999999999995</v>
      </c>
      <c r="K67" s="5">
        <v>1.8</v>
      </c>
      <c r="L67" s="5"/>
      <c r="M67" s="5"/>
      <c r="N67" s="5"/>
      <c r="W67" s="5"/>
      <c r="X67" s="5">
        <v>8.6</v>
      </c>
      <c r="Y67" s="5"/>
    </row>
    <row r="68" spans="2:25" s="2" customFormat="1" x14ac:dyDescent="0.2">
      <c r="B68" s="2" t="s">
        <v>113</v>
      </c>
      <c r="C68" s="5"/>
      <c r="D68" s="5"/>
      <c r="E68" s="5"/>
      <c r="F68" s="5"/>
      <c r="G68" s="5">
        <v>6.2</v>
      </c>
      <c r="H68" s="5">
        <f>29.9-G68</f>
        <v>23.7</v>
      </c>
      <c r="I68" s="5">
        <f>41.3-H68-G68</f>
        <v>11.399999999999999</v>
      </c>
      <c r="J68" s="5">
        <f>53.7-I68-H68-G68</f>
        <v>12.400000000000006</v>
      </c>
      <c r="K68" s="5">
        <v>10.199999999999999</v>
      </c>
      <c r="L68" s="5"/>
      <c r="M68" s="5"/>
      <c r="N68" s="5"/>
      <c r="W68" s="5"/>
      <c r="X68" s="5">
        <v>53.7</v>
      </c>
      <c r="Y68" s="5"/>
    </row>
    <row r="69" spans="2:25" s="2" customFormat="1" x14ac:dyDescent="0.2">
      <c r="B69" s="2" t="s">
        <v>114</v>
      </c>
      <c r="C69" s="5"/>
      <c r="D69" s="5"/>
      <c r="E69" s="5"/>
      <c r="F69" s="5"/>
      <c r="G69" s="5">
        <v>-62.3</v>
      </c>
      <c r="H69" s="5">
        <f>-68.6-G69</f>
        <v>-6.2999999999999972</v>
      </c>
      <c r="I69" s="5">
        <f>34-H69-G69</f>
        <v>102.6</v>
      </c>
      <c r="J69" s="5">
        <f>76.3-I69-H69-G69</f>
        <v>42.3</v>
      </c>
      <c r="K69" s="5">
        <v>-22.5</v>
      </c>
      <c r="L69" s="5"/>
      <c r="M69" s="5"/>
      <c r="N69" s="5"/>
      <c r="W69" s="5"/>
      <c r="X69" s="5">
        <v>76.3</v>
      </c>
      <c r="Y69" s="5"/>
    </row>
    <row r="70" spans="2:25" s="2" customFormat="1" x14ac:dyDescent="0.2">
      <c r="B70" s="2" t="s">
        <v>115</v>
      </c>
      <c r="C70" s="5"/>
      <c r="D70" s="5"/>
      <c r="E70" s="5"/>
      <c r="F70" s="5"/>
      <c r="G70" s="5">
        <v>-0.3</v>
      </c>
      <c r="H70" s="5">
        <f>-0.7-G70</f>
        <v>-0.39999999999999997</v>
      </c>
      <c r="I70" s="5">
        <f>-1.1-H70-G70</f>
        <v>-0.40000000000000019</v>
      </c>
      <c r="J70" s="5">
        <f>-1.5-I70-H70-G70</f>
        <v>-0.39999999999999997</v>
      </c>
      <c r="K70" s="5">
        <v>-0.3</v>
      </c>
      <c r="L70" s="5"/>
      <c r="M70" s="5"/>
      <c r="N70" s="5"/>
      <c r="W70" s="5"/>
      <c r="X70" s="5">
        <v>-1.5</v>
      </c>
      <c r="Y70" s="5"/>
    </row>
    <row r="71" spans="2:25" s="2" customFormat="1" x14ac:dyDescent="0.2">
      <c r="B71" s="2" t="s">
        <v>116</v>
      </c>
      <c r="C71" s="5"/>
      <c r="D71" s="5"/>
      <c r="E71" s="5"/>
      <c r="F71" s="5"/>
      <c r="G71" s="5">
        <v>1.9</v>
      </c>
      <c r="H71" s="5">
        <f>2.3-G71</f>
        <v>0.39999999999999991</v>
      </c>
      <c r="I71" s="5">
        <f>-0.6-H71-G71</f>
        <v>-2.9</v>
      </c>
      <c r="J71" s="5">
        <v>0</v>
      </c>
      <c r="K71" s="5">
        <v>4.7</v>
      </c>
      <c r="L71" s="5"/>
      <c r="M71" s="5"/>
      <c r="N71" s="5"/>
      <c r="W71" s="5"/>
      <c r="X71" s="5">
        <v>-6.5</v>
      </c>
      <c r="Y71" s="5"/>
    </row>
    <row r="72" spans="2:25" s="2" customFormat="1" x14ac:dyDescent="0.2">
      <c r="B72" s="2" t="s">
        <v>117</v>
      </c>
      <c r="C72" s="5"/>
      <c r="D72" s="5"/>
      <c r="E72" s="5"/>
      <c r="F72" s="5"/>
      <c r="G72" s="5">
        <v>-2.6</v>
      </c>
      <c r="H72" s="5">
        <f>+-3.9-G72</f>
        <v>-1.2999999999999998</v>
      </c>
      <c r="I72" s="5">
        <f>-5.8-H72-G72</f>
        <v>-1.9</v>
      </c>
      <c r="J72" s="5">
        <f>-6.5-I72-H72-G72</f>
        <v>-0.69999999999999973</v>
      </c>
      <c r="K72" s="5">
        <v>-24</v>
      </c>
      <c r="L72" s="5"/>
      <c r="M72" s="5"/>
      <c r="N72" s="5"/>
      <c r="W72" s="5"/>
      <c r="X72" s="5">
        <v>42</v>
      </c>
      <c r="Y72" s="5"/>
    </row>
    <row r="73" spans="2:25" s="2" customFormat="1" x14ac:dyDescent="0.2">
      <c r="B73" s="2" t="s">
        <v>118</v>
      </c>
      <c r="C73" s="5"/>
      <c r="D73" s="5"/>
      <c r="E73" s="5"/>
      <c r="F73" s="5"/>
      <c r="G73" s="5">
        <v>-22.6</v>
      </c>
      <c r="H73" s="5">
        <f>-33.9-G73</f>
        <v>-11.299999999999997</v>
      </c>
      <c r="I73" s="5">
        <f>-0.4-H73-G73</f>
        <v>33.5</v>
      </c>
      <c r="J73" s="5">
        <f>42-I73-H73-G73</f>
        <v>42.4</v>
      </c>
      <c r="K73" s="5">
        <v>4.8</v>
      </c>
      <c r="L73" s="5"/>
      <c r="M73" s="5"/>
      <c r="N73" s="5"/>
      <c r="W73" s="5"/>
      <c r="X73" s="5">
        <v>22</v>
      </c>
      <c r="Y73" s="5"/>
    </row>
    <row r="74" spans="2:25" s="2" customFormat="1" x14ac:dyDescent="0.2">
      <c r="B74" s="2" t="s">
        <v>119</v>
      </c>
      <c r="C74" s="5"/>
      <c r="D74" s="5"/>
      <c r="E74" s="5"/>
      <c r="F74" s="5"/>
      <c r="G74" s="5">
        <v>6.7</v>
      </c>
      <c r="H74" s="5">
        <f>13-G74</f>
        <v>6.3</v>
      </c>
      <c r="I74" s="5">
        <f>17.2-H74-G74</f>
        <v>4.1999999999999984</v>
      </c>
      <c r="J74" s="5">
        <f>22-I74-H74-G74</f>
        <v>4.8</v>
      </c>
      <c r="K74" s="5">
        <v>-0.4</v>
      </c>
      <c r="L74" s="5"/>
      <c r="M74" s="5"/>
      <c r="N74" s="5"/>
      <c r="W74" s="5"/>
      <c r="X74" s="5">
        <v>3.8</v>
      </c>
      <c r="Y74" s="5"/>
    </row>
    <row r="75" spans="2:25" s="2" customFormat="1" x14ac:dyDescent="0.2">
      <c r="B75" s="2" t="s">
        <v>120</v>
      </c>
      <c r="C75" s="5"/>
      <c r="D75" s="5"/>
      <c r="E75" s="5"/>
      <c r="F75" s="5"/>
      <c r="G75" s="5">
        <v>-1.4</v>
      </c>
      <c r="H75" s="5">
        <f>9.6-G75</f>
        <v>11</v>
      </c>
      <c r="I75" s="5">
        <f>6.3-H75-G75</f>
        <v>-3.3000000000000003</v>
      </c>
      <c r="J75" s="5">
        <f>3.8-I75-H75-G75</f>
        <v>-2.5000000000000004</v>
      </c>
      <c r="K75" s="5">
        <v>3.3</v>
      </c>
      <c r="L75" s="5"/>
      <c r="M75" s="5"/>
      <c r="N75" s="5"/>
      <c r="W75" s="5"/>
      <c r="X75" s="5">
        <v>91.3</v>
      </c>
      <c r="Y75" s="5"/>
    </row>
    <row r="76" spans="2:25" s="2" customFormat="1" x14ac:dyDescent="0.2">
      <c r="B76" s="2" t="s">
        <v>121</v>
      </c>
      <c r="C76" s="5"/>
      <c r="D76" s="5"/>
      <c r="E76" s="5"/>
      <c r="F76" s="5"/>
      <c r="G76" s="5">
        <v>80</v>
      </c>
      <c r="H76" s="5">
        <f>90.5-G76</f>
        <v>10.5</v>
      </c>
      <c r="I76" s="5">
        <f>91.3-H76-G76</f>
        <v>0.79999999999999716</v>
      </c>
      <c r="J76" s="5">
        <f>91.3-I76-H76-G76</f>
        <v>0</v>
      </c>
      <c r="L76" s="5"/>
      <c r="M76" s="5"/>
      <c r="N76" s="5"/>
      <c r="W76" s="5"/>
      <c r="X76" s="5">
        <v>0.1</v>
      </c>
      <c r="Y76" s="5"/>
    </row>
    <row r="77" spans="2:25" s="2" customFormat="1" x14ac:dyDescent="0.2">
      <c r="B77" s="2" t="s">
        <v>122</v>
      </c>
      <c r="C77" s="5"/>
      <c r="D77" s="5"/>
      <c r="E77" s="5"/>
      <c r="F77" s="5"/>
      <c r="G77" s="5">
        <v>2.1</v>
      </c>
      <c r="H77" s="5">
        <f>-0.5-G77</f>
        <v>-2.6</v>
      </c>
      <c r="I77" s="5">
        <f>0.1-H77-G77-0.7</f>
        <v>-9.9999999999999867E-2</v>
      </c>
      <c r="J77" s="5">
        <f>0.1+6.7-I77-H77-G77</f>
        <v>7.4</v>
      </c>
      <c r="L77" s="5"/>
      <c r="M77" s="5"/>
      <c r="N77" s="5"/>
      <c r="W77" s="5"/>
      <c r="X77" s="5">
        <v>6.7</v>
      </c>
      <c r="Y77" s="5"/>
    </row>
    <row r="78" spans="2:25" s="2" customFormat="1" x14ac:dyDescent="0.2">
      <c r="B78" s="2" t="s">
        <v>76</v>
      </c>
      <c r="C78" s="5"/>
      <c r="D78" s="5"/>
      <c r="E78" s="5"/>
      <c r="F78" s="5"/>
      <c r="G78" s="5">
        <f>SUM(G63:G77)</f>
        <v>77</v>
      </c>
      <c r="H78" s="5">
        <f>SUM(H63:H77)</f>
        <v>120.90000000000002</v>
      </c>
      <c r="I78" s="5">
        <f>SUM(I63:I77)</f>
        <v>358.10000000000008</v>
      </c>
      <c r="J78" s="5">
        <f>SUM(J63:J77)</f>
        <v>317.69999999999993</v>
      </c>
      <c r="K78" s="5">
        <f>SUM(K63:K75)</f>
        <v>138</v>
      </c>
      <c r="L78" s="5"/>
      <c r="M78" s="5"/>
      <c r="N78" s="5"/>
      <c r="W78" s="5"/>
      <c r="X78" s="2">
        <f>SUM(X63:X77)</f>
        <v>874.30000000000007</v>
      </c>
      <c r="Y78" s="5"/>
    </row>
    <row r="79" spans="2:25" s="2" customFormat="1" x14ac:dyDescent="0.2">
      <c r="B79" s="2" t="s">
        <v>77</v>
      </c>
      <c r="C79" s="5"/>
      <c r="D79" s="5"/>
      <c r="E79" s="5"/>
      <c r="F79" s="5"/>
      <c r="G79" s="5">
        <v>81.7</v>
      </c>
      <c r="H79" s="5">
        <f>167.4-G79</f>
        <v>85.7</v>
      </c>
      <c r="I79" s="5">
        <f>230.1-H79-G79</f>
        <v>62.699999999999974</v>
      </c>
      <c r="J79" s="5">
        <f>296.5-I79-H79-G79</f>
        <v>66.40000000000002</v>
      </c>
      <c r="K79" s="12">
        <v>-64.900000000000006</v>
      </c>
      <c r="L79" s="5"/>
      <c r="M79" s="5"/>
      <c r="N79" s="5"/>
      <c r="W79" s="5"/>
      <c r="X79" s="2">
        <v>296.5</v>
      </c>
      <c r="Y79" s="5"/>
    </row>
    <row r="80" spans="2:25" s="2" customFormat="1" x14ac:dyDescent="0.2">
      <c r="B80" s="2" t="s">
        <v>78</v>
      </c>
      <c r="C80" s="5"/>
      <c r="D80" s="5"/>
      <c r="E80" s="5"/>
      <c r="F80" s="5"/>
      <c r="G80" s="5">
        <f>+G78-G79</f>
        <v>-4.7000000000000028</v>
      </c>
      <c r="H80" s="5">
        <f t="shared" ref="H80:J80" si="54">+H78-H79</f>
        <v>35.200000000000017</v>
      </c>
      <c r="I80" s="5">
        <f t="shared" si="54"/>
        <v>295.40000000000009</v>
      </c>
      <c r="J80" s="5">
        <f t="shared" si="54"/>
        <v>251.2999999999999</v>
      </c>
      <c r="K80" s="5">
        <f>+K79+K78</f>
        <v>73.099999999999994</v>
      </c>
      <c r="L80" s="5"/>
      <c r="M80" s="5"/>
      <c r="N80" s="5"/>
      <c r="W80" s="5"/>
      <c r="X80" s="7">
        <f>+X78-X79</f>
        <v>577.80000000000007</v>
      </c>
      <c r="Y80" s="5"/>
    </row>
    <row r="81" spans="2:25" x14ac:dyDescent="0.2">
      <c r="J81" s="5">
        <f>SUM(G80:J80)</f>
        <v>577.20000000000005</v>
      </c>
      <c r="K81" s="5">
        <f>SUM(H80:K80)</f>
        <v>655.00000000000011</v>
      </c>
    </row>
    <row r="86" spans="2:25" x14ac:dyDescent="0.2">
      <c r="B86" t="s">
        <v>81</v>
      </c>
      <c r="X86" s="5">
        <v>352000</v>
      </c>
    </row>
    <row r="87" spans="2:25" x14ac:dyDescent="0.2">
      <c r="B87" t="s">
        <v>83</v>
      </c>
      <c r="X87" s="5">
        <f>+X86/X11*1000</f>
        <v>229465.44980443286</v>
      </c>
    </row>
    <row r="88" spans="2:25" x14ac:dyDescent="0.2">
      <c r="B88" t="s">
        <v>84</v>
      </c>
      <c r="X88" s="5">
        <f>X87/371</f>
        <v>618.50525553755494</v>
      </c>
      <c r="Y88" s="8"/>
    </row>
    <row r="89" spans="2:25" x14ac:dyDescent="0.2">
      <c r="B89" t="s">
        <v>82</v>
      </c>
      <c r="X89" s="8">
        <f>X15/352</f>
        <v>19.21590909090909</v>
      </c>
    </row>
    <row r="90" spans="2:25" x14ac:dyDescent="0.2">
      <c r="X90" s="8"/>
    </row>
    <row r="92" spans="2:25" x14ac:dyDescent="0.2">
      <c r="B92" t="s">
        <v>97</v>
      </c>
      <c r="Q92" s="10">
        <f t="shared" ref="Q92:W92" si="55">+Q4/P4-1</f>
        <v>6.3517915309446282E-2</v>
      </c>
      <c r="R92" s="10">
        <f t="shared" si="55"/>
        <v>5.8192955589586592E-2</v>
      </c>
      <c r="S92" s="10">
        <f t="shared" si="55"/>
        <v>4.6309696092619479E-2</v>
      </c>
      <c r="T92" s="10">
        <f t="shared" si="55"/>
        <v>4.2876901798063694E-2</v>
      </c>
      <c r="U92" s="10">
        <f t="shared" si="55"/>
        <v>5.0397877984084793E-2</v>
      </c>
      <c r="V92" s="10">
        <f t="shared" si="55"/>
        <v>4.5454545454545414E-2</v>
      </c>
      <c r="W92" s="10">
        <f t="shared" si="55"/>
        <v>1.0869565217391353E-2</v>
      </c>
      <c r="X92" s="10">
        <f>+X4/W4-1</f>
        <v>1.0752688172043001E-2</v>
      </c>
    </row>
    <row r="93" spans="2:25" x14ac:dyDescent="0.2">
      <c r="B93" t="s">
        <v>98</v>
      </c>
      <c r="Q93" s="10"/>
      <c r="R93" s="10">
        <f t="shared" ref="R93:W93" si="56">+R5/Q5-1</f>
        <v>5.2459016393442637E-2</v>
      </c>
      <c r="S93" s="10">
        <f t="shared" si="56"/>
        <v>3.1152647975077885E-2</v>
      </c>
      <c r="T93" s="10">
        <f t="shared" si="56"/>
        <v>6.9486404833836835E-2</v>
      </c>
      <c r="U93" s="10">
        <f t="shared" si="56"/>
        <v>9.0395480225988756E-2</v>
      </c>
      <c r="V93" s="10">
        <f t="shared" si="56"/>
        <v>0.11398963730569944</v>
      </c>
      <c r="W93" s="10">
        <f t="shared" si="56"/>
        <v>7.9069767441860561E-2</v>
      </c>
      <c r="X93" s="10">
        <f>+X5/W5-1</f>
        <v>3.4482758620689724E-2</v>
      </c>
    </row>
    <row r="94" spans="2:25" x14ac:dyDescent="0.2">
      <c r="B94" t="s">
        <v>100</v>
      </c>
      <c r="Q94" s="10">
        <f t="shared" ref="Q94:W94" si="57">Q11/P11-1</f>
        <v>0.58385093167701863</v>
      </c>
      <c r="R94" s="10">
        <f t="shared" si="57"/>
        <v>5.9803921568627461E-2</v>
      </c>
      <c r="S94" s="10">
        <f t="shared" si="57"/>
        <v>4.532839962997226E-2</v>
      </c>
      <c r="T94" s="10">
        <f t="shared" si="57"/>
        <v>5.7522123893805288E-2</v>
      </c>
      <c r="U94" s="10">
        <f t="shared" si="57"/>
        <v>7.7824267782426793E-2</v>
      </c>
      <c r="V94" s="10">
        <f t="shared" si="57"/>
        <v>0.10791925465838514</v>
      </c>
      <c r="W94" s="10">
        <f t="shared" si="57"/>
        <v>4.9053959355290777E-2</v>
      </c>
      <c r="X94" s="10">
        <f>X11/W11-1</f>
        <v>2.4716098864395519E-2</v>
      </c>
      <c r="Y94" s="10">
        <f t="shared" ref="Y94" si="58">Y11/X11-1</f>
        <v>1.3037809647979071E-2</v>
      </c>
    </row>
    <row r="97" spans="2:24" x14ac:dyDescent="0.2">
      <c r="B97" t="s">
        <v>102</v>
      </c>
      <c r="W97" s="5">
        <f>+X97+56000</f>
        <v>206000</v>
      </c>
      <c r="X97" s="5">
        <v>150000</v>
      </c>
    </row>
    <row r="99" spans="2:24" x14ac:dyDescent="0.2">
      <c r="B99" t="s">
        <v>103</v>
      </c>
      <c r="X99" s="36">
        <v>0.122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2015-11-17T00:11:01Z</dcterms:created>
  <dcterms:modified xsi:type="dcterms:W3CDTF">2015-11-22T20:51:50Z</dcterms:modified>
</cp:coreProperties>
</file>