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750" windowHeight="1231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2" l="1"/>
  <c r="AF6" i="2" l="1"/>
  <c r="AE6" i="2"/>
  <c r="AD6" i="2"/>
  <c r="AC6" i="2"/>
  <c r="AB6" i="2"/>
  <c r="V6" i="2"/>
  <c r="U6" i="2"/>
  <c r="T6" i="2"/>
  <c r="U7" i="2"/>
  <c r="T7" i="2"/>
  <c r="S7" i="2"/>
  <c r="AA6" i="2"/>
  <c r="Z6" i="2"/>
  <c r="Y6" i="2"/>
  <c r="X6" i="2"/>
  <c r="W6" i="2"/>
  <c r="Z25" i="2"/>
  <c r="Y25" i="2"/>
  <c r="X25" i="2"/>
  <c r="W25" i="2"/>
  <c r="V25" i="2"/>
  <c r="U25" i="2"/>
  <c r="T25" i="2"/>
  <c r="S25" i="2"/>
  <c r="T2" i="2"/>
  <c r="S2" i="2" s="1"/>
  <c r="R2" i="2" s="1"/>
  <c r="Q2" i="2" s="1"/>
  <c r="P2" i="2" s="1"/>
  <c r="Y2" i="2"/>
  <c r="X2" i="2" s="1"/>
  <c r="W2" i="2" s="1"/>
  <c r="V2" i="2" s="1"/>
  <c r="U2" i="2" s="1"/>
  <c r="Z2" i="2"/>
  <c r="I26" i="2" l="1"/>
  <c r="J26" i="2" l="1"/>
  <c r="I62" i="2"/>
  <c r="I64" i="2" s="1"/>
  <c r="J62" i="2"/>
  <c r="J64" i="2" s="1"/>
  <c r="N12" i="2"/>
  <c r="M12" i="2"/>
  <c r="M16" i="2" s="1"/>
  <c r="L12" i="2"/>
  <c r="L16" i="2" s="1"/>
  <c r="K12" i="2"/>
  <c r="AF12" i="2" s="1"/>
  <c r="AF16" i="2" s="1"/>
  <c r="N30" i="2"/>
  <c r="M30" i="2"/>
  <c r="L30" i="2"/>
  <c r="K30" i="2"/>
  <c r="J30" i="2"/>
  <c r="I30" i="2"/>
  <c r="H30" i="2"/>
  <c r="G30" i="2"/>
  <c r="F30" i="2"/>
  <c r="E30" i="2"/>
  <c r="D30" i="2"/>
  <c r="C30" i="2"/>
  <c r="I46" i="2"/>
  <c r="I47" i="2"/>
  <c r="I48" i="2" s="1"/>
  <c r="I50" i="2" s="1"/>
  <c r="I35" i="2"/>
  <c r="I37" i="2"/>
  <c r="I33" i="2"/>
  <c r="I39" i="2"/>
  <c r="I32" i="2"/>
  <c r="J32" i="2"/>
  <c r="J50" i="2"/>
  <c r="J48" i="2"/>
  <c r="J39" i="2"/>
  <c r="J33" i="2"/>
  <c r="J37" i="2"/>
  <c r="AC25" i="2"/>
  <c r="AB25" i="2"/>
  <c r="AW32" i="2"/>
  <c r="AE30" i="2"/>
  <c r="AD30" i="2"/>
  <c r="AC30" i="2"/>
  <c r="AF23" i="2"/>
  <c r="AG23" i="2" s="1"/>
  <c r="AH23" i="2" s="1"/>
  <c r="AI23" i="2" s="1"/>
  <c r="AF20" i="2"/>
  <c r="AF18" i="2"/>
  <c r="AF15" i="2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F14" i="2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F13" i="2"/>
  <c r="AG13" i="2" s="1"/>
  <c r="AH13" i="2" s="1"/>
  <c r="AI13" i="2" s="1"/>
  <c r="AJ13" i="2" s="1"/>
  <c r="AK13" i="2" s="1"/>
  <c r="AL13" i="2" s="1"/>
  <c r="AM13" i="2" s="1"/>
  <c r="L25" i="2"/>
  <c r="K25" i="2"/>
  <c r="N25" i="2"/>
  <c r="M25" i="2"/>
  <c r="N16" i="2"/>
  <c r="N11" i="2"/>
  <c r="M11" i="2"/>
  <c r="M28" i="2" s="1"/>
  <c r="L11" i="2"/>
  <c r="N9" i="2"/>
  <c r="M9" i="2"/>
  <c r="L9" i="2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C16" i="2"/>
  <c r="C11" i="2"/>
  <c r="C28" i="2" s="1"/>
  <c r="G25" i="2"/>
  <c r="G16" i="2"/>
  <c r="G11" i="2"/>
  <c r="D16" i="2"/>
  <c r="D11" i="2"/>
  <c r="D28" i="2" s="1"/>
  <c r="H25" i="2"/>
  <c r="H16" i="2"/>
  <c r="H11" i="2"/>
  <c r="E16" i="2"/>
  <c r="E11" i="2"/>
  <c r="E28" i="2" s="1"/>
  <c r="I25" i="2"/>
  <c r="I16" i="2"/>
  <c r="I11" i="2"/>
  <c r="I28" i="2" s="1"/>
  <c r="K11" i="2"/>
  <c r="K16" i="2"/>
  <c r="AE25" i="2"/>
  <c r="AD25" i="2"/>
  <c r="J25" i="2"/>
  <c r="F16" i="2"/>
  <c r="F11" i="2"/>
  <c r="F28" i="2" s="1"/>
  <c r="J16" i="2"/>
  <c r="J11" i="2"/>
  <c r="J28" i="2" s="1"/>
  <c r="AD16" i="2"/>
  <c r="AC16" i="2"/>
  <c r="AE16" i="2"/>
  <c r="AE11" i="2"/>
  <c r="AE17" i="2" s="1"/>
  <c r="AD11" i="2"/>
  <c r="AD28" i="2" s="1"/>
  <c r="AC11" i="2"/>
  <c r="AC28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N5" i="1"/>
  <c r="AW29" i="2" s="1"/>
  <c r="N4" i="1"/>
  <c r="N7" i="1" s="1"/>
  <c r="M10" i="2" l="1"/>
  <c r="AF11" i="2"/>
  <c r="AF25" i="2"/>
  <c r="AG25" i="2"/>
  <c r="AG12" i="2"/>
  <c r="AG30" i="2" s="1"/>
  <c r="AF30" i="2"/>
  <c r="N17" i="2"/>
  <c r="N19" i="2" s="1"/>
  <c r="N21" i="2" s="1"/>
  <c r="N22" i="2" s="1"/>
  <c r="AG11" i="2"/>
  <c r="AG28" i="2" s="1"/>
  <c r="AN13" i="2"/>
  <c r="AG16" i="2"/>
  <c r="AG17" i="2" s="1"/>
  <c r="AG29" i="2" s="1"/>
  <c r="L10" i="2"/>
  <c r="AF10" i="2"/>
  <c r="AF28" i="2"/>
  <c r="M17" i="2"/>
  <c r="AF17" i="2"/>
  <c r="N28" i="2"/>
  <c r="L28" i="2"/>
  <c r="L17" i="2"/>
  <c r="AJ23" i="2"/>
  <c r="K17" i="2"/>
  <c r="K19" i="2" s="1"/>
  <c r="K21" i="2" s="1"/>
  <c r="N10" i="2"/>
  <c r="K10" i="2"/>
  <c r="K28" i="2"/>
  <c r="C17" i="2"/>
  <c r="G17" i="2"/>
  <c r="G29" i="2" s="1"/>
  <c r="G28" i="2"/>
  <c r="D17" i="2"/>
  <c r="H17" i="2"/>
  <c r="H19" i="2" s="1"/>
  <c r="H21" i="2" s="1"/>
  <c r="H22" i="2" s="1"/>
  <c r="H28" i="2"/>
  <c r="E17" i="2"/>
  <c r="I17" i="2"/>
  <c r="J17" i="2"/>
  <c r="J19" i="2" s="1"/>
  <c r="J21" i="2" s="1"/>
  <c r="AE19" i="2"/>
  <c r="AE21" i="2" s="1"/>
  <c r="AE22" i="2" s="1"/>
  <c r="AE29" i="2"/>
  <c r="AE28" i="2"/>
  <c r="AC17" i="2"/>
  <c r="AD17" i="2"/>
  <c r="F17" i="2"/>
  <c r="J22" i="2" l="1"/>
  <c r="J52" i="2"/>
  <c r="F19" i="2"/>
  <c r="F21" i="2" s="1"/>
  <c r="F22" i="2" s="1"/>
  <c r="F29" i="2"/>
  <c r="N29" i="2"/>
  <c r="K22" i="2"/>
  <c r="K32" i="2"/>
  <c r="AG10" i="2"/>
  <c r="AH12" i="2"/>
  <c r="AH11" i="2"/>
  <c r="AH25" i="2"/>
  <c r="AO13" i="2"/>
  <c r="G19" i="2"/>
  <c r="G21" i="2" s="1"/>
  <c r="G22" i="2" s="1"/>
  <c r="E19" i="2"/>
  <c r="E21" i="2" s="1"/>
  <c r="E22" i="2" s="1"/>
  <c r="E29" i="2"/>
  <c r="H29" i="2"/>
  <c r="D19" i="2"/>
  <c r="D21" i="2" s="1"/>
  <c r="D22" i="2" s="1"/>
  <c r="D29" i="2"/>
  <c r="M19" i="2"/>
  <c r="M21" i="2" s="1"/>
  <c r="M22" i="2" s="1"/>
  <c r="M29" i="2"/>
  <c r="I19" i="2"/>
  <c r="I21" i="2" s="1"/>
  <c r="I29" i="2"/>
  <c r="AF29" i="2"/>
  <c r="AF19" i="2"/>
  <c r="AF21" i="2" s="1"/>
  <c r="L19" i="2"/>
  <c r="L21" i="2" s="1"/>
  <c r="L22" i="2" s="1"/>
  <c r="L29" i="2"/>
  <c r="C19" i="2"/>
  <c r="C21" i="2" s="1"/>
  <c r="C22" i="2" s="1"/>
  <c r="C29" i="2"/>
  <c r="J29" i="2"/>
  <c r="K29" i="2"/>
  <c r="AK23" i="2"/>
  <c r="AD19" i="2"/>
  <c r="AD21" i="2" s="1"/>
  <c r="AD22" i="2" s="1"/>
  <c r="AD29" i="2"/>
  <c r="AC19" i="2"/>
  <c r="AC21" i="2" s="1"/>
  <c r="AC22" i="2" s="1"/>
  <c r="AC29" i="2"/>
  <c r="I22" i="2" l="1"/>
  <c r="I52" i="2"/>
  <c r="L32" i="2"/>
  <c r="M32" i="2" s="1"/>
  <c r="N32" i="2" s="1"/>
  <c r="AH10" i="2"/>
  <c r="AH28" i="2"/>
  <c r="AH30" i="2"/>
  <c r="AH16" i="2"/>
  <c r="AH17" i="2" s="1"/>
  <c r="AH29" i="2" s="1"/>
  <c r="AI11" i="2"/>
  <c r="AI25" i="2"/>
  <c r="AI12" i="2"/>
  <c r="AP13" i="2"/>
  <c r="AF22" i="2"/>
  <c r="AF32" i="2"/>
  <c r="AL23" i="2"/>
  <c r="AJ11" i="2" l="1"/>
  <c r="AJ12" i="2"/>
  <c r="AJ25" i="2"/>
  <c r="AI30" i="2"/>
  <c r="AI16" i="2"/>
  <c r="AI17" i="2" s="1"/>
  <c r="AI29" i="2" s="1"/>
  <c r="AI10" i="2"/>
  <c r="AI28" i="2"/>
  <c r="AQ13" i="2"/>
  <c r="AG18" i="2"/>
  <c r="AG19" i="2" s="1"/>
  <c r="AM23" i="2"/>
  <c r="AJ30" i="2" l="1"/>
  <c r="AJ16" i="2"/>
  <c r="AJ17" i="2" s="1"/>
  <c r="AJ29" i="2" s="1"/>
  <c r="AJ10" i="2"/>
  <c r="AJ28" i="2"/>
  <c r="AK12" i="2"/>
  <c r="AK11" i="2"/>
  <c r="AK25" i="2"/>
  <c r="AR13" i="2"/>
  <c r="AG20" i="2"/>
  <c r="AG21" i="2" s="1"/>
  <c r="AN23" i="2"/>
  <c r="AK10" i="2" l="1"/>
  <c r="AK28" i="2"/>
  <c r="AL12" i="2"/>
  <c r="AL11" i="2"/>
  <c r="AL25" i="2"/>
  <c r="AK30" i="2"/>
  <c r="AK16" i="2"/>
  <c r="AK17" i="2" s="1"/>
  <c r="AK29" i="2" s="1"/>
  <c r="AS13" i="2"/>
  <c r="AG22" i="2"/>
  <c r="AG32" i="2"/>
  <c r="AO23" i="2"/>
  <c r="AL30" i="2" l="1"/>
  <c r="AL16" i="2"/>
  <c r="AL17" i="2" s="1"/>
  <c r="AL29" i="2" s="1"/>
  <c r="AL10" i="2"/>
  <c r="AL28" i="2"/>
  <c r="AM25" i="2"/>
  <c r="AM12" i="2"/>
  <c r="AM11" i="2"/>
  <c r="AT13" i="2"/>
  <c r="AH18" i="2"/>
  <c r="AH19" i="2" s="1"/>
  <c r="AH20" i="2" s="1"/>
  <c r="AH21" i="2" s="1"/>
  <c r="AH32" i="2" s="1"/>
  <c r="AP23" i="2"/>
  <c r="AM30" i="2" l="1"/>
  <c r="AM16" i="2"/>
  <c r="AM17" i="2" s="1"/>
  <c r="AM29" i="2" s="1"/>
  <c r="AM10" i="2"/>
  <c r="AM28" i="2"/>
  <c r="AN25" i="2"/>
  <c r="AN12" i="2"/>
  <c r="AN11" i="2"/>
  <c r="AI18" i="2"/>
  <c r="AI19" i="2" s="1"/>
  <c r="AH22" i="2"/>
  <c r="AQ23" i="2"/>
  <c r="AN30" i="2" l="1"/>
  <c r="AN16" i="2"/>
  <c r="AN17" i="2" s="1"/>
  <c r="AN29" i="2" s="1"/>
  <c r="AN10" i="2"/>
  <c r="AN28" i="2"/>
  <c r="AO25" i="2"/>
  <c r="AO11" i="2"/>
  <c r="AO12" i="2"/>
  <c r="AI20" i="2"/>
  <c r="AI21" i="2" s="1"/>
  <c r="AR23" i="2"/>
  <c r="AO10" i="2" l="1"/>
  <c r="AO28" i="2"/>
  <c r="AO30" i="2"/>
  <c r="AO16" i="2"/>
  <c r="AO17" i="2" s="1"/>
  <c r="AO29" i="2" s="1"/>
  <c r="AP25" i="2"/>
  <c r="AP12" i="2"/>
  <c r="AP11" i="2"/>
  <c r="AI22" i="2"/>
  <c r="AI32" i="2"/>
  <c r="AJ18" i="2" s="1"/>
  <c r="AJ19" i="2" s="1"/>
  <c r="AJ20" i="2" s="1"/>
  <c r="AJ21" i="2" s="1"/>
  <c r="AJ22" i="2" s="1"/>
  <c r="AS23" i="2"/>
  <c r="AP10" i="2" l="1"/>
  <c r="AP28" i="2"/>
  <c r="AQ25" i="2"/>
  <c r="AQ12" i="2"/>
  <c r="AQ11" i="2"/>
  <c r="AP30" i="2"/>
  <c r="AP16" i="2"/>
  <c r="AP17" i="2" s="1"/>
  <c r="AP29" i="2" s="1"/>
  <c r="AJ32" i="2"/>
  <c r="AK18" i="2" s="1"/>
  <c r="AK19" i="2" s="1"/>
  <c r="AT23" i="2"/>
  <c r="AQ10" i="2" l="1"/>
  <c r="AQ28" i="2"/>
  <c r="AQ30" i="2"/>
  <c r="AQ16" i="2"/>
  <c r="AQ17" i="2" s="1"/>
  <c r="AQ29" i="2" s="1"/>
  <c r="AR25" i="2"/>
  <c r="AR12" i="2"/>
  <c r="AR11" i="2"/>
  <c r="AR28" i="2" s="1"/>
  <c r="AK20" i="2"/>
  <c r="AK21" i="2" s="1"/>
  <c r="AR10" i="2" l="1"/>
  <c r="AS25" i="2"/>
  <c r="AS12" i="2"/>
  <c r="AS11" i="2"/>
  <c r="AS28" i="2" s="1"/>
  <c r="AR30" i="2"/>
  <c r="AR16" i="2"/>
  <c r="AR17" i="2" s="1"/>
  <c r="AR29" i="2" s="1"/>
  <c r="AK22" i="2"/>
  <c r="AK32" i="2"/>
  <c r="AS30" i="2" l="1"/>
  <c r="AS16" i="2"/>
  <c r="AS17" i="2" s="1"/>
  <c r="AS29" i="2" s="1"/>
  <c r="AS10" i="2"/>
  <c r="AT25" i="2"/>
  <c r="AT12" i="2"/>
  <c r="AT11" i="2"/>
  <c r="AT28" i="2" s="1"/>
  <c r="AL18" i="2"/>
  <c r="AL19" i="2" s="1"/>
  <c r="AL20" i="2" s="1"/>
  <c r="AL21" i="2" s="1"/>
  <c r="AL22" i="2" s="1"/>
  <c r="AT30" i="2" l="1"/>
  <c r="AT16" i="2"/>
  <c r="AT17" i="2" s="1"/>
  <c r="AT29" i="2" s="1"/>
  <c r="AT10" i="2"/>
  <c r="AL32" i="2"/>
  <c r="AM18" i="2" l="1"/>
  <c r="AM19" i="2" s="1"/>
  <c r="AM20" i="2" s="1"/>
  <c r="AM21" i="2" s="1"/>
  <c r="AM22" i="2" s="1"/>
  <c r="AM32" i="2" l="1"/>
  <c r="AN18" i="2" l="1"/>
  <c r="AN19" i="2" s="1"/>
  <c r="AN20" i="2" s="1"/>
  <c r="AN21" i="2" s="1"/>
  <c r="AN22" i="2" s="1"/>
  <c r="AN32" i="2" l="1"/>
  <c r="AO18" i="2" l="1"/>
  <c r="AO19" i="2" s="1"/>
  <c r="AO20" i="2" l="1"/>
  <c r="AO21" i="2" s="1"/>
  <c r="AO22" i="2" l="1"/>
  <c r="AO32" i="2"/>
  <c r="AP18" i="2" l="1"/>
  <c r="AP19" i="2" s="1"/>
  <c r="AP20" i="2" l="1"/>
  <c r="AP21" i="2" s="1"/>
  <c r="AP22" i="2" l="1"/>
  <c r="AP32" i="2"/>
  <c r="AQ18" i="2" l="1"/>
  <c r="AQ19" i="2" s="1"/>
  <c r="AQ20" i="2" l="1"/>
  <c r="AQ21" i="2"/>
  <c r="AQ22" i="2" l="1"/>
  <c r="AQ32" i="2"/>
  <c r="AR18" i="2" l="1"/>
  <c r="AR19" i="2" s="1"/>
  <c r="AR20" i="2" l="1"/>
  <c r="AR21" i="2" s="1"/>
  <c r="AR22" i="2" l="1"/>
  <c r="AR32" i="2"/>
  <c r="AS18" i="2" l="1"/>
  <c r="AS19" i="2" s="1"/>
  <c r="AS20" i="2" l="1"/>
  <c r="AS21" i="2" s="1"/>
  <c r="AS22" i="2" l="1"/>
  <c r="AS32" i="2"/>
  <c r="AT18" i="2" l="1"/>
  <c r="AT19" i="2" s="1"/>
  <c r="AT20" i="2" l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AW28" i="2" s="1"/>
  <c r="AW30" i="2" s="1"/>
  <c r="AW31" i="2" s="1"/>
  <c r="AW33" i="2" s="1"/>
  <c r="AT22" i="2" l="1"/>
  <c r="AT32" i="2"/>
</calcChain>
</file>

<file path=xl/comments1.xml><?xml version="1.0" encoding="utf-8"?>
<comments xmlns="http://schemas.openxmlformats.org/spreadsheetml/2006/main">
  <authors>
    <author>Martin Shkreli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paypal split
</t>
        </r>
      </text>
    </comment>
  </commentList>
</comments>
</file>

<file path=xl/sharedStrings.xml><?xml version="1.0" encoding="utf-8"?>
<sst xmlns="http://schemas.openxmlformats.org/spreadsheetml/2006/main" count="99" uniqueCount="89">
  <si>
    <t>Price</t>
  </si>
  <si>
    <t>Shares</t>
  </si>
  <si>
    <t>Q415</t>
  </si>
  <si>
    <t>MC</t>
  </si>
  <si>
    <t>Cash</t>
  </si>
  <si>
    <t>Debt</t>
  </si>
  <si>
    <t>EV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</si>
  <si>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</si>
  <si>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</si>
  <si>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</si>
  <si>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</si>
  <si>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</si>
  <si>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</si>
  <si>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</si>
  <si>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</si>
  <si>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</si>
  <si>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</si>
  <si>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</si>
  <si>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</si>
  <si>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</si>
  <si>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Gross Margin</t>
  </si>
  <si>
    <t>COGS</t>
  </si>
  <si>
    <t>Gross Profit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</si>
  <si>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</si>
  <si>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</si>
  <si>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</si>
  <si>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</si>
  <si>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</si>
  <si>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</si>
  <si>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</si>
  <si>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Bad Debt</t>
  </si>
  <si>
    <t>G&amp;A</t>
  </si>
  <si>
    <t>R&amp;D</t>
  </si>
  <si>
    <t>S&amp;M</t>
  </si>
  <si>
    <t>GMV</t>
  </si>
  <si>
    <t>Buyer Base</t>
  </si>
  <si>
    <t>Revenue Growth y/y</t>
  </si>
  <si>
    <t>Operating Margin</t>
  </si>
  <si>
    <t>Marketplaces (Historical)</t>
  </si>
  <si>
    <t>S&amp;M % of sales</t>
  </si>
  <si>
    <t>Net Cash</t>
  </si>
  <si>
    <t>Maturity</t>
  </si>
  <si>
    <t>Discount</t>
  </si>
  <si>
    <t>NPV</t>
  </si>
  <si>
    <t>Value</t>
  </si>
  <si>
    <t>Share</t>
  </si>
  <si>
    <t>Current</t>
  </si>
  <si>
    <t>Change</t>
  </si>
  <si>
    <t>A/R</t>
  </si>
  <si>
    <t>OCA</t>
  </si>
  <si>
    <t>PP&amp;E</t>
  </si>
  <si>
    <t>Goodwill</t>
  </si>
  <si>
    <t>OLTA</t>
  </si>
  <si>
    <t>Assets</t>
  </si>
  <si>
    <t>A/P</t>
  </si>
  <si>
    <t>A/E</t>
  </si>
  <si>
    <t>D/R</t>
  </si>
  <si>
    <t>D/T</t>
  </si>
  <si>
    <t>OLTL</t>
  </si>
  <si>
    <t>Liabilities</t>
  </si>
  <si>
    <t>S/E</t>
  </si>
  <si>
    <t>L+S/E</t>
  </si>
  <si>
    <t>Stubhub</t>
  </si>
  <si>
    <t>Classifieds</t>
  </si>
  <si>
    <t>Segment</t>
  </si>
  <si>
    <t>Model NI</t>
  </si>
  <si>
    <t>Reported NI</t>
  </si>
  <si>
    <t>CapEx</t>
  </si>
  <si>
    <t>FCF</t>
  </si>
  <si>
    <t>CFFO</t>
  </si>
  <si>
    <t>Discontinued</t>
  </si>
  <si>
    <t>Working Capital</t>
  </si>
  <si>
    <t>Gain on Sale</t>
  </si>
  <si>
    <t>SBC</t>
  </si>
  <si>
    <t>D&amp;A</t>
  </si>
  <si>
    <t>Transaction Losses</t>
  </si>
  <si>
    <t>Amazon Products</t>
  </si>
  <si>
    <t>Ebay Marketplace</t>
  </si>
  <si>
    <t>Competition</t>
  </si>
  <si>
    <t>AMZN</t>
  </si>
  <si>
    <t>S</t>
  </si>
  <si>
    <t>W</t>
  </si>
  <si>
    <t>O</t>
  </si>
  <si>
    <t>T</t>
  </si>
  <si>
    <t>Doesn't compete with customers</t>
  </si>
  <si>
    <t>Crappy website</t>
  </si>
  <si>
    <t>Fix website</t>
  </si>
  <si>
    <t>?</t>
  </si>
  <si>
    <t>GMV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</si>
</sst>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</xdr:colOff>
      <xdr:row>0</xdr:row>
      <xdr:rowOff>0</xdr:rowOff>
    </xdr:from>
    <xdr:to>
      <xdr:col>31</xdr:col>
      <xdr:colOff>19050</xdr:colOff>
      <xdr:row>61</xdr:row>
      <xdr:rowOff>142875</xdr:rowOff>
    </xdr:to>
    <xdr:cxnSp macro="">
      <xdr:nvCxnSpPr>
        <xdr:cNvPr id="3" name="Straight Connector 2"/>
        <xdr:cNvCxnSpPr/>
      </xdr:nvCxnSpPr>
      <xdr:spPr>
        <a:xfrm>
          <a:off x="12811125" y="0"/>
          <a:ext cx="0" cy="9696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0</xdr:row>
      <xdr:rowOff>19050</xdr:rowOff>
    </xdr:from>
    <xdr:to>
      <xdr:col>10</xdr:col>
      <xdr:colOff>28575</xdr:colOff>
      <xdr:row>73</xdr:row>
      <xdr:rowOff>66675</xdr:rowOff>
    </xdr:to>
    <xdr:cxnSp macro="">
      <xdr:nvCxnSpPr>
        <xdr:cNvPr id="6" name="Straight Connector 5"/>
        <xdr:cNvCxnSpPr/>
      </xdr:nvCxnSpPr>
      <xdr:spPr>
        <a:xfrm>
          <a:off x="6724650" y="19050"/>
          <a:ext cx="0" cy="1154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workbookViewId="0">
      <selection activeCell="D4" sqref="D4"/>
    </sheetView>
  </sheetViews>
  <sheetFormatPr defaultRowHeight="12.75" x14ac:dyDescent="0.2"/>
  <cols>
    <col min="2" max="2" width="16.140625" bestFit="1" customWidth="1"/>
    <col min="3" max="3" width="10.85546875" bestFit="1" customWidth="1"/>
    <col min="4" max="4" width="28.5703125" bestFit="1" customWidth="1"/>
    <col min="5" max="5" width="14.7109375" customWidth="1"/>
    <col min="6" max="6" width="12.5703125" customWidth="1"/>
    <col min="7" max="7" width="10.7109375" customWidth="1"/>
  </cols>
  <sheetData>
    <row r="2" spans="2:15" x14ac:dyDescent="0.2">
      <c r="B2" s="19" t="s">
        <v>64</v>
      </c>
      <c r="C2" s="20" t="s">
        <v>78</v>
      </c>
      <c r="D2" s="22" t="s">
        <v>80</v>
      </c>
      <c r="E2" s="22" t="s">
        <v>81</v>
      </c>
      <c r="F2" s="22" t="s">
        <v>82</v>
      </c>
      <c r="G2" s="22" t="s">
        <v>83</v>
      </c>
      <c r="H2" s="20"/>
      <c r="I2" s="20"/>
      <c r="J2" s="21"/>
      <c r="M2" t="s">
        <v>0</v>
      </c>
      <c r="N2" s="1">
        <v>24.34</v>
      </c>
    </row>
    <row r="3" spans="2:15" x14ac:dyDescent="0.2">
      <c r="B3" s="13" t="s">
        <v>77</v>
      </c>
      <c r="C3" s="14" t="s">
        <v>79</v>
      </c>
      <c r="D3" s="23" t="s">
        <v>84</v>
      </c>
      <c r="E3" s="23" t="s">
        <v>85</v>
      </c>
      <c r="F3" s="23" t="s">
        <v>86</v>
      </c>
      <c r="G3" s="23" t="s">
        <v>87</v>
      </c>
      <c r="H3" s="14"/>
      <c r="I3" s="14"/>
      <c r="J3" s="15"/>
      <c r="M3" t="s">
        <v>1</v>
      </c>
      <c r="N3" s="2">
        <v>1178</v>
      </c>
      <c r="O3" s="3" t="s">
        <v>2</v>
      </c>
    </row>
    <row r="4" spans="2:15" x14ac:dyDescent="0.2">
      <c r="B4" s="13" t="s">
        <v>62</v>
      </c>
      <c r="C4" s="14"/>
      <c r="D4" s="23"/>
      <c r="E4" s="23"/>
      <c r="F4" s="23"/>
      <c r="G4" s="23"/>
      <c r="H4" s="14"/>
      <c r="I4" s="14"/>
      <c r="J4" s="15"/>
      <c r="M4" t="s">
        <v>3</v>
      </c>
      <c r="N4" s="2">
        <f>+N3*N2</f>
        <v>28672.52</v>
      </c>
    </row>
    <row r="5" spans="2:15" x14ac:dyDescent="0.2">
      <c r="B5" s="13" t="s">
        <v>63</v>
      </c>
      <c r="C5" s="14"/>
      <c r="D5" s="23"/>
      <c r="E5" s="23"/>
      <c r="F5" s="23"/>
      <c r="G5" s="23"/>
      <c r="H5" s="14"/>
      <c r="I5" s="14"/>
      <c r="J5" s="15"/>
      <c r="M5" t="s">
        <v>4</v>
      </c>
      <c r="N5" s="2">
        <f>1832+4299+3391</f>
        <v>9522</v>
      </c>
      <c r="O5" s="3" t="s">
        <v>2</v>
      </c>
    </row>
    <row r="6" spans="2:15" x14ac:dyDescent="0.2">
      <c r="B6" s="13"/>
      <c r="C6" s="14"/>
      <c r="D6" s="23"/>
      <c r="E6" s="23"/>
      <c r="F6" s="23"/>
      <c r="G6" s="23"/>
      <c r="H6" s="14"/>
      <c r="I6" s="14"/>
      <c r="J6" s="15"/>
      <c r="M6" t="s">
        <v>5</v>
      </c>
      <c r="N6" s="2">
        <v>6779</v>
      </c>
      <c r="O6" s="3" t="s">
        <v>2</v>
      </c>
    </row>
    <row r="7" spans="2:15" x14ac:dyDescent="0.2">
      <c r="B7" s="13"/>
      <c r="C7" s="14"/>
      <c r="D7" s="23"/>
      <c r="E7" s="23"/>
      <c r="F7" s="23"/>
      <c r="G7" s="23"/>
      <c r="H7" s="14"/>
      <c r="I7" s="14"/>
      <c r="J7" s="15"/>
      <c r="M7" t="s">
        <v>6</v>
      </c>
      <c r="N7" s="2">
        <f>+N4-N5+N6</f>
        <v>25929.52</v>
      </c>
    </row>
    <row r="8" spans="2:15" x14ac:dyDescent="0.2">
      <c r="B8" s="13"/>
      <c r="C8" s="14"/>
      <c r="D8" s="23"/>
      <c r="E8" s="23"/>
      <c r="F8" s="23"/>
      <c r="G8" s="23"/>
      <c r="H8" s="14"/>
      <c r="I8" s="14"/>
      <c r="J8" s="15"/>
    </row>
    <row r="9" spans="2:15" x14ac:dyDescent="0.2">
      <c r="B9" s="16"/>
      <c r="C9" s="17"/>
      <c r="D9" s="24"/>
      <c r="E9" s="24"/>
      <c r="F9" s="24"/>
      <c r="G9" s="24"/>
      <c r="H9" s="17"/>
      <c r="I9" s="17"/>
      <c r="J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L64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X25" sqref="X25"/>
    </sheetView>
  </sheetViews>
  <sheetFormatPr defaultRowHeight="12.75" x14ac:dyDescent="0.2"/>
  <cols>
    <col min="2" max="2" width="18.140625" bestFit="1" customWidth="1"/>
    <col min="3" max="39" width="9.140625" style="3"/>
    <col min="49" max="49" width="8.42578125" customWidth="1"/>
  </cols>
  <sheetData>
    <row r="1" spans="1:46" x14ac:dyDescent="0.2">
      <c r="A1" s="4" t="s">
        <v>7</v>
      </c>
    </row>
    <row r="2" spans="1:4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2</v>
      </c>
      <c r="K2" s="3" t="s">
        <v>16</v>
      </c>
      <c r="L2" s="3" t="s">
        <v>17</v>
      </c>
      <c r="M2" s="3" t="s">
        <v>18</v>
      </c>
      <c r="N2" s="3" t="s">
        <v>19</v>
      </c>
      <c r="P2" s="3">
        <f t="shared" ref="P2:T2" si="0">+Q2-1</f>
        <v>2000</v>
      </c>
      <c r="Q2" s="3">
        <f t="shared" si="0"/>
        <v>2001</v>
      </c>
      <c r="R2" s="3">
        <f t="shared" si="0"/>
        <v>2002</v>
      </c>
      <c r="S2" s="3">
        <f t="shared" si="0"/>
        <v>2003</v>
      </c>
      <c r="T2" s="3">
        <f t="shared" si="0"/>
        <v>2004</v>
      </c>
      <c r="U2" s="3">
        <f t="shared" ref="U2:Y2" si="1">+V2-1</f>
        <v>2005</v>
      </c>
      <c r="V2" s="3">
        <f t="shared" si="1"/>
        <v>2006</v>
      </c>
      <c r="W2" s="3">
        <f t="shared" si="1"/>
        <v>2007</v>
      </c>
      <c r="X2" s="3">
        <f t="shared" si="1"/>
        <v>2008</v>
      </c>
      <c r="Y2" s="3">
        <f t="shared" si="1"/>
        <v>2009</v>
      </c>
      <c r="Z2" s="3">
        <f>+AA2-1</f>
        <v>2010</v>
      </c>
      <c r="AA2" s="3">
        <v>2011</v>
      </c>
      <c r="AB2" s="3">
        <v>2012</v>
      </c>
      <c r="AC2" s="3">
        <v>2013</v>
      </c>
      <c r="AD2" s="3">
        <f>+AC2+1</f>
        <v>2014</v>
      </c>
      <c r="AE2" s="3">
        <f t="shared" ref="AE2:AT2" si="2">+AD2+1</f>
        <v>2015</v>
      </c>
      <c r="AF2" s="3">
        <f t="shared" si="2"/>
        <v>2016</v>
      </c>
      <c r="AG2" s="3">
        <f t="shared" si="2"/>
        <v>2017</v>
      </c>
      <c r="AH2" s="3">
        <f t="shared" si="2"/>
        <v>2018</v>
      </c>
      <c r="AI2" s="3">
        <f t="shared" si="2"/>
        <v>2019</v>
      </c>
      <c r="AJ2" s="3">
        <f t="shared" si="2"/>
        <v>2020</v>
      </c>
      <c r="AK2" s="3">
        <f t="shared" si="2"/>
        <v>2021</v>
      </c>
      <c r="AL2" s="3">
        <f t="shared" si="2"/>
        <v>2022</v>
      </c>
      <c r="AM2" s="3">
        <f t="shared" si="2"/>
        <v>2023</v>
      </c>
      <c r="AN2">
        <f t="shared" si="2"/>
        <v>2024</v>
      </c>
      <c r="AO2">
        <f t="shared" si="2"/>
        <v>2025</v>
      </c>
      <c r="AP2">
        <f t="shared" si="2"/>
        <v>2026</v>
      </c>
      <c r="AQ2">
        <f t="shared" si="2"/>
        <v>2027</v>
      </c>
      <c r="AR2">
        <f t="shared" si="2"/>
        <v>2028</v>
      </c>
      <c r="AS2">
        <f t="shared" si="2"/>
        <v>2029</v>
      </c>
      <c r="AT2">
        <f t="shared" si="2"/>
        <v>2030</v>
      </c>
    </row>
    <row r="3" spans="1:46" x14ac:dyDescent="0.2">
      <c r="B3" t="s">
        <v>76</v>
      </c>
      <c r="I3" s="6">
        <v>18463</v>
      </c>
      <c r="J3" s="6">
        <v>26618</v>
      </c>
    </row>
    <row r="4" spans="1:46" s="7" customFormat="1" x14ac:dyDescent="0.2">
      <c r="B4" s="7" t="s">
        <v>34</v>
      </c>
      <c r="C4" s="8"/>
      <c r="D4" s="8">
        <v>20485</v>
      </c>
      <c r="E4" s="8">
        <v>20034</v>
      </c>
      <c r="F4" s="8">
        <v>21794</v>
      </c>
      <c r="G4" s="8">
        <v>20151</v>
      </c>
      <c r="H4" s="8">
        <v>20061</v>
      </c>
      <c r="I4" s="8">
        <v>19601</v>
      </c>
      <c r="J4" s="8">
        <v>21860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46" s="2" customFormat="1" x14ac:dyDescent="0.2">
      <c r="B5" s="2" t="s">
        <v>35</v>
      </c>
      <c r="C5" s="6"/>
      <c r="D5" s="6"/>
      <c r="E5" s="6"/>
      <c r="F5" s="6">
        <v>154</v>
      </c>
      <c r="G5" s="6">
        <v>156</v>
      </c>
      <c r="H5" s="6">
        <v>157</v>
      </c>
      <c r="I5" s="6">
        <v>159</v>
      </c>
      <c r="J5" s="6">
        <v>162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46" x14ac:dyDescent="0.2">
      <c r="T6" s="5">
        <f t="shared" ref="T6:V6" si="3">T7/S7-1</f>
        <v>0.49252812934457157</v>
      </c>
      <c r="U6" s="5">
        <f t="shared" si="3"/>
        <v>0.36100461070003576</v>
      </c>
      <c r="V6" s="5">
        <f t="shared" si="3"/>
        <v>9.6102110318103451E-2</v>
      </c>
      <c r="W6" s="5">
        <f>W7/V7-1</f>
        <v>0.21123886078982501</v>
      </c>
      <c r="X6" s="5">
        <f t="shared" ref="X6:AA6" si="4">X7/W7-1</f>
        <v>6.4565403394907239E-3</v>
      </c>
      <c r="Y6" s="5">
        <f t="shared" si="4"/>
        <v>0.12735082593991121</v>
      </c>
      <c r="Z6" s="5">
        <f t="shared" si="4"/>
        <v>7.7125196807991792E-2</v>
      </c>
      <c r="AA6" s="5">
        <f t="shared" si="4"/>
        <v>0.16102133559835319</v>
      </c>
      <c r="AB6" s="5">
        <f>AB9/AA9-1</f>
        <v>0.11382113821138207</v>
      </c>
      <c r="AC6" s="5">
        <f t="shared" ref="AC6:AF6" si="5">AC9/AB9-1</f>
        <v>0.1161124628277912</v>
      </c>
      <c r="AD6" s="5">
        <f t="shared" si="5"/>
        <v>6.4551289814702706E-2</v>
      </c>
      <c r="AE6" s="5">
        <f t="shared" si="5"/>
        <v>-2.2525597269624553E-2</v>
      </c>
      <c r="AF6" s="5">
        <f t="shared" si="5"/>
        <v>2.3277467411546571E-3</v>
      </c>
    </row>
    <row r="7" spans="1:46" x14ac:dyDescent="0.2">
      <c r="B7" t="s">
        <v>38</v>
      </c>
      <c r="C7" s="6">
        <v>2155</v>
      </c>
      <c r="D7" s="6">
        <v>2174</v>
      </c>
      <c r="G7" s="6">
        <v>2069</v>
      </c>
      <c r="H7" s="6">
        <v>2116</v>
      </c>
      <c r="S7" s="6">
        <f>1024.915+657.874+52.854</f>
        <v>1735.643</v>
      </c>
      <c r="T7" s="6">
        <f>1338.715+1157.472+94.309</f>
        <v>2590.4960000000001</v>
      </c>
      <c r="U7" s="6">
        <f>1737.039+1665.262+123.376</f>
        <v>3525.6770000000001</v>
      </c>
      <c r="V7" s="6">
        <v>3864.502</v>
      </c>
      <c r="W7" s="6">
        <v>4680.835</v>
      </c>
      <c r="X7" s="6">
        <v>4711.0569999999998</v>
      </c>
      <c r="Y7" s="6">
        <v>5311.0140000000001</v>
      </c>
      <c r="Z7" s="6">
        <v>5720.6270000000004</v>
      </c>
      <c r="AA7" s="6">
        <v>6641.77</v>
      </c>
    </row>
    <row r="9" spans="1:46" s="7" customFormat="1" x14ac:dyDescent="0.2">
      <c r="B9" s="7" t="s">
        <v>8</v>
      </c>
      <c r="C9" s="8">
        <v>4262</v>
      </c>
      <c r="D9" s="8">
        <v>4103</v>
      </c>
      <c r="E9" s="8">
        <v>2150</v>
      </c>
      <c r="F9" s="8">
        <v>2323</v>
      </c>
      <c r="G9" s="8">
        <v>4448</v>
      </c>
      <c r="H9" s="8">
        <v>4379</v>
      </c>
      <c r="I9" s="8">
        <v>2099</v>
      </c>
      <c r="J9" s="8">
        <v>2322</v>
      </c>
      <c r="K9" s="8">
        <v>2075</v>
      </c>
      <c r="L9" s="8">
        <f>+H7</f>
        <v>2116</v>
      </c>
      <c r="M9" s="8">
        <f>+I9</f>
        <v>2099</v>
      </c>
      <c r="N9" s="8">
        <f>+J9</f>
        <v>2322</v>
      </c>
      <c r="O9" s="8"/>
      <c r="P9" s="8"/>
      <c r="Q9" s="8"/>
      <c r="R9" s="8"/>
      <c r="S9" s="8">
        <v>2165.096</v>
      </c>
      <c r="T9" s="8">
        <v>3271.3090000000002</v>
      </c>
      <c r="U9" s="8">
        <v>4552.4009999999998</v>
      </c>
      <c r="V9" s="8">
        <v>5969.741</v>
      </c>
      <c r="W9" s="8">
        <v>7672.3289999999997</v>
      </c>
      <c r="X9" s="8">
        <v>8541.2610000000004</v>
      </c>
      <c r="Y9" s="8">
        <v>8727.3619999999992</v>
      </c>
      <c r="Z9" s="8">
        <v>9156.2739999999994</v>
      </c>
      <c r="AA9" s="8">
        <v>6642</v>
      </c>
      <c r="AB9" s="8">
        <v>7398</v>
      </c>
      <c r="AC9" s="8">
        <v>8257</v>
      </c>
      <c r="AD9" s="8">
        <v>8790</v>
      </c>
      <c r="AE9" s="8">
        <v>8592</v>
      </c>
      <c r="AF9" s="8">
        <f>SUM(K9:N9)</f>
        <v>8612</v>
      </c>
      <c r="AG9" s="8">
        <f>+AF9*1.03</f>
        <v>8870.36</v>
      </c>
      <c r="AH9" s="8">
        <f>+AG9*1.03</f>
        <v>9136.470800000001</v>
      </c>
      <c r="AI9" s="8">
        <f>+AH9*1.02</f>
        <v>9319.2002160000011</v>
      </c>
      <c r="AJ9" s="8">
        <f>+AI9*1.02</f>
        <v>9505.5842203200009</v>
      </c>
      <c r="AK9" s="8">
        <f>+AJ9*1.01</f>
        <v>9600.6400625232018</v>
      </c>
      <c r="AL9" s="8">
        <f>+AK9*1</f>
        <v>9600.6400625232018</v>
      </c>
      <c r="AM9" s="8">
        <f>+AL9*0.99</f>
        <v>9504.6336618979694</v>
      </c>
      <c r="AN9" s="8">
        <f t="shared" ref="AN9:AT9" si="6">+AM9*0.99</f>
        <v>9409.5873252789897</v>
      </c>
      <c r="AO9" s="8">
        <f t="shared" si="6"/>
        <v>9315.4914520261991</v>
      </c>
      <c r="AP9" s="8">
        <f t="shared" si="6"/>
        <v>9222.3365375059366</v>
      </c>
      <c r="AQ9" s="8">
        <f t="shared" si="6"/>
        <v>9130.1131721308775</v>
      </c>
      <c r="AR9" s="8">
        <f t="shared" si="6"/>
        <v>9038.812040409568</v>
      </c>
      <c r="AS9" s="8">
        <f t="shared" si="6"/>
        <v>8948.4239200054726</v>
      </c>
      <c r="AT9" s="8">
        <f t="shared" si="6"/>
        <v>8858.9396808054171</v>
      </c>
    </row>
    <row r="10" spans="1:46" s="2" customFormat="1" x14ac:dyDescent="0.2">
      <c r="B10" s="2" t="s">
        <v>21</v>
      </c>
      <c r="C10" s="6">
        <v>1351</v>
      </c>
      <c r="D10" s="6">
        <v>1181</v>
      </c>
      <c r="E10" s="6">
        <v>413</v>
      </c>
      <c r="F10" s="6">
        <v>442</v>
      </c>
      <c r="G10" s="6">
        <v>1450</v>
      </c>
      <c r="H10" s="6">
        <v>1348</v>
      </c>
      <c r="I10" s="6">
        <v>433</v>
      </c>
      <c r="J10" s="6">
        <v>493</v>
      </c>
      <c r="K10" s="6">
        <f>+K9-K11</f>
        <v>435.75</v>
      </c>
      <c r="L10" s="6">
        <f t="shared" ref="L10:N10" si="7">+L9-L11</f>
        <v>444.3599999999999</v>
      </c>
      <c r="M10" s="6">
        <f t="shared" si="7"/>
        <v>440.78999999999996</v>
      </c>
      <c r="N10" s="6">
        <f t="shared" si="7"/>
        <v>487.61999999999989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>
        <v>1492</v>
      </c>
      <c r="AD10" s="6">
        <v>1663</v>
      </c>
      <c r="AE10" s="6">
        <v>1771</v>
      </c>
      <c r="AF10" s="6">
        <f>AF9-AF11</f>
        <v>1808.5199999999995</v>
      </c>
      <c r="AG10" s="6">
        <f>+AG9-AG11</f>
        <v>1951.4791999999998</v>
      </c>
      <c r="AH10" s="6">
        <f t="shared" ref="AH10:AT10" si="8">+AH9-AH11</f>
        <v>2010.0235759999996</v>
      </c>
      <c r="AI10" s="6">
        <f t="shared" si="8"/>
        <v>2050.2240475199997</v>
      </c>
      <c r="AJ10" s="6">
        <f t="shared" si="8"/>
        <v>2091.2285284704003</v>
      </c>
      <c r="AK10" s="6">
        <f t="shared" si="8"/>
        <v>2112.1408137551043</v>
      </c>
      <c r="AL10" s="6">
        <f t="shared" si="8"/>
        <v>2112.1408137551043</v>
      </c>
      <c r="AM10" s="6">
        <f t="shared" si="8"/>
        <v>2091.0194056175533</v>
      </c>
      <c r="AN10" s="6">
        <f t="shared" si="8"/>
        <v>2070.1092115613774</v>
      </c>
      <c r="AO10" s="6">
        <f t="shared" si="8"/>
        <v>2049.408119445764</v>
      </c>
      <c r="AP10" s="6">
        <f t="shared" si="8"/>
        <v>2028.914038251306</v>
      </c>
      <c r="AQ10" s="6">
        <f t="shared" si="8"/>
        <v>2008.6248978687927</v>
      </c>
      <c r="AR10" s="6">
        <f t="shared" si="8"/>
        <v>1988.5386488901049</v>
      </c>
      <c r="AS10" s="6">
        <f t="shared" si="8"/>
        <v>1968.6532624012034</v>
      </c>
      <c r="AT10" s="6">
        <f t="shared" si="8"/>
        <v>1948.9667297771912</v>
      </c>
    </row>
    <row r="11" spans="1:46" s="2" customFormat="1" x14ac:dyDescent="0.2">
      <c r="B11" s="2" t="s">
        <v>22</v>
      </c>
      <c r="C11" s="6">
        <f t="shared" ref="C11:J11" si="9">+C9-C10</f>
        <v>2911</v>
      </c>
      <c r="D11" s="6">
        <f t="shared" si="9"/>
        <v>2922</v>
      </c>
      <c r="E11" s="6">
        <f t="shared" si="9"/>
        <v>1737</v>
      </c>
      <c r="F11" s="6">
        <f t="shared" si="9"/>
        <v>1881</v>
      </c>
      <c r="G11" s="6">
        <f t="shared" si="9"/>
        <v>2998</v>
      </c>
      <c r="H11" s="6">
        <f t="shared" si="9"/>
        <v>3031</v>
      </c>
      <c r="I11" s="6">
        <f t="shared" si="9"/>
        <v>1666</v>
      </c>
      <c r="J11" s="6">
        <f t="shared" si="9"/>
        <v>1829</v>
      </c>
      <c r="K11" s="6">
        <f>+K9*0.79</f>
        <v>1639.25</v>
      </c>
      <c r="L11" s="6">
        <f t="shared" ref="L11:N11" si="10">+L9*0.79</f>
        <v>1671.64</v>
      </c>
      <c r="M11" s="6">
        <f t="shared" si="10"/>
        <v>1658.21</v>
      </c>
      <c r="N11" s="6">
        <f t="shared" si="10"/>
        <v>1834.38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>
        <f>+AC9-AC10</f>
        <v>6765</v>
      </c>
      <c r="AD11" s="6">
        <f t="shared" ref="AD11:AE11" si="11">+AD9-AD10</f>
        <v>7127</v>
      </c>
      <c r="AE11" s="6">
        <f t="shared" si="11"/>
        <v>6821</v>
      </c>
      <c r="AF11" s="10">
        <f>SUM(K11:N11)</f>
        <v>6803.4800000000005</v>
      </c>
      <c r="AG11" s="6">
        <f>+AG9*0.78</f>
        <v>6918.8808000000008</v>
      </c>
      <c r="AH11" s="6">
        <f t="shared" ref="AH11:AT11" si="12">+AH9*0.78</f>
        <v>7126.4472240000014</v>
      </c>
      <c r="AI11" s="6">
        <f t="shared" si="12"/>
        <v>7268.9761684800014</v>
      </c>
      <c r="AJ11" s="6">
        <f t="shared" si="12"/>
        <v>7414.3556918496006</v>
      </c>
      <c r="AK11" s="6">
        <f t="shared" si="12"/>
        <v>7488.4992487680975</v>
      </c>
      <c r="AL11" s="6">
        <f t="shared" si="12"/>
        <v>7488.4992487680975</v>
      </c>
      <c r="AM11" s="6">
        <f t="shared" si="12"/>
        <v>7413.6142562804162</v>
      </c>
      <c r="AN11" s="6">
        <f t="shared" si="12"/>
        <v>7339.4781137176124</v>
      </c>
      <c r="AO11" s="6">
        <f t="shared" si="12"/>
        <v>7266.0833325804351</v>
      </c>
      <c r="AP11" s="6">
        <f t="shared" si="12"/>
        <v>7193.4224992546306</v>
      </c>
      <c r="AQ11" s="6">
        <f t="shared" si="12"/>
        <v>7121.4882742620848</v>
      </c>
      <c r="AR11" s="6">
        <f t="shared" si="12"/>
        <v>7050.2733915194631</v>
      </c>
      <c r="AS11" s="6">
        <f t="shared" si="12"/>
        <v>6979.7706576042692</v>
      </c>
      <c r="AT11" s="6">
        <f t="shared" si="12"/>
        <v>6909.9729510282259</v>
      </c>
    </row>
    <row r="12" spans="1:46" s="2" customFormat="1" x14ac:dyDescent="0.2">
      <c r="B12" s="2" t="s">
        <v>33</v>
      </c>
      <c r="C12" s="6">
        <v>805</v>
      </c>
      <c r="D12" s="6">
        <v>885</v>
      </c>
      <c r="E12" s="6">
        <v>624</v>
      </c>
      <c r="F12" s="6">
        <v>627</v>
      </c>
      <c r="G12" s="6">
        <v>794</v>
      </c>
      <c r="H12" s="6">
        <v>836</v>
      </c>
      <c r="I12" s="6">
        <v>565</v>
      </c>
      <c r="J12" s="6">
        <v>595</v>
      </c>
      <c r="K12" s="6">
        <f>+K9*0.28</f>
        <v>581</v>
      </c>
      <c r="L12" s="6">
        <f t="shared" ref="L12:N12" si="13">+L9*0.28</f>
        <v>592.48</v>
      </c>
      <c r="M12" s="6">
        <f t="shared" si="13"/>
        <v>587.72</v>
      </c>
      <c r="N12" s="6">
        <f t="shared" si="13"/>
        <v>650.16000000000008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>
        <v>2144</v>
      </c>
      <c r="AD12" s="6">
        <v>2442</v>
      </c>
      <c r="AE12" s="6">
        <v>2267</v>
      </c>
      <c r="AF12" s="10">
        <f t="shared" ref="AF12:AF15" si="14">SUM(K12:N12)</f>
        <v>2411.36</v>
      </c>
      <c r="AG12" s="6">
        <f>+AG9*0.26</f>
        <v>2306.2936000000004</v>
      </c>
      <c r="AH12" s="6">
        <f t="shared" ref="AH12:AT12" si="15">+AH9*0.26</f>
        <v>2375.4824080000003</v>
      </c>
      <c r="AI12" s="6">
        <f t="shared" si="15"/>
        <v>2422.9920561600002</v>
      </c>
      <c r="AJ12" s="6">
        <f t="shared" si="15"/>
        <v>2471.4518972832002</v>
      </c>
      <c r="AK12" s="6">
        <f t="shared" si="15"/>
        <v>2496.1664162560323</v>
      </c>
      <c r="AL12" s="6">
        <f t="shared" si="15"/>
        <v>2496.1664162560323</v>
      </c>
      <c r="AM12" s="6">
        <f t="shared" si="15"/>
        <v>2471.2047520934721</v>
      </c>
      <c r="AN12" s="6">
        <f t="shared" si="15"/>
        <v>2446.4927045725376</v>
      </c>
      <c r="AO12" s="6">
        <f t="shared" si="15"/>
        <v>2422.0277775268119</v>
      </c>
      <c r="AP12" s="6">
        <f t="shared" si="15"/>
        <v>2397.8074997515437</v>
      </c>
      <c r="AQ12" s="6">
        <f t="shared" si="15"/>
        <v>2373.8294247540284</v>
      </c>
      <c r="AR12" s="6">
        <f t="shared" si="15"/>
        <v>2350.0911305064878</v>
      </c>
      <c r="AS12" s="6">
        <f t="shared" si="15"/>
        <v>2326.5902192014228</v>
      </c>
      <c r="AT12" s="6">
        <f t="shared" si="15"/>
        <v>2303.3243170094083</v>
      </c>
    </row>
    <row r="13" spans="1:46" s="2" customFormat="1" x14ac:dyDescent="0.2">
      <c r="B13" s="2" t="s">
        <v>32</v>
      </c>
      <c r="C13" s="6">
        <v>480</v>
      </c>
      <c r="D13" s="6">
        <v>468</v>
      </c>
      <c r="E13" s="6">
        <v>246</v>
      </c>
      <c r="F13" s="6">
        <v>236</v>
      </c>
      <c r="G13" s="6">
        <v>485</v>
      </c>
      <c r="H13" s="6">
        <v>485</v>
      </c>
      <c r="I13" s="6">
        <v>241</v>
      </c>
      <c r="J13" s="6">
        <v>229</v>
      </c>
      <c r="K13" s="6">
        <v>229</v>
      </c>
      <c r="L13" s="6">
        <v>229</v>
      </c>
      <c r="M13" s="6">
        <v>229</v>
      </c>
      <c r="N13" s="6">
        <v>229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>
        <v>915</v>
      </c>
      <c r="AD13" s="6">
        <v>983</v>
      </c>
      <c r="AE13" s="6">
        <v>923</v>
      </c>
      <c r="AF13" s="10">
        <f t="shared" si="14"/>
        <v>916</v>
      </c>
      <c r="AG13" s="6">
        <f>+AF13*1</f>
        <v>916</v>
      </c>
      <c r="AH13" s="6">
        <f t="shared" ref="AH13:AJ13" si="16">+AG13*1</f>
        <v>916</v>
      </c>
      <c r="AI13" s="6">
        <f t="shared" si="16"/>
        <v>916</v>
      </c>
      <c r="AJ13" s="6">
        <f t="shared" si="16"/>
        <v>916</v>
      </c>
      <c r="AK13" s="6">
        <f t="shared" ref="AK13:AT13" si="17">+AJ13*0.97</f>
        <v>888.52</v>
      </c>
      <c r="AL13" s="6">
        <f t="shared" si="17"/>
        <v>861.86439999999993</v>
      </c>
      <c r="AM13" s="6">
        <f t="shared" si="17"/>
        <v>836.00846799999988</v>
      </c>
      <c r="AN13" s="6">
        <f t="shared" si="17"/>
        <v>810.92821395999988</v>
      </c>
      <c r="AO13" s="6">
        <f t="shared" si="17"/>
        <v>786.60036754119983</v>
      </c>
      <c r="AP13" s="6">
        <f t="shared" si="17"/>
        <v>763.00235651496382</v>
      </c>
      <c r="AQ13" s="6">
        <f t="shared" si="17"/>
        <v>740.11228581951491</v>
      </c>
      <c r="AR13" s="6">
        <f t="shared" si="17"/>
        <v>717.9089172449294</v>
      </c>
      <c r="AS13" s="6">
        <f t="shared" si="17"/>
        <v>696.37164972758148</v>
      </c>
      <c r="AT13" s="6">
        <f t="shared" si="17"/>
        <v>675.48050023575399</v>
      </c>
    </row>
    <row r="14" spans="1:46" s="2" customFormat="1" x14ac:dyDescent="0.2">
      <c r="B14" s="2" t="s">
        <v>31</v>
      </c>
      <c r="C14" s="6">
        <v>465</v>
      </c>
      <c r="D14" s="6">
        <v>448</v>
      </c>
      <c r="E14" s="6">
        <v>203</v>
      </c>
      <c r="F14" s="6">
        <v>211</v>
      </c>
      <c r="G14" s="6">
        <v>665</v>
      </c>
      <c r="H14" s="6">
        <v>683</v>
      </c>
      <c r="I14" s="6">
        <v>207</v>
      </c>
      <c r="J14" s="6">
        <v>260</v>
      </c>
      <c r="K14" s="6">
        <v>260</v>
      </c>
      <c r="L14" s="6">
        <v>260</v>
      </c>
      <c r="M14" s="6">
        <v>260</v>
      </c>
      <c r="N14" s="6">
        <v>260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>
        <v>880</v>
      </c>
      <c r="AD14" s="6">
        <v>889</v>
      </c>
      <c r="AE14" s="6">
        <v>1122</v>
      </c>
      <c r="AF14" s="10">
        <f t="shared" si="14"/>
        <v>1040</v>
      </c>
      <c r="AG14" s="6">
        <f t="shared" ref="AG14:AJ14" si="18">+AF14*1</f>
        <v>1040</v>
      </c>
      <c r="AH14" s="6">
        <f t="shared" si="18"/>
        <v>1040</v>
      </c>
      <c r="AI14" s="6">
        <f t="shared" si="18"/>
        <v>1040</v>
      </c>
      <c r="AJ14" s="6">
        <f t="shared" si="18"/>
        <v>1040</v>
      </c>
      <c r="AK14" s="6">
        <f t="shared" ref="AK14:AT14" si="19">+AJ14*0.97</f>
        <v>1008.8</v>
      </c>
      <c r="AL14" s="6">
        <f t="shared" si="19"/>
        <v>978.53599999999994</v>
      </c>
      <c r="AM14" s="6">
        <f t="shared" si="19"/>
        <v>949.17991999999992</v>
      </c>
      <c r="AN14" s="6">
        <f t="shared" si="19"/>
        <v>920.70452239999986</v>
      </c>
      <c r="AO14" s="6">
        <f t="shared" si="19"/>
        <v>893.08338672799982</v>
      </c>
      <c r="AP14" s="6">
        <f t="shared" si="19"/>
        <v>866.29088512615976</v>
      </c>
      <c r="AQ14" s="6">
        <f t="shared" si="19"/>
        <v>840.30215857237499</v>
      </c>
      <c r="AR14" s="6">
        <f t="shared" si="19"/>
        <v>815.0930938152037</v>
      </c>
      <c r="AS14" s="6">
        <f t="shared" si="19"/>
        <v>790.64030100074751</v>
      </c>
      <c r="AT14" s="6">
        <f t="shared" si="19"/>
        <v>766.92109197072512</v>
      </c>
    </row>
    <row r="15" spans="1:46" s="2" customFormat="1" x14ac:dyDescent="0.2">
      <c r="B15" s="2" t="s">
        <v>30</v>
      </c>
      <c r="C15" s="6">
        <v>204</v>
      </c>
      <c r="D15" s="6">
        <v>229</v>
      </c>
      <c r="E15" s="6">
        <v>58</v>
      </c>
      <c r="F15" s="6">
        <v>66</v>
      </c>
      <c r="G15" s="6">
        <v>264</v>
      </c>
      <c r="H15" s="6">
        <v>262</v>
      </c>
      <c r="I15" s="6">
        <v>65</v>
      </c>
      <c r="J15" s="6">
        <v>72</v>
      </c>
      <c r="K15" s="6">
        <v>72</v>
      </c>
      <c r="L15" s="6">
        <v>72</v>
      </c>
      <c r="M15" s="6">
        <v>72</v>
      </c>
      <c r="N15" s="6">
        <v>72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>
        <v>236</v>
      </c>
      <c r="AD15" s="6">
        <v>262</v>
      </c>
      <c r="AE15" s="6">
        <v>271</v>
      </c>
      <c r="AF15" s="10">
        <f t="shared" si="14"/>
        <v>288</v>
      </c>
      <c r="AG15" s="6">
        <f t="shared" ref="AG15:AJ15" si="20">+AF15*1</f>
        <v>288</v>
      </c>
      <c r="AH15" s="6">
        <f t="shared" si="20"/>
        <v>288</v>
      </c>
      <c r="AI15" s="6">
        <f t="shared" si="20"/>
        <v>288</v>
      </c>
      <c r="AJ15" s="6">
        <f t="shared" si="20"/>
        <v>288</v>
      </c>
      <c r="AK15" s="6">
        <f t="shared" ref="AK15:AT15" si="21">+AJ15*0.97</f>
        <v>279.36</v>
      </c>
      <c r="AL15" s="6">
        <f t="shared" si="21"/>
        <v>270.97919999999999</v>
      </c>
      <c r="AM15" s="6">
        <f t="shared" si="21"/>
        <v>262.84982400000001</v>
      </c>
      <c r="AN15" s="6">
        <f t="shared" si="21"/>
        <v>254.96432928000002</v>
      </c>
      <c r="AO15" s="6">
        <f t="shared" si="21"/>
        <v>247.31539940160002</v>
      </c>
      <c r="AP15" s="6">
        <f t="shared" si="21"/>
        <v>239.89593741955201</v>
      </c>
      <c r="AQ15" s="6">
        <f t="shared" si="21"/>
        <v>232.69905929696546</v>
      </c>
      <c r="AR15" s="6">
        <f t="shared" si="21"/>
        <v>225.71808751805648</v>
      </c>
      <c r="AS15" s="6">
        <f t="shared" si="21"/>
        <v>218.94654489251477</v>
      </c>
      <c r="AT15" s="6">
        <f t="shared" si="21"/>
        <v>212.37814854573932</v>
      </c>
    </row>
    <row r="16" spans="1:46" s="2" customFormat="1" x14ac:dyDescent="0.2">
      <c r="B16" s="2" t="s">
        <v>29</v>
      </c>
      <c r="C16" s="6">
        <f t="shared" ref="C16:E16" si="22">SUM(C12:C15)</f>
        <v>1954</v>
      </c>
      <c r="D16" s="6">
        <f t="shared" si="22"/>
        <v>2030</v>
      </c>
      <c r="E16" s="6">
        <f t="shared" si="22"/>
        <v>1131</v>
      </c>
      <c r="F16" s="6">
        <f t="shared" ref="F16" si="23">SUM(F12:F15)</f>
        <v>1140</v>
      </c>
      <c r="G16" s="6">
        <f t="shared" ref="G16:K16" si="24">SUM(G12:G15)</f>
        <v>2208</v>
      </c>
      <c r="H16" s="6">
        <f t="shared" si="24"/>
        <v>2266</v>
      </c>
      <c r="I16" s="6">
        <f t="shared" si="24"/>
        <v>1078</v>
      </c>
      <c r="J16" s="6">
        <f t="shared" si="24"/>
        <v>1156</v>
      </c>
      <c r="K16" s="6">
        <f t="shared" si="24"/>
        <v>1142</v>
      </c>
      <c r="L16" s="6">
        <f t="shared" ref="L16" si="25">SUM(L12:L15)</f>
        <v>1153.48</v>
      </c>
      <c r="M16" s="6">
        <f t="shared" ref="M16" si="26">SUM(M12:M15)</f>
        <v>1148.72</v>
      </c>
      <c r="N16" s="6">
        <f t="shared" ref="N16" si="27">SUM(N12:N15)</f>
        <v>1211.1600000000001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>
        <f t="shared" ref="AC16:AD16" si="28">SUM(AC12:AC15)</f>
        <v>4175</v>
      </c>
      <c r="AD16" s="6">
        <f t="shared" si="28"/>
        <v>4576</v>
      </c>
      <c r="AE16" s="6">
        <f>SUM(AE12:AE15)</f>
        <v>4583</v>
      </c>
      <c r="AF16" s="6">
        <f t="shared" ref="AF16" si="29">SUM(AF12:AF15)</f>
        <v>4655.3600000000006</v>
      </c>
      <c r="AG16" s="6">
        <f t="shared" ref="AG16" si="30">SUM(AG12:AG15)</f>
        <v>4550.2936000000009</v>
      </c>
      <c r="AH16" s="6">
        <f t="shared" ref="AH16" si="31">SUM(AH12:AH15)</f>
        <v>4619.4824079999999</v>
      </c>
      <c r="AI16" s="6">
        <f t="shared" ref="AI16" si="32">SUM(AI12:AI15)</f>
        <v>4666.9920561600002</v>
      </c>
      <c r="AJ16" s="6">
        <f t="shared" ref="AJ16" si="33">SUM(AJ12:AJ15)</f>
        <v>4715.4518972832002</v>
      </c>
      <c r="AK16" s="6">
        <f t="shared" ref="AK16" si="34">SUM(AK12:AK15)</f>
        <v>4672.8464162560322</v>
      </c>
      <c r="AL16" s="6">
        <f t="shared" ref="AL16" si="35">SUM(AL12:AL15)</f>
        <v>4607.5460162560321</v>
      </c>
      <c r="AM16" s="6">
        <f t="shared" ref="AM16" si="36">SUM(AM12:AM15)</f>
        <v>4519.2429640934715</v>
      </c>
      <c r="AN16" s="6">
        <f t="shared" ref="AN16" si="37">SUM(AN12:AN15)</f>
        <v>4433.0897702125376</v>
      </c>
      <c r="AO16" s="6">
        <f t="shared" ref="AO16" si="38">SUM(AO12:AO15)</f>
        <v>4349.0269311976117</v>
      </c>
      <c r="AP16" s="6">
        <f t="shared" ref="AP16" si="39">SUM(AP12:AP15)</f>
        <v>4266.9966788122192</v>
      </c>
      <c r="AQ16" s="6">
        <f t="shared" ref="AQ16" si="40">SUM(AQ12:AQ15)</f>
        <v>4186.9429284428834</v>
      </c>
      <c r="AR16" s="6">
        <f t="shared" ref="AR16" si="41">SUM(AR12:AR15)</f>
        <v>4108.8112290846775</v>
      </c>
      <c r="AS16" s="6">
        <f t="shared" ref="AS16" si="42">SUM(AS12:AS15)</f>
        <v>4032.5487148222664</v>
      </c>
      <c r="AT16" s="6">
        <f t="shared" ref="AT16" si="43">SUM(AT12:AT15)</f>
        <v>3958.1040577616268</v>
      </c>
    </row>
    <row r="17" spans="2:142" s="2" customFormat="1" x14ac:dyDescent="0.2">
      <c r="B17" s="2" t="s">
        <v>28</v>
      </c>
      <c r="C17" s="6">
        <f t="shared" ref="C17:E17" si="44">C11-C16</f>
        <v>957</v>
      </c>
      <c r="D17" s="6">
        <f t="shared" si="44"/>
        <v>892</v>
      </c>
      <c r="E17" s="6">
        <f t="shared" si="44"/>
        <v>606</v>
      </c>
      <c r="F17" s="6">
        <f t="shared" ref="F17" si="45">F11-F16</f>
        <v>741</v>
      </c>
      <c r="G17" s="6">
        <f t="shared" ref="G17:K17" si="46">G11-G16</f>
        <v>790</v>
      </c>
      <c r="H17" s="6">
        <f t="shared" si="46"/>
        <v>765</v>
      </c>
      <c r="I17" s="6">
        <f t="shared" si="46"/>
        <v>588</v>
      </c>
      <c r="J17" s="6">
        <f t="shared" si="46"/>
        <v>673</v>
      </c>
      <c r="K17" s="6">
        <f t="shared" si="46"/>
        <v>497.25</v>
      </c>
      <c r="L17" s="6">
        <f t="shared" ref="L17" si="47">L11-L16</f>
        <v>518.16000000000008</v>
      </c>
      <c r="M17" s="6">
        <f t="shared" ref="M17" si="48">M11-M16</f>
        <v>509.49</v>
      </c>
      <c r="N17" s="6">
        <f t="shared" ref="N17" si="49">N11-N16</f>
        <v>623.22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>
        <f t="shared" ref="AC17:AD17" si="50">AC11-AC16</f>
        <v>2590</v>
      </c>
      <c r="AD17" s="6">
        <f t="shared" si="50"/>
        <v>2551</v>
      </c>
      <c r="AE17" s="6">
        <f>AE11-AE16</f>
        <v>2238</v>
      </c>
      <c r="AF17" s="6">
        <f t="shared" ref="AF17" si="51">AF11-AF16</f>
        <v>2148.12</v>
      </c>
      <c r="AG17" s="6">
        <f t="shared" ref="AG17" si="52">AG11-AG16</f>
        <v>2368.5871999999999</v>
      </c>
      <c r="AH17" s="6">
        <f t="shared" ref="AH17" si="53">AH11-AH16</f>
        <v>2506.9648160000015</v>
      </c>
      <c r="AI17" s="6">
        <f t="shared" ref="AI17" si="54">AI11-AI16</f>
        <v>2601.9841123200013</v>
      </c>
      <c r="AJ17" s="6">
        <f t="shared" ref="AJ17" si="55">AJ11-AJ16</f>
        <v>2698.9037945664004</v>
      </c>
      <c r="AK17" s="6">
        <f t="shared" ref="AK17" si="56">AK11-AK16</f>
        <v>2815.6528325120653</v>
      </c>
      <c r="AL17" s="6">
        <f t="shared" ref="AL17" si="57">AL11-AL16</f>
        <v>2880.9532325120654</v>
      </c>
      <c r="AM17" s="6">
        <f t="shared" ref="AM17" si="58">AM11-AM16</f>
        <v>2894.3712921869446</v>
      </c>
      <c r="AN17" s="6">
        <f t="shared" ref="AN17" si="59">AN11-AN16</f>
        <v>2906.3883435050748</v>
      </c>
      <c r="AO17" s="6">
        <f t="shared" ref="AO17" si="60">AO11-AO16</f>
        <v>2917.0564013828234</v>
      </c>
      <c r="AP17" s="6">
        <f t="shared" ref="AP17" si="61">AP11-AP16</f>
        <v>2926.4258204424114</v>
      </c>
      <c r="AQ17" s="6">
        <f t="shared" ref="AQ17" si="62">AQ11-AQ16</f>
        <v>2934.5453458192014</v>
      </c>
      <c r="AR17" s="6">
        <f t="shared" ref="AR17" si="63">AR11-AR16</f>
        <v>2941.4621624347856</v>
      </c>
      <c r="AS17" s="6">
        <f t="shared" ref="AS17" si="64">AS11-AS16</f>
        <v>2947.2219427820028</v>
      </c>
      <c r="AT17" s="6">
        <f t="shared" ref="AT17" si="65">AT11-AT16</f>
        <v>2951.8688932665991</v>
      </c>
    </row>
    <row r="18" spans="2:142" s="2" customFormat="1" x14ac:dyDescent="0.2">
      <c r="B18" s="2" t="s">
        <v>27</v>
      </c>
      <c r="C18" s="6">
        <v>-5</v>
      </c>
      <c r="D18" s="6">
        <v>10</v>
      </c>
      <c r="E18" s="6">
        <v>17</v>
      </c>
      <c r="F18" s="6">
        <v>7</v>
      </c>
      <c r="G18" s="6">
        <v>8</v>
      </c>
      <c r="H18" s="6">
        <v>126</v>
      </c>
      <c r="I18" s="6">
        <v>87</v>
      </c>
      <c r="J18" s="6">
        <v>-12</v>
      </c>
      <c r="K18" s="6">
        <v>-12</v>
      </c>
      <c r="L18" s="6">
        <v>-12</v>
      </c>
      <c r="M18" s="6">
        <v>-12</v>
      </c>
      <c r="N18" s="6">
        <v>-12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>
        <v>117</v>
      </c>
      <c r="AD18" s="6">
        <v>39</v>
      </c>
      <c r="AE18" s="6">
        <v>209</v>
      </c>
      <c r="AF18" s="10">
        <f t="shared" ref="AF18:AF20" si="66">SUM(K18:N18)</f>
        <v>-48</v>
      </c>
      <c r="AG18" s="6">
        <f>+AF32*0.01</f>
        <v>43.351199999999999</v>
      </c>
      <c r="AH18" s="6">
        <f t="shared" ref="AH18:AT18" si="67">+AG32*0.01</f>
        <v>61.440738000000003</v>
      </c>
      <c r="AI18" s="6">
        <f t="shared" si="67"/>
        <v>80.703779655000019</v>
      </c>
      <c r="AJ18" s="6">
        <f t="shared" si="67"/>
        <v>100.82393884481253</v>
      </c>
      <c r="AK18" s="6">
        <f t="shared" si="67"/>
        <v>121.82189684539662</v>
      </c>
      <c r="AL18" s="6">
        <f t="shared" si="67"/>
        <v>143.85295731557758</v>
      </c>
      <c r="AM18" s="6">
        <f t="shared" si="67"/>
        <v>166.53900373928488</v>
      </c>
      <c r="AN18" s="6">
        <f t="shared" si="67"/>
        <v>189.4958309587316</v>
      </c>
      <c r="AO18" s="6">
        <f t="shared" si="67"/>
        <v>212.71496226721015</v>
      </c>
      <c r="AP18" s="6">
        <f t="shared" si="67"/>
        <v>236.18824749458537</v>
      </c>
      <c r="AQ18" s="6">
        <f t="shared" si="67"/>
        <v>259.90785300411284</v>
      </c>
      <c r="AR18" s="6">
        <f t="shared" si="67"/>
        <v>283.86625199528771</v>
      </c>
      <c r="AS18" s="6">
        <f t="shared" si="67"/>
        <v>308.05621510351324</v>
      </c>
      <c r="AT18" s="6">
        <f t="shared" si="67"/>
        <v>332.47080128765464</v>
      </c>
    </row>
    <row r="19" spans="2:142" s="2" customFormat="1" x14ac:dyDescent="0.2">
      <c r="B19" s="2" t="s">
        <v>26</v>
      </c>
      <c r="C19" s="6">
        <f t="shared" ref="C19:K19" si="68">+C17+C18</f>
        <v>952</v>
      </c>
      <c r="D19" s="6">
        <f t="shared" si="68"/>
        <v>902</v>
      </c>
      <c r="E19" s="6">
        <f t="shared" si="68"/>
        <v>623</v>
      </c>
      <c r="F19" s="6">
        <f t="shared" si="68"/>
        <v>748</v>
      </c>
      <c r="G19" s="6">
        <f t="shared" si="68"/>
        <v>798</v>
      </c>
      <c r="H19" s="6">
        <f t="shared" si="68"/>
        <v>891</v>
      </c>
      <c r="I19" s="6">
        <f t="shared" si="68"/>
        <v>675</v>
      </c>
      <c r="J19" s="6">
        <f t="shared" si="68"/>
        <v>661</v>
      </c>
      <c r="K19" s="6">
        <f t="shared" si="68"/>
        <v>485.25</v>
      </c>
      <c r="L19" s="6">
        <f t="shared" ref="L19:N19" si="69">+L17+L18</f>
        <v>506.16000000000008</v>
      </c>
      <c r="M19" s="6">
        <f t="shared" si="69"/>
        <v>497.49</v>
      </c>
      <c r="N19" s="6">
        <f t="shared" si="69"/>
        <v>611.22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>
        <f t="shared" ref="AC19:AD19" si="70">+AC17+AC18</f>
        <v>2707</v>
      </c>
      <c r="AD19" s="6">
        <f t="shared" si="70"/>
        <v>2590</v>
      </c>
      <c r="AE19" s="6">
        <f>+AE17+AE18</f>
        <v>2447</v>
      </c>
      <c r="AF19" s="6">
        <f t="shared" ref="AF19" si="71">+AF17+AF18</f>
        <v>2100.12</v>
      </c>
      <c r="AG19" s="6">
        <f t="shared" ref="AG19" si="72">+AG17+AG18</f>
        <v>2411.9384</v>
      </c>
      <c r="AH19" s="6">
        <f t="shared" ref="AH19" si="73">+AH17+AH18</f>
        <v>2568.4055540000013</v>
      </c>
      <c r="AI19" s="6">
        <f t="shared" ref="AI19" si="74">+AI17+AI18</f>
        <v>2682.6878919750011</v>
      </c>
      <c r="AJ19" s="6">
        <f t="shared" ref="AJ19" si="75">+AJ17+AJ18</f>
        <v>2799.7277334112127</v>
      </c>
      <c r="AK19" s="6">
        <f t="shared" ref="AK19" si="76">+AK17+AK18</f>
        <v>2937.4747293574619</v>
      </c>
      <c r="AL19" s="6">
        <f t="shared" ref="AL19" si="77">+AL17+AL18</f>
        <v>3024.8061898276428</v>
      </c>
      <c r="AM19" s="6">
        <f t="shared" ref="AM19" si="78">+AM17+AM18</f>
        <v>3060.9102959262295</v>
      </c>
      <c r="AN19" s="6">
        <f t="shared" ref="AN19" si="79">+AN17+AN18</f>
        <v>3095.8841744638062</v>
      </c>
      <c r="AO19" s="6">
        <f t="shared" ref="AO19" si="80">+AO17+AO18</f>
        <v>3129.7713636500334</v>
      </c>
      <c r="AP19" s="6">
        <f t="shared" ref="AP19" si="81">+AP17+AP18</f>
        <v>3162.6140679369969</v>
      </c>
      <c r="AQ19" s="6">
        <f t="shared" ref="AQ19" si="82">+AQ17+AQ18</f>
        <v>3194.4531988233143</v>
      </c>
      <c r="AR19" s="6">
        <f t="shared" ref="AR19" si="83">+AR17+AR18</f>
        <v>3225.3284144300733</v>
      </c>
      <c r="AS19" s="6">
        <f t="shared" ref="AS19" si="84">+AS17+AS18</f>
        <v>3255.2781578855161</v>
      </c>
      <c r="AT19" s="6">
        <f t="shared" ref="AT19" si="85">+AT17+AT18</f>
        <v>3284.3396945542536</v>
      </c>
    </row>
    <row r="20" spans="2:142" s="2" customFormat="1" x14ac:dyDescent="0.2">
      <c r="B20" s="2" t="s">
        <v>25</v>
      </c>
      <c r="C20" s="6">
        <v>0</v>
      </c>
      <c r="D20" s="6">
        <v>144</v>
      </c>
      <c r="E20" s="6">
        <v>104</v>
      </c>
      <c r="F20" s="6">
        <v>9</v>
      </c>
      <c r="G20" s="6">
        <v>114</v>
      </c>
      <c r="H20" s="6">
        <v>185</v>
      </c>
      <c r="I20" s="6">
        <v>120</v>
      </c>
      <c r="J20" s="6">
        <v>127</v>
      </c>
      <c r="K20" s="6">
        <v>127</v>
      </c>
      <c r="L20" s="6">
        <v>127</v>
      </c>
      <c r="M20" s="6">
        <v>127</v>
      </c>
      <c r="N20" s="6">
        <v>127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504</v>
      </c>
      <c r="AD20" s="6">
        <v>0</v>
      </c>
      <c r="AE20" s="6">
        <v>459</v>
      </c>
      <c r="AF20" s="10">
        <f t="shared" si="66"/>
        <v>508</v>
      </c>
      <c r="AG20" s="6">
        <f>+AG19*0.25</f>
        <v>602.9846</v>
      </c>
      <c r="AH20" s="6">
        <f t="shared" ref="AH20:AT20" si="86">+AH19*0.25</f>
        <v>642.10138850000033</v>
      </c>
      <c r="AI20" s="6">
        <f t="shared" si="86"/>
        <v>670.67197299375027</v>
      </c>
      <c r="AJ20" s="6">
        <f t="shared" si="86"/>
        <v>699.93193335280318</v>
      </c>
      <c r="AK20" s="6">
        <f t="shared" si="86"/>
        <v>734.36868233936548</v>
      </c>
      <c r="AL20" s="6">
        <f t="shared" si="86"/>
        <v>756.2015474569107</v>
      </c>
      <c r="AM20" s="6">
        <f t="shared" si="86"/>
        <v>765.22757398155738</v>
      </c>
      <c r="AN20" s="6">
        <f t="shared" si="86"/>
        <v>773.97104361595154</v>
      </c>
      <c r="AO20" s="6">
        <f t="shared" si="86"/>
        <v>782.44284091250836</v>
      </c>
      <c r="AP20" s="6">
        <f t="shared" si="86"/>
        <v>790.65351698424922</v>
      </c>
      <c r="AQ20" s="6">
        <f t="shared" si="86"/>
        <v>798.61329970582858</v>
      </c>
      <c r="AR20" s="6">
        <f t="shared" si="86"/>
        <v>806.33210360751832</v>
      </c>
      <c r="AS20" s="6">
        <f t="shared" si="86"/>
        <v>813.81953947137902</v>
      </c>
      <c r="AT20" s="6">
        <f t="shared" si="86"/>
        <v>821.0849236385634</v>
      </c>
    </row>
    <row r="21" spans="2:142" s="2" customFormat="1" x14ac:dyDescent="0.2">
      <c r="B21" s="2" t="s">
        <v>24</v>
      </c>
      <c r="C21" s="6">
        <f t="shared" ref="C21:K21" si="87">+C19-C20</f>
        <v>952</v>
      </c>
      <c r="D21" s="6">
        <f t="shared" si="87"/>
        <v>758</v>
      </c>
      <c r="E21" s="6">
        <f t="shared" si="87"/>
        <v>519</v>
      </c>
      <c r="F21" s="6">
        <f t="shared" si="87"/>
        <v>739</v>
      </c>
      <c r="G21" s="6">
        <f t="shared" si="87"/>
        <v>684</v>
      </c>
      <c r="H21" s="6">
        <f t="shared" si="87"/>
        <v>706</v>
      </c>
      <c r="I21" s="6">
        <f t="shared" si="87"/>
        <v>555</v>
      </c>
      <c r="J21" s="6">
        <f t="shared" si="87"/>
        <v>534</v>
      </c>
      <c r="K21" s="6">
        <f t="shared" si="87"/>
        <v>358.25</v>
      </c>
      <c r="L21" s="6">
        <f t="shared" ref="L21:N21" si="88">+L19-L20</f>
        <v>379.16000000000008</v>
      </c>
      <c r="M21" s="6">
        <f t="shared" si="88"/>
        <v>370.49</v>
      </c>
      <c r="N21" s="6">
        <f t="shared" si="88"/>
        <v>484.22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>
        <f t="shared" ref="AC21:AD21" si="89">+AC19-AC20</f>
        <v>2203</v>
      </c>
      <c r="AD21" s="6">
        <f t="shared" si="89"/>
        <v>2590</v>
      </c>
      <c r="AE21" s="6">
        <f>+AE19-AE20</f>
        <v>1988</v>
      </c>
      <c r="AF21" s="6">
        <f t="shared" ref="AF21:AG21" si="90">+AF19-AF20</f>
        <v>1592.12</v>
      </c>
      <c r="AG21" s="6">
        <f t="shared" si="90"/>
        <v>1808.9538</v>
      </c>
      <c r="AH21" s="6">
        <f t="shared" ref="AH21" si="91">+AH19-AH20</f>
        <v>1926.3041655000011</v>
      </c>
      <c r="AI21" s="6">
        <f t="shared" ref="AI21" si="92">+AI19-AI20</f>
        <v>2012.0159189812507</v>
      </c>
      <c r="AJ21" s="6">
        <f t="shared" ref="AJ21" si="93">+AJ19-AJ20</f>
        <v>2099.7958000584094</v>
      </c>
      <c r="AK21" s="6">
        <f t="shared" ref="AK21" si="94">+AK19-AK20</f>
        <v>2203.1060470180964</v>
      </c>
      <c r="AL21" s="6">
        <f t="shared" ref="AL21" si="95">+AL19-AL20</f>
        <v>2268.6046423707321</v>
      </c>
      <c r="AM21" s="6">
        <f t="shared" ref="AM21" si="96">+AM19-AM20</f>
        <v>2295.6827219446723</v>
      </c>
      <c r="AN21" s="6">
        <f t="shared" ref="AN21" si="97">+AN19-AN20</f>
        <v>2321.9131308478545</v>
      </c>
      <c r="AO21" s="6">
        <f t="shared" ref="AO21" si="98">+AO19-AO20</f>
        <v>2347.328522737525</v>
      </c>
      <c r="AP21" s="6">
        <f t="shared" ref="AP21" si="99">+AP19-AP20</f>
        <v>2371.9605509527478</v>
      </c>
      <c r="AQ21" s="6">
        <f t="shared" ref="AQ21" si="100">+AQ19-AQ20</f>
        <v>2395.8398991174859</v>
      </c>
      <c r="AR21" s="6">
        <f t="shared" ref="AR21" si="101">+AR19-AR20</f>
        <v>2418.9963108225547</v>
      </c>
      <c r="AS21" s="6">
        <f t="shared" ref="AS21" si="102">+AS19-AS20</f>
        <v>2441.4586184141372</v>
      </c>
      <c r="AT21" s="6">
        <f t="shared" ref="AT21" si="103">+AT19-AT20</f>
        <v>2463.2547709156902</v>
      </c>
      <c r="AU21" s="2">
        <f>+AT21*(1+$AW$25)</f>
        <v>2413.9896754973765</v>
      </c>
      <c r="AV21" s="2">
        <f t="shared" ref="AV21:DG21" si="104">+AU21*(1+$AW$25)</f>
        <v>2365.7098819874291</v>
      </c>
      <c r="AW21" s="2">
        <f t="shared" si="104"/>
        <v>2318.3956843476803</v>
      </c>
      <c r="AX21" s="2">
        <f t="shared" si="104"/>
        <v>2272.0277706607267</v>
      </c>
      <c r="AY21" s="2">
        <f t="shared" si="104"/>
        <v>2226.5872152475122</v>
      </c>
      <c r="AZ21" s="2">
        <f t="shared" si="104"/>
        <v>2182.0554709425619</v>
      </c>
      <c r="BA21" s="2">
        <f t="shared" si="104"/>
        <v>2138.4143615237108</v>
      </c>
      <c r="BB21" s="2">
        <f t="shared" si="104"/>
        <v>2095.6460742932363</v>
      </c>
      <c r="BC21" s="2">
        <f t="shared" si="104"/>
        <v>2053.7331528073714</v>
      </c>
      <c r="BD21" s="2">
        <f t="shared" si="104"/>
        <v>2012.6584897512239</v>
      </c>
      <c r="BE21" s="2">
        <f t="shared" si="104"/>
        <v>1972.4053199561995</v>
      </c>
      <c r="BF21" s="2">
        <f t="shared" si="104"/>
        <v>1932.9572135570754</v>
      </c>
      <c r="BG21" s="2">
        <f t="shared" si="104"/>
        <v>1894.2980692859339</v>
      </c>
      <c r="BH21" s="2">
        <f t="shared" si="104"/>
        <v>1856.4121079002152</v>
      </c>
      <c r="BI21" s="2">
        <f t="shared" si="104"/>
        <v>1819.283865742211</v>
      </c>
      <c r="BJ21" s="2">
        <f t="shared" si="104"/>
        <v>1782.8981884273667</v>
      </c>
      <c r="BK21" s="2">
        <f t="shared" si="104"/>
        <v>1747.2402246588192</v>
      </c>
      <c r="BL21" s="2">
        <f t="shared" si="104"/>
        <v>1712.2954201656428</v>
      </c>
      <c r="BM21" s="2">
        <f t="shared" si="104"/>
        <v>1678.04951176233</v>
      </c>
      <c r="BN21" s="2">
        <f t="shared" si="104"/>
        <v>1644.4885215270833</v>
      </c>
      <c r="BO21" s="2">
        <f t="shared" si="104"/>
        <v>1611.5987510965417</v>
      </c>
      <c r="BP21" s="2">
        <f t="shared" si="104"/>
        <v>1579.3667760746109</v>
      </c>
      <c r="BQ21" s="2">
        <f t="shared" si="104"/>
        <v>1547.7794405531188</v>
      </c>
      <c r="BR21" s="2">
        <f t="shared" si="104"/>
        <v>1516.8238517420564</v>
      </c>
      <c r="BS21" s="2">
        <f t="shared" si="104"/>
        <v>1486.4873747072152</v>
      </c>
      <c r="BT21" s="2">
        <f t="shared" si="104"/>
        <v>1456.7576272130709</v>
      </c>
      <c r="BU21" s="2">
        <f t="shared" si="104"/>
        <v>1427.6224746688094</v>
      </c>
      <c r="BV21" s="2">
        <f t="shared" si="104"/>
        <v>1399.0700251754333</v>
      </c>
      <c r="BW21" s="2">
        <f t="shared" si="104"/>
        <v>1371.0886246719247</v>
      </c>
      <c r="BX21" s="2">
        <f t="shared" si="104"/>
        <v>1343.6668521784861</v>
      </c>
      <c r="BY21" s="2">
        <f t="shared" si="104"/>
        <v>1316.7935151349163</v>
      </c>
      <c r="BZ21" s="2">
        <f t="shared" si="104"/>
        <v>1290.457644832218</v>
      </c>
      <c r="CA21" s="2">
        <f t="shared" si="104"/>
        <v>1264.6484919355735</v>
      </c>
      <c r="CB21" s="2">
        <f t="shared" si="104"/>
        <v>1239.3555220968619</v>
      </c>
      <c r="CC21" s="2">
        <f t="shared" si="104"/>
        <v>1214.5684116549246</v>
      </c>
      <c r="CD21" s="2">
        <f t="shared" si="104"/>
        <v>1190.2770434218262</v>
      </c>
      <c r="CE21" s="2">
        <f t="shared" si="104"/>
        <v>1166.4715025533897</v>
      </c>
      <c r="CF21" s="2">
        <f t="shared" si="104"/>
        <v>1143.1420725023218</v>
      </c>
      <c r="CG21" s="2">
        <f t="shared" si="104"/>
        <v>1120.2792310522752</v>
      </c>
      <c r="CH21" s="2">
        <f t="shared" si="104"/>
        <v>1097.8736464312296</v>
      </c>
      <c r="CI21" s="2">
        <f t="shared" si="104"/>
        <v>1075.916173502605</v>
      </c>
      <c r="CJ21" s="2">
        <f t="shared" si="104"/>
        <v>1054.3978500325529</v>
      </c>
      <c r="CK21" s="2">
        <f t="shared" si="104"/>
        <v>1033.3098930319018</v>
      </c>
      <c r="CL21" s="2">
        <f t="shared" si="104"/>
        <v>1012.6436951712637</v>
      </c>
      <c r="CM21" s="2">
        <f t="shared" si="104"/>
        <v>992.39082126783842</v>
      </c>
      <c r="CN21" s="2">
        <f t="shared" si="104"/>
        <v>972.54300484248165</v>
      </c>
      <c r="CO21" s="2">
        <f t="shared" si="104"/>
        <v>953.09214474563203</v>
      </c>
      <c r="CP21" s="2">
        <f t="shared" si="104"/>
        <v>934.03030185071941</v>
      </c>
      <c r="CQ21" s="2">
        <f t="shared" si="104"/>
        <v>915.34969581370501</v>
      </c>
      <c r="CR21" s="2">
        <f t="shared" si="104"/>
        <v>897.0427018974309</v>
      </c>
      <c r="CS21" s="2">
        <f t="shared" si="104"/>
        <v>879.10184785948229</v>
      </c>
      <c r="CT21" s="2">
        <f t="shared" si="104"/>
        <v>861.51981090229265</v>
      </c>
      <c r="CU21" s="2">
        <f t="shared" si="104"/>
        <v>844.28941468424682</v>
      </c>
      <c r="CV21" s="2">
        <f t="shared" si="104"/>
        <v>827.40362639056184</v>
      </c>
      <c r="CW21" s="2">
        <f t="shared" si="104"/>
        <v>810.85555386275064</v>
      </c>
      <c r="CX21" s="2">
        <f t="shared" si="104"/>
        <v>794.63844278549561</v>
      </c>
      <c r="CY21" s="2">
        <f t="shared" si="104"/>
        <v>778.74567392978565</v>
      </c>
      <c r="CZ21" s="2">
        <f t="shared" si="104"/>
        <v>763.17076045118995</v>
      </c>
      <c r="DA21" s="2">
        <f t="shared" si="104"/>
        <v>747.90734524216612</v>
      </c>
      <c r="DB21" s="2">
        <f t="shared" si="104"/>
        <v>732.94919833732274</v>
      </c>
      <c r="DC21" s="2">
        <f t="shared" si="104"/>
        <v>718.29021437057622</v>
      </c>
      <c r="DD21" s="2">
        <f t="shared" si="104"/>
        <v>703.92441008316473</v>
      </c>
      <c r="DE21" s="2">
        <f t="shared" si="104"/>
        <v>689.84592188150145</v>
      </c>
      <c r="DF21" s="2">
        <f t="shared" si="104"/>
        <v>676.04900344387136</v>
      </c>
      <c r="DG21" s="2">
        <f t="shared" si="104"/>
        <v>662.52802337499395</v>
      </c>
      <c r="DH21" s="2">
        <f t="shared" ref="DH21:EL21" si="105">+DG21*(1+$AW$25)</f>
        <v>649.27746290749405</v>
      </c>
      <c r="DI21" s="2">
        <f t="shared" si="105"/>
        <v>636.29191364934411</v>
      </c>
      <c r="DJ21" s="2">
        <f t="shared" si="105"/>
        <v>623.56607537635716</v>
      </c>
      <c r="DK21" s="2">
        <f t="shared" si="105"/>
        <v>611.09475386883003</v>
      </c>
      <c r="DL21" s="2">
        <f t="shared" si="105"/>
        <v>598.87285879145338</v>
      </c>
      <c r="DM21" s="2">
        <f t="shared" si="105"/>
        <v>586.89540161562434</v>
      </c>
      <c r="DN21" s="2">
        <f t="shared" si="105"/>
        <v>575.15749358331186</v>
      </c>
      <c r="DO21" s="2">
        <f t="shared" si="105"/>
        <v>563.65434371164565</v>
      </c>
      <c r="DP21" s="2">
        <f t="shared" si="105"/>
        <v>552.38125683741271</v>
      </c>
      <c r="DQ21" s="2">
        <f t="shared" si="105"/>
        <v>541.33363170066445</v>
      </c>
      <c r="DR21" s="2">
        <f t="shared" si="105"/>
        <v>530.50695906665112</v>
      </c>
      <c r="DS21" s="2">
        <f t="shared" si="105"/>
        <v>519.89681988531811</v>
      </c>
      <c r="DT21" s="2">
        <f t="shared" si="105"/>
        <v>509.49888348761175</v>
      </c>
      <c r="DU21" s="2">
        <f t="shared" si="105"/>
        <v>499.30890581785951</v>
      </c>
      <c r="DV21" s="2">
        <f t="shared" si="105"/>
        <v>489.32272770150229</v>
      </c>
      <c r="DW21" s="2">
        <f t="shared" si="105"/>
        <v>479.53627314747223</v>
      </c>
      <c r="DX21" s="2">
        <f t="shared" si="105"/>
        <v>469.94554768452275</v>
      </c>
      <c r="DY21" s="2">
        <f t="shared" si="105"/>
        <v>460.54663673083229</v>
      </c>
      <c r="DZ21" s="2">
        <f t="shared" si="105"/>
        <v>451.33570399621561</v>
      </c>
      <c r="EA21" s="2">
        <f t="shared" si="105"/>
        <v>442.3089899162913</v>
      </c>
      <c r="EB21" s="2">
        <f t="shared" si="105"/>
        <v>433.46281011796549</v>
      </c>
      <c r="EC21" s="2">
        <f t="shared" si="105"/>
        <v>424.7935539156062</v>
      </c>
      <c r="ED21" s="2">
        <f t="shared" si="105"/>
        <v>416.29768283729408</v>
      </c>
      <c r="EE21" s="2">
        <f t="shared" si="105"/>
        <v>407.97172918054821</v>
      </c>
      <c r="EF21" s="2">
        <f t="shared" si="105"/>
        <v>399.81229459693725</v>
      </c>
      <c r="EG21" s="2">
        <f t="shared" si="105"/>
        <v>391.81604870499848</v>
      </c>
      <c r="EH21" s="2">
        <f t="shared" si="105"/>
        <v>383.9797277308985</v>
      </c>
      <c r="EI21" s="2">
        <f t="shared" si="105"/>
        <v>376.30013317628055</v>
      </c>
      <c r="EJ21" s="2">
        <f t="shared" si="105"/>
        <v>368.77413051275494</v>
      </c>
      <c r="EK21" s="2">
        <f t="shared" si="105"/>
        <v>361.39864790249982</v>
      </c>
      <c r="EL21" s="2">
        <f t="shared" si="105"/>
        <v>354.17067494444984</v>
      </c>
    </row>
    <row r="22" spans="2:142" s="2" customFormat="1" x14ac:dyDescent="0.2">
      <c r="B22" s="2" t="s">
        <v>23</v>
      </c>
      <c r="C22" s="9">
        <f t="shared" ref="C22:K22" si="106">C21/C23</f>
        <v>0.74608150470219436</v>
      </c>
      <c r="D22" s="9">
        <f t="shared" si="106"/>
        <v>0.59826361483820045</v>
      </c>
      <c r="E22" s="9">
        <f t="shared" si="106"/>
        <v>0.4148681055155875</v>
      </c>
      <c r="F22" s="9">
        <f t="shared" si="106"/>
        <v>0.59548751007252221</v>
      </c>
      <c r="G22" s="9">
        <f t="shared" si="106"/>
        <v>0.55655004068348246</v>
      </c>
      <c r="H22" s="9">
        <f t="shared" si="106"/>
        <v>0.57632653061224492</v>
      </c>
      <c r="I22" s="9">
        <f t="shared" si="106"/>
        <v>0.45380212591986918</v>
      </c>
      <c r="J22" s="9">
        <f t="shared" si="106"/>
        <v>0.4435215946843854</v>
      </c>
      <c r="K22" s="9">
        <f t="shared" si="106"/>
        <v>0.2975498338870432</v>
      </c>
      <c r="L22" s="9">
        <f t="shared" ref="L22:N22" si="107">L21/L23</f>
        <v>0.31491694352159477</v>
      </c>
      <c r="M22" s="9">
        <f t="shared" si="107"/>
        <v>0.30771594684385384</v>
      </c>
      <c r="N22" s="9">
        <f t="shared" si="107"/>
        <v>0.40217607973421932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9">
        <f t="shared" ref="AC22:AD22" si="108">AC21/AC23</f>
        <v>1.6778370144706778</v>
      </c>
      <c r="AD22" s="9">
        <f t="shared" si="108"/>
        <v>2.0703437250199839</v>
      </c>
      <c r="AE22" s="9">
        <f>AE21/AE23</f>
        <v>1.6295081967213114</v>
      </c>
      <c r="AF22" s="9">
        <f>AF21/AF23</f>
        <v>1.3050163934426229</v>
      </c>
      <c r="AG22" s="9">
        <f>AG21/AG23</f>
        <v>1.4827490163934427</v>
      </c>
      <c r="AH22" s="9">
        <f t="shared" ref="AH22:AT22" si="109">AH21/AH23</f>
        <v>1.5789378405737713</v>
      </c>
      <c r="AI22" s="9">
        <f t="shared" si="109"/>
        <v>1.64919337621414</v>
      </c>
      <c r="AJ22" s="9">
        <f t="shared" si="109"/>
        <v>1.7211440984085322</v>
      </c>
      <c r="AK22" s="9">
        <f t="shared" si="109"/>
        <v>1.8058246287033577</v>
      </c>
      <c r="AL22" s="9">
        <f t="shared" si="109"/>
        <v>1.859512001943223</v>
      </c>
      <c r="AM22" s="9">
        <f t="shared" si="109"/>
        <v>1.8817071491349773</v>
      </c>
      <c r="AN22" s="9">
        <f t="shared" si="109"/>
        <v>1.9032074843015201</v>
      </c>
      <c r="AO22" s="9">
        <f t="shared" si="109"/>
        <v>1.9240397727356762</v>
      </c>
      <c r="AP22" s="9">
        <f t="shared" si="109"/>
        <v>1.9442299597973343</v>
      </c>
      <c r="AQ22" s="9">
        <f t="shared" si="109"/>
        <v>1.9638031959979392</v>
      </c>
      <c r="AR22" s="9">
        <f t="shared" si="109"/>
        <v>1.9827838613299629</v>
      </c>
      <c r="AS22" s="9">
        <f t="shared" si="109"/>
        <v>2.0011955888640469</v>
      </c>
      <c r="AT22" s="9">
        <f t="shared" si="109"/>
        <v>2.0190612876358118</v>
      </c>
    </row>
    <row r="23" spans="2:142" s="2" customFormat="1" x14ac:dyDescent="0.2">
      <c r="B23" s="2" t="s">
        <v>1</v>
      </c>
      <c r="C23" s="6">
        <v>1276</v>
      </c>
      <c r="D23" s="6">
        <v>1267</v>
      </c>
      <c r="E23" s="6">
        <v>1251</v>
      </c>
      <c r="F23" s="6">
        <v>1241</v>
      </c>
      <c r="G23" s="6">
        <v>1229</v>
      </c>
      <c r="H23" s="6">
        <v>1225</v>
      </c>
      <c r="I23" s="6">
        <v>1223</v>
      </c>
      <c r="J23" s="6">
        <v>1204</v>
      </c>
      <c r="K23" s="6">
        <v>1204</v>
      </c>
      <c r="L23" s="6">
        <v>1204</v>
      </c>
      <c r="M23" s="6">
        <v>1204</v>
      </c>
      <c r="N23" s="6">
        <v>1204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>
        <v>1313</v>
      </c>
      <c r="AD23" s="6">
        <v>1251</v>
      </c>
      <c r="AE23" s="6">
        <v>1220</v>
      </c>
      <c r="AF23" s="6">
        <f>AE23</f>
        <v>1220</v>
      </c>
      <c r="AG23" s="6">
        <f>+AF23</f>
        <v>1220</v>
      </c>
      <c r="AH23" s="6">
        <f t="shared" ref="AH23:AT23" si="110">+AG23</f>
        <v>1220</v>
      </c>
      <c r="AI23" s="6">
        <f t="shared" si="110"/>
        <v>1220</v>
      </c>
      <c r="AJ23" s="6">
        <f t="shared" si="110"/>
        <v>1220</v>
      </c>
      <c r="AK23" s="6">
        <f t="shared" si="110"/>
        <v>1220</v>
      </c>
      <c r="AL23" s="6">
        <f t="shared" si="110"/>
        <v>1220</v>
      </c>
      <c r="AM23" s="6">
        <f t="shared" si="110"/>
        <v>1220</v>
      </c>
      <c r="AN23" s="6">
        <f t="shared" si="110"/>
        <v>1220</v>
      </c>
      <c r="AO23" s="6">
        <f t="shared" si="110"/>
        <v>1220</v>
      </c>
      <c r="AP23" s="6">
        <f t="shared" si="110"/>
        <v>1220</v>
      </c>
      <c r="AQ23" s="6">
        <f t="shared" si="110"/>
        <v>1220</v>
      </c>
      <c r="AR23" s="6">
        <f t="shared" si="110"/>
        <v>1220</v>
      </c>
      <c r="AS23" s="6">
        <f t="shared" si="110"/>
        <v>1220</v>
      </c>
      <c r="AT23" s="6">
        <f t="shared" si="110"/>
        <v>1220</v>
      </c>
    </row>
    <row r="25" spans="2:142" x14ac:dyDescent="0.2">
      <c r="B25" s="2" t="s">
        <v>36</v>
      </c>
      <c r="G25" s="5">
        <f>G9/C9-1</f>
        <v>4.364148287189118E-2</v>
      </c>
      <c r="H25" s="5">
        <f>H9/D9-1</f>
        <v>6.7267852790640958E-2</v>
      </c>
      <c r="I25" s="5">
        <f>I9/E9-1</f>
        <v>-2.3720930232558168E-2</v>
      </c>
      <c r="J25" s="5">
        <f>J9/F9-1</f>
        <v>-4.3047783039174004E-4</v>
      </c>
      <c r="K25" s="5">
        <f>K9/G7-1</f>
        <v>2.8999516674721448E-3</v>
      </c>
      <c r="L25" s="5">
        <f>L9/H7-1</f>
        <v>0</v>
      </c>
      <c r="M25" s="5">
        <f t="shared" ref="M25" si="111">M9/I9-1</f>
        <v>0</v>
      </c>
      <c r="N25" s="5">
        <f t="shared" ref="N25" si="112">N9/J9-1</f>
        <v>0</v>
      </c>
      <c r="S25" s="5" t="e">
        <f t="shared" ref="S25" si="113">S9/R9-1</f>
        <v>#DIV/0!</v>
      </c>
      <c r="T25" s="5">
        <f t="shared" ref="T25" si="114">T9/S9-1</f>
        <v>0.51093023126919102</v>
      </c>
      <c r="U25" s="5">
        <f t="shared" ref="U25" si="115">U9/T9-1</f>
        <v>0.39161448826754053</v>
      </c>
      <c r="V25" s="5">
        <f t="shared" ref="V25" si="116">V9/U9-1</f>
        <v>0.31133900550500715</v>
      </c>
      <c r="W25" s="5">
        <f t="shared" ref="W25" si="117">W9/V9-1</f>
        <v>0.28520299289366147</v>
      </c>
      <c r="X25" s="5">
        <f t="shared" ref="X25" si="118">X9/W9-1</f>
        <v>0.11325531008902257</v>
      </c>
      <c r="Y25" s="25">
        <f t="shared" ref="Y25" si="119">Y9/X9-1</f>
        <v>2.1788468939188066E-2</v>
      </c>
      <c r="Z25" s="25">
        <f t="shared" ref="Z25" si="120">Z9/Y9-1</f>
        <v>4.9145663947479212E-2</v>
      </c>
      <c r="AA25" s="5">
        <f>AA9/Z7-1</f>
        <v>0.16106154098143421</v>
      </c>
      <c r="AB25" s="5">
        <f t="shared" ref="AB25:AC25" si="121">AB9/AA9-1</f>
        <v>0.11382113821138207</v>
      </c>
      <c r="AC25" s="5">
        <f t="shared" si="121"/>
        <v>0.1161124628277912</v>
      </c>
      <c r="AD25" s="5">
        <f>AD9/AC9-1</f>
        <v>6.4551289814702706E-2</v>
      </c>
      <c r="AE25" s="5">
        <f t="shared" ref="AE25:AT25" si="122">AE9/AD9-1</f>
        <v>-2.2525597269624553E-2</v>
      </c>
      <c r="AF25" s="5">
        <f t="shared" si="122"/>
        <v>2.3277467411546571E-3</v>
      </c>
      <c r="AG25" s="5">
        <f t="shared" si="122"/>
        <v>3.0000000000000027E-2</v>
      </c>
      <c r="AH25" s="5">
        <f t="shared" si="122"/>
        <v>3.0000000000000027E-2</v>
      </c>
      <c r="AI25" s="5">
        <f t="shared" si="122"/>
        <v>2.0000000000000018E-2</v>
      </c>
      <c r="AJ25" s="5">
        <f t="shared" si="122"/>
        <v>2.0000000000000018E-2</v>
      </c>
      <c r="AK25" s="5">
        <f t="shared" si="122"/>
        <v>1.0000000000000009E-2</v>
      </c>
      <c r="AL25" s="5">
        <f t="shared" si="122"/>
        <v>0</v>
      </c>
      <c r="AM25" s="5">
        <f t="shared" si="122"/>
        <v>-1.0000000000000009E-2</v>
      </c>
      <c r="AN25" s="5">
        <f t="shared" si="122"/>
        <v>-1.0000000000000009E-2</v>
      </c>
      <c r="AO25" s="5">
        <f t="shared" si="122"/>
        <v>-1.000000000000012E-2</v>
      </c>
      <c r="AP25" s="5">
        <f t="shared" si="122"/>
        <v>-1.0000000000000009E-2</v>
      </c>
      <c r="AQ25" s="5">
        <f t="shared" si="122"/>
        <v>-1.0000000000000009E-2</v>
      </c>
      <c r="AR25" s="5">
        <f t="shared" si="122"/>
        <v>-1.000000000000012E-2</v>
      </c>
      <c r="AS25" s="5">
        <f t="shared" si="122"/>
        <v>-1.0000000000000009E-2</v>
      </c>
      <c r="AT25" s="5">
        <f t="shared" si="122"/>
        <v>-1.000000000000012E-2</v>
      </c>
      <c r="AV25" t="s">
        <v>41</v>
      </c>
      <c r="AW25" s="11">
        <v>-0.02</v>
      </c>
    </row>
    <row r="26" spans="2:142" x14ac:dyDescent="0.2">
      <c r="B26" s="2" t="s">
        <v>88</v>
      </c>
      <c r="I26" s="5">
        <f>I4/E4-1</f>
        <v>-2.1613257462314017E-2</v>
      </c>
      <c r="J26" s="5">
        <f>J4/F4-1</f>
        <v>3.0283564283748454E-3</v>
      </c>
      <c r="AV26" t="s">
        <v>42</v>
      </c>
      <c r="AW26" s="12">
        <v>6.5000000000000002E-2</v>
      </c>
    </row>
    <row r="27" spans="2:142" x14ac:dyDescent="0.2">
      <c r="B27" s="2"/>
      <c r="I27" s="5"/>
      <c r="J27" s="5"/>
      <c r="AW27" s="12"/>
    </row>
    <row r="28" spans="2:142" x14ac:dyDescent="0.2">
      <c r="B28" t="s">
        <v>20</v>
      </c>
      <c r="C28" s="5">
        <f t="shared" ref="C28:E28" si="123">C11/C9</f>
        <v>0.68301267010793054</v>
      </c>
      <c r="D28" s="5">
        <f t="shared" si="123"/>
        <v>0.71216183280526446</v>
      </c>
      <c r="E28" s="5">
        <f t="shared" si="123"/>
        <v>0.8079069767441861</v>
      </c>
      <c r="F28" s="5">
        <f t="shared" ref="F28:G28" si="124">F11/F9</f>
        <v>0.80972879896685324</v>
      </c>
      <c r="G28" s="5">
        <f t="shared" si="124"/>
        <v>0.67401079136690645</v>
      </c>
      <c r="H28" s="5">
        <f t="shared" ref="H28:I28" si="125">H11/H9</f>
        <v>0.69216716145238644</v>
      </c>
      <c r="I28" s="5">
        <f t="shared" si="125"/>
        <v>0.7937112910909957</v>
      </c>
      <c r="J28" s="5">
        <f t="shared" ref="J28:K28" si="126">J11/J9</f>
        <v>0.7876830318690784</v>
      </c>
      <c r="K28" s="5">
        <f t="shared" si="126"/>
        <v>0.79</v>
      </c>
      <c r="L28" s="5">
        <f t="shared" ref="L28:N28" si="127">L11/L9</f>
        <v>0.79</v>
      </c>
      <c r="M28" s="5">
        <f t="shared" si="127"/>
        <v>0.79</v>
      </c>
      <c r="N28" s="5">
        <f t="shared" si="127"/>
        <v>0.79</v>
      </c>
      <c r="AC28" s="5">
        <f t="shared" ref="AC28:AD28" si="128">AC11/AC9</f>
        <v>0.81930483226353401</v>
      </c>
      <c r="AD28" s="5">
        <f t="shared" si="128"/>
        <v>0.81080773606370871</v>
      </c>
      <c r="AE28" s="5">
        <f>AE11/AE9</f>
        <v>0.79387802607076352</v>
      </c>
      <c r="AF28" s="5">
        <f t="shared" ref="AF28:AG28" si="129">AF11/AF9</f>
        <v>0.79</v>
      </c>
      <c r="AG28" s="5">
        <f t="shared" si="129"/>
        <v>0.78</v>
      </c>
      <c r="AH28" s="5">
        <f t="shared" ref="AH28:AT28" si="130">AH11/AH9</f>
        <v>0.78</v>
      </c>
      <c r="AI28" s="5">
        <f t="shared" si="130"/>
        <v>0.78</v>
      </c>
      <c r="AJ28" s="5">
        <f t="shared" si="130"/>
        <v>0.78</v>
      </c>
      <c r="AK28" s="5">
        <f t="shared" si="130"/>
        <v>0.78</v>
      </c>
      <c r="AL28" s="5">
        <f t="shared" si="130"/>
        <v>0.78</v>
      </c>
      <c r="AM28" s="5">
        <f t="shared" si="130"/>
        <v>0.78</v>
      </c>
      <c r="AN28" s="5">
        <f t="shared" si="130"/>
        <v>0.78</v>
      </c>
      <c r="AO28" s="5">
        <f t="shared" si="130"/>
        <v>0.78</v>
      </c>
      <c r="AP28" s="5">
        <f t="shared" si="130"/>
        <v>0.78</v>
      </c>
      <c r="AQ28" s="5">
        <f t="shared" si="130"/>
        <v>0.78</v>
      </c>
      <c r="AR28" s="5">
        <f t="shared" si="130"/>
        <v>0.78</v>
      </c>
      <c r="AS28" s="5">
        <f t="shared" si="130"/>
        <v>0.78</v>
      </c>
      <c r="AT28" s="5">
        <f t="shared" si="130"/>
        <v>0.78</v>
      </c>
      <c r="AV28" t="s">
        <v>43</v>
      </c>
      <c r="AW28" s="2">
        <f>NPV(AW26,AG21:EL21)</f>
        <v>31520.882714557312</v>
      </c>
    </row>
    <row r="29" spans="2:142" x14ac:dyDescent="0.2">
      <c r="B29" t="s">
        <v>37</v>
      </c>
      <c r="C29" s="5">
        <f t="shared" ref="C29:D29" si="131">C17/C9</f>
        <v>0.22454246832473018</v>
      </c>
      <c r="D29" s="5">
        <f t="shared" si="131"/>
        <v>0.21740190104801366</v>
      </c>
      <c r="E29" s="5">
        <f t="shared" ref="E29:J29" si="132">E17/E9</f>
        <v>0.28186046511627905</v>
      </c>
      <c r="F29" s="5">
        <f t="shared" si="132"/>
        <v>0.31898407232027548</v>
      </c>
      <c r="G29" s="5">
        <f t="shared" si="132"/>
        <v>0.17760791366906475</v>
      </c>
      <c r="H29" s="5">
        <f t="shared" si="132"/>
        <v>0.17469741950216944</v>
      </c>
      <c r="I29" s="5">
        <f t="shared" si="132"/>
        <v>0.28013339685564553</v>
      </c>
      <c r="J29" s="5">
        <f t="shared" si="132"/>
        <v>0.28983634797588287</v>
      </c>
      <c r="K29" s="5">
        <f t="shared" ref="K29:N29" si="133">K17/K9</f>
        <v>0.23963855421686747</v>
      </c>
      <c r="L29" s="5">
        <f t="shared" si="133"/>
        <v>0.2448771266540643</v>
      </c>
      <c r="M29" s="5">
        <f t="shared" si="133"/>
        <v>0.24272987136731777</v>
      </c>
      <c r="N29" s="5">
        <f t="shared" si="133"/>
        <v>0.26839793281653745</v>
      </c>
      <c r="AC29" s="5">
        <f t="shared" ref="AC29:AE29" si="134">AC17/AC9</f>
        <v>0.31367324694198861</v>
      </c>
      <c r="AD29" s="5">
        <f t="shared" si="134"/>
        <v>0.29021615472127416</v>
      </c>
      <c r="AE29" s="5">
        <f t="shared" si="134"/>
        <v>0.26047486033519551</v>
      </c>
      <c r="AF29" s="5">
        <f t="shared" ref="AF29:AG29" si="135">AF17/AF9</f>
        <v>0.24943334881560611</v>
      </c>
      <c r="AG29" s="5">
        <f t="shared" si="135"/>
        <v>0.26702266875301561</v>
      </c>
      <c r="AH29" s="5">
        <f t="shared" ref="AH29:AT29" si="136">AH17/AH9</f>
        <v>0.27439094053690855</v>
      </c>
      <c r="AI29" s="5">
        <f t="shared" si="136"/>
        <v>0.27920680444794954</v>
      </c>
      <c r="AJ29" s="5">
        <f t="shared" si="136"/>
        <v>0.28392823965485237</v>
      </c>
      <c r="AK29" s="5">
        <f t="shared" si="136"/>
        <v>0.29327761630218502</v>
      </c>
      <c r="AL29" s="5">
        <f t="shared" si="136"/>
        <v>0.30007928781311949</v>
      </c>
      <c r="AM29" s="5">
        <f t="shared" si="136"/>
        <v>0.30452213048356153</v>
      </c>
      <c r="AN29" s="5">
        <f t="shared" si="136"/>
        <v>0.30887521875662083</v>
      </c>
      <c r="AO29" s="5">
        <f t="shared" si="136"/>
        <v>0.31314036585244664</v>
      </c>
      <c r="AP29" s="5">
        <f t="shared" si="136"/>
        <v>0.31731934836047804</v>
      </c>
      <c r="AQ29" s="5">
        <f t="shared" si="136"/>
        <v>0.32141390697945837</v>
      </c>
      <c r="AR29" s="5">
        <f t="shared" si="136"/>
        <v>0.32542574724249951</v>
      </c>
      <c r="AS29" s="5">
        <f t="shared" si="136"/>
        <v>0.32935654022749966</v>
      </c>
      <c r="AT29" s="5">
        <f t="shared" si="136"/>
        <v>0.33320792325320675</v>
      </c>
      <c r="AV29" t="s">
        <v>4</v>
      </c>
      <c r="AW29" s="2">
        <f>Main!N5-Main!N6</f>
        <v>2743</v>
      </c>
    </row>
    <row r="30" spans="2:142" x14ac:dyDescent="0.2">
      <c r="B30" t="s">
        <v>39</v>
      </c>
      <c r="C30" s="5">
        <f t="shared" ref="C30:N30" si="137">C12/C9</f>
        <v>0.18887846081651807</v>
      </c>
      <c r="D30" s="5">
        <f t="shared" si="137"/>
        <v>0.21569583231781622</v>
      </c>
      <c r="E30" s="5">
        <f t="shared" si="137"/>
        <v>0.29023255813953486</v>
      </c>
      <c r="F30" s="5">
        <f t="shared" si="137"/>
        <v>0.26990959965561773</v>
      </c>
      <c r="G30" s="5">
        <f t="shared" si="137"/>
        <v>0.17850719424460432</v>
      </c>
      <c r="H30" s="5">
        <f t="shared" si="137"/>
        <v>0.19091116693308974</v>
      </c>
      <c r="I30" s="5">
        <f t="shared" si="137"/>
        <v>0.26917579799904717</v>
      </c>
      <c r="J30" s="5">
        <f t="shared" si="137"/>
        <v>0.25624461670973298</v>
      </c>
      <c r="K30" s="5">
        <f t="shared" si="137"/>
        <v>0.28000000000000003</v>
      </c>
      <c r="L30" s="5">
        <f t="shared" si="137"/>
        <v>0.28000000000000003</v>
      </c>
      <c r="M30" s="5">
        <f t="shared" si="137"/>
        <v>0.28000000000000003</v>
      </c>
      <c r="N30" s="5">
        <f t="shared" si="137"/>
        <v>0.28000000000000003</v>
      </c>
      <c r="AC30" s="5">
        <f>AC12/AC9</f>
        <v>0.25965847159985467</v>
      </c>
      <c r="AD30" s="5">
        <f t="shared" ref="AD30:AG30" si="138">AD12/AD9</f>
        <v>0.27781569965870306</v>
      </c>
      <c r="AE30" s="5">
        <f t="shared" si="138"/>
        <v>0.26385009310986962</v>
      </c>
      <c r="AF30" s="5">
        <f t="shared" si="138"/>
        <v>0.28000000000000003</v>
      </c>
      <c r="AG30" s="5">
        <f t="shared" si="138"/>
        <v>0.26</v>
      </c>
      <c r="AH30" s="5">
        <f t="shared" ref="AH30:AT30" si="139">AH12/AH9</f>
        <v>0.26</v>
      </c>
      <c r="AI30" s="5">
        <f t="shared" si="139"/>
        <v>0.26</v>
      </c>
      <c r="AJ30" s="5">
        <f t="shared" si="139"/>
        <v>0.26</v>
      </c>
      <c r="AK30" s="5">
        <f t="shared" si="139"/>
        <v>0.26</v>
      </c>
      <c r="AL30" s="5">
        <f t="shared" si="139"/>
        <v>0.26</v>
      </c>
      <c r="AM30" s="5">
        <f t="shared" si="139"/>
        <v>0.26</v>
      </c>
      <c r="AN30" s="5">
        <f t="shared" si="139"/>
        <v>0.26</v>
      </c>
      <c r="AO30" s="5">
        <f t="shared" si="139"/>
        <v>0.26</v>
      </c>
      <c r="AP30" s="5">
        <f t="shared" si="139"/>
        <v>0.26</v>
      </c>
      <c r="AQ30" s="5">
        <f t="shared" si="139"/>
        <v>0.26</v>
      </c>
      <c r="AR30" s="5">
        <f t="shared" si="139"/>
        <v>0.26</v>
      </c>
      <c r="AS30" s="5">
        <f t="shared" si="139"/>
        <v>0.26</v>
      </c>
      <c r="AT30" s="5">
        <f t="shared" si="139"/>
        <v>0.26</v>
      </c>
      <c r="AV30" t="s">
        <v>44</v>
      </c>
      <c r="AW30" s="2">
        <f>+AW28+AW29</f>
        <v>34263.882714557316</v>
      </c>
    </row>
    <row r="31" spans="2:142" x14ac:dyDescent="0.2">
      <c r="AV31" t="s">
        <v>45</v>
      </c>
      <c r="AW31" s="1">
        <f>AW30/Main!N3</f>
        <v>29.086487873138637</v>
      </c>
    </row>
    <row r="32" spans="2:142" s="2" customFormat="1" x14ac:dyDescent="0.2">
      <c r="B32" s="2" t="s">
        <v>40</v>
      </c>
      <c r="C32" s="6"/>
      <c r="D32" s="6"/>
      <c r="E32" s="6"/>
      <c r="F32" s="6"/>
      <c r="G32" s="6"/>
      <c r="H32" s="6"/>
      <c r="I32" s="6">
        <f>I33-I46</f>
        <v>1434</v>
      </c>
      <c r="J32" s="6">
        <f>J33-J46</f>
        <v>2743</v>
      </c>
      <c r="K32" s="6">
        <f>+J32+K21</f>
        <v>3101.25</v>
      </c>
      <c r="L32" s="6">
        <f t="shared" ref="L32:N32" si="140">+K32+L21</f>
        <v>3480.41</v>
      </c>
      <c r="M32" s="6">
        <f t="shared" si="140"/>
        <v>3850.8999999999996</v>
      </c>
      <c r="N32" s="6">
        <f t="shared" si="140"/>
        <v>4335.12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>
        <v>2743</v>
      </c>
      <c r="AF32" s="6">
        <f>+AE32+AF21</f>
        <v>4335.12</v>
      </c>
      <c r="AG32" s="6">
        <f t="shared" ref="AG32:AT32" si="141">+AF32+AG21</f>
        <v>6144.0738000000001</v>
      </c>
      <c r="AH32" s="6">
        <f t="shared" si="141"/>
        <v>8070.3779655000017</v>
      </c>
      <c r="AI32" s="6">
        <f t="shared" si="141"/>
        <v>10082.393884481253</v>
      </c>
      <c r="AJ32" s="6">
        <f t="shared" si="141"/>
        <v>12182.189684539662</v>
      </c>
      <c r="AK32" s="6">
        <f t="shared" si="141"/>
        <v>14385.295731557759</v>
      </c>
      <c r="AL32" s="6">
        <f t="shared" si="141"/>
        <v>16653.900373928489</v>
      </c>
      <c r="AM32" s="6">
        <f t="shared" si="141"/>
        <v>18949.58309587316</v>
      </c>
      <c r="AN32" s="6">
        <f t="shared" si="141"/>
        <v>21271.496226721014</v>
      </c>
      <c r="AO32" s="6">
        <f t="shared" si="141"/>
        <v>23618.824749458538</v>
      </c>
      <c r="AP32" s="6">
        <f t="shared" si="141"/>
        <v>25990.785300411284</v>
      </c>
      <c r="AQ32" s="6">
        <f t="shared" si="141"/>
        <v>28386.625199528771</v>
      </c>
      <c r="AR32" s="6">
        <f t="shared" si="141"/>
        <v>30805.621510351324</v>
      </c>
      <c r="AS32" s="6">
        <f t="shared" si="141"/>
        <v>33247.080128765461</v>
      </c>
      <c r="AT32" s="6">
        <f t="shared" si="141"/>
        <v>35710.334899681155</v>
      </c>
      <c r="AV32" s="2" t="s">
        <v>46</v>
      </c>
      <c r="AW32" s="1">
        <f>Main!N2</f>
        <v>24.34</v>
      </c>
    </row>
    <row r="33" spans="2:49" s="2" customFormat="1" x14ac:dyDescent="0.2">
      <c r="B33" s="2" t="s">
        <v>4</v>
      </c>
      <c r="C33" s="6"/>
      <c r="D33" s="6"/>
      <c r="E33" s="6"/>
      <c r="F33" s="6"/>
      <c r="G33" s="6"/>
      <c r="H33" s="6"/>
      <c r="I33" s="6">
        <f>2387+2914+3572</f>
        <v>8873</v>
      </c>
      <c r="J33" s="6">
        <f>1832+4299+3391</f>
        <v>9522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V33" s="2" t="s">
        <v>47</v>
      </c>
      <c r="AW33" s="11">
        <f>+AW31/AW32-1</f>
        <v>0.19500771869920452</v>
      </c>
    </row>
    <row r="34" spans="2:49" s="2" customFormat="1" x14ac:dyDescent="0.2">
      <c r="B34" s="2" t="s">
        <v>48</v>
      </c>
      <c r="C34" s="6"/>
      <c r="D34" s="6"/>
      <c r="E34" s="6"/>
      <c r="F34" s="6"/>
      <c r="G34" s="6"/>
      <c r="H34" s="6"/>
      <c r="I34" s="6">
        <v>595</v>
      </c>
      <c r="J34" s="6">
        <v>619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2:49" s="2" customFormat="1" x14ac:dyDescent="0.2">
      <c r="B35" s="2" t="s">
        <v>49</v>
      </c>
      <c r="C35" s="6"/>
      <c r="D35" s="6"/>
      <c r="E35" s="6"/>
      <c r="F35" s="6"/>
      <c r="G35" s="6"/>
      <c r="H35" s="6"/>
      <c r="I35" s="6">
        <f>1152+1232</f>
        <v>2384</v>
      </c>
      <c r="J35" s="6">
        <v>1154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2:49" s="2" customFormat="1" x14ac:dyDescent="0.2">
      <c r="B36" s="2" t="s">
        <v>50</v>
      </c>
      <c r="C36" s="6"/>
      <c r="D36" s="6"/>
      <c r="E36" s="6"/>
      <c r="F36" s="6"/>
      <c r="G36" s="6"/>
      <c r="H36" s="6"/>
      <c r="I36" s="6">
        <v>1535</v>
      </c>
      <c r="J36" s="6">
        <v>1554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2:49" s="2" customFormat="1" x14ac:dyDescent="0.2">
      <c r="B37" s="2" t="s">
        <v>51</v>
      </c>
      <c r="C37" s="6"/>
      <c r="D37" s="6"/>
      <c r="E37" s="6"/>
      <c r="F37" s="6"/>
      <c r="G37" s="6"/>
      <c r="H37" s="6"/>
      <c r="I37" s="6">
        <f>4442+90</f>
        <v>4532</v>
      </c>
      <c r="J37" s="6">
        <f>4451+90</f>
        <v>4541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2:49" s="2" customFormat="1" x14ac:dyDescent="0.2">
      <c r="B38" s="2" t="s">
        <v>52</v>
      </c>
      <c r="C38" s="6"/>
      <c r="D38" s="6"/>
      <c r="E38" s="6"/>
      <c r="F38" s="6"/>
      <c r="G38" s="6"/>
      <c r="H38" s="6"/>
      <c r="I38" s="6">
        <v>419</v>
      </c>
      <c r="J38" s="6">
        <v>395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2:49" s="2" customFormat="1" x14ac:dyDescent="0.2">
      <c r="B39" s="2" t="s">
        <v>53</v>
      </c>
      <c r="C39" s="6"/>
      <c r="D39" s="6"/>
      <c r="E39" s="6"/>
      <c r="F39" s="6"/>
      <c r="G39" s="6"/>
      <c r="H39" s="6"/>
      <c r="I39" s="6">
        <f>SUM(I33:I38)</f>
        <v>18338</v>
      </c>
      <c r="J39" s="6">
        <f>SUM(J33:J38)</f>
        <v>17785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2:49" s="2" customFormat="1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2:49" s="2" customFormat="1" x14ac:dyDescent="0.2">
      <c r="B41" s="2" t="s">
        <v>54</v>
      </c>
      <c r="C41" s="6"/>
      <c r="D41" s="6"/>
      <c r="E41" s="6"/>
      <c r="F41" s="6"/>
      <c r="G41" s="6"/>
      <c r="H41" s="6"/>
      <c r="I41" s="6">
        <v>175</v>
      </c>
      <c r="J41" s="6">
        <v>349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2:49" s="2" customFormat="1" x14ac:dyDescent="0.2">
      <c r="B42" s="2" t="s">
        <v>55</v>
      </c>
      <c r="C42" s="6"/>
      <c r="D42" s="6"/>
      <c r="E42" s="6"/>
      <c r="F42" s="6"/>
      <c r="G42" s="6"/>
      <c r="H42" s="6"/>
      <c r="I42" s="6">
        <v>3106</v>
      </c>
      <c r="J42" s="6">
        <v>1736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2:49" s="2" customFormat="1" x14ac:dyDescent="0.2">
      <c r="B43" s="2" t="s">
        <v>56</v>
      </c>
      <c r="C43" s="6"/>
      <c r="D43" s="6"/>
      <c r="E43" s="6"/>
      <c r="F43" s="6"/>
      <c r="G43" s="6"/>
      <c r="H43" s="6"/>
      <c r="I43" s="6">
        <v>137</v>
      </c>
      <c r="J43" s="6">
        <v>106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2:49" s="2" customFormat="1" x14ac:dyDescent="0.2">
      <c r="B44" s="2" t="s">
        <v>25</v>
      </c>
      <c r="C44" s="6"/>
      <c r="D44" s="6"/>
      <c r="E44" s="6"/>
      <c r="F44" s="6"/>
      <c r="G44" s="6"/>
      <c r="H44" s="6"/>
      <c r="I44" s="6">
        <v>57</v>
      </c>
      <c r="J44" s="6">
        <v>72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2:49" s="2" customFormat="1" x14ac:dyDescent="0.2">
      <c r="B45" s="2" t="s">
        <v>57</v>
      </c>
      <c r="C45" s="6"/>
      <c r="D45" s="6"/>
      <c r="E45" s="6"/>
      <c r="F45" s="6"/>
      <c r="G45" s="6"/>
      <c r="H45" s="6"/>
      <c r="I45" s="6">
        <v>511</v>
      </c>
      <c r="J45" s="6">
        <v>2092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2:49" s="2" customFormat="1" x14ac:dyDescent="0.2">
      <c r="B46" s="2" t="s">
        <v>5</v>
      </c>
      <c r="C46" s="6"/>
      <c r="D46" s="6"/>
      <c r="E46" s="6"/>
      <c r="F46" s="6"/>
      <c r="G46" s="6"/>
      <c r="H46" s="6"/>
      <c r="I46" s="6">
        <f>6814+625</f>
        <v>7439</v>
      </c>
      <c r="J46" s="6">
        <v>6779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2:49" s="2" customFormat="1" x14ac:dyDescent="0.2">
      <c r="B47" s="2" t="s">
        <v>58</v>
      </c>
      <c r="C47" s="6"/>
      <c r="D47" s="6"/>
      <c r="E47" s="6"/>
      <c r="F47" s="6"/>
      <c r="G47" s="6"/>
      <c r="H47" s="6"/>
      <c r="I47" s="6">
        <f>336+85</f>
        <v>421</v>
      </c>
      <c r="J47" s="6">
        <v>75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2:49" s="2" customFormat="1" x14ac:dyDescent="0.2">
      <c r="B48" s="2" t="s">
        <v>59</v>
      </c>
      <c r="C48" s="6"/>
      <c r="D48" s="6"/>
      <c r="E48" s="6"/>
      <c r="F48" s="6"/>
      <c r="G48" s="6"/>
      <c r="H48" s="6"/>
      <c r="I48" s="6">
        <f>SUM(I41:I47)</f>
        <v>11846</v>
      </c>
      <c r="J48" s="6">
        <f>SUM(J41:J47)</f>
        <v>11209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2:39" s="2" customFormat="1" x14ac:dyDescent="0.2">
      <c r="B49" s="2" t="s">
        <v>60</v>
      </c>
      <c r="C49" s="6"/>
      <c r="D49" s="6"/>
      <c r="E49" s="6"/>
      <c r="F49" s="6"/>
      <c r="G49" s="6"/>
      <c r="H49" s="6"/>
      <c r="I49" s="6">
        <v>6492</v>
      </c>
      <c r="J49" s="6">
        <v>6576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2:39" s="2" customFormat="1" x14ac:dyDescent="0.2">
      <c r="B50" s="2" t="s">
        <v>61</v>
      </c>
      <c r="C50" s="6"/>
      <c r="D50" s="6"/>
      <c r="E50" s="6"/>
      <c r="F50" s="6"/>
      <c r="G50" s="6"/>
      <c r="H50" s="6"/>
      <c r="I50" s="6">
        <f>+I49+I48</f>
        <v>18338</v>
      </c>
      <c r="J50" s="6">
        <f>+J49+J48</f>
        <v>17785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2" spans="2:39" x14ac:dyDescent="0.2">
      <c r="B52" s="2" t="s">
        <v>65</v>
      </c>
      <c r="I52" s="6">
        <f>I21</f>
        <v>555</v>
      </c>
      <c r="J52" s="6">
        <f>J21</f>
        <v>534</v>
      </c>
    </row>
    <row r="53" spans="2:39" x14ac:dyDescent="0.2">
      <c r="B53" s="2" t="s">
        <v>66</v>
      </c>
      <c r="I53" s="3">
        <v>539</v>
      </c>
      <c r="J53" s="3">
        <v>477</v>
      </c>
    </row>
    <row r="54" spans="2:39" x14ac:dyDescent="0.2">
      <c r="B54" s="2" t="s">
        <v>70</v>
      </c>
      <c r="I54" s="3">
        <v>6</v>
      </c>
      <c r="J54" s="3">
        <v>46</v>
      </c>
    </row>
    <row r="55" spans="2:39" x14ac:dyDescent="0.2">
      <c r="B55" s="2" t="s">
        <v>75</v>
      </c>
      <c r="I55" s="3">
        <v>65</v>
      </c>
      <c r="J55" s="3">
        <v>72</v>
      </c>
    </row>
    <row r="56" spans="2:39" x14ac:dyDescent="0.2">
      <c r="B56" t="s">
        <v>74</v>
      </c>
      <c r="I56" s="3">
        <v>182</v>
      </c>
      <c r="J56" s="3">
        <v>171</v>
      </c>
    </row>
    <row r="57" spans="2:39" x14ac:dyDescent="0.2">
      <c r="B57" t="s">
        <v>73</v>
      </c>
      <c r="I57" s="3">
        <v>93</v>
      </c>
      <c r="J57" s="3">
        <v>78</v>
      </c>
    </row>
    <row r="58" spans="2:39" x14ac:dyDescent="0.2">
      <c r="B58" t="s">
        <v>72</v>
      </c>
      <c r="I58" s="3">
        <v>-110</v>
      </c>
      <c r="J58" s="3">
        <v>17</v>
      </c>
    </row>
    <row r="59" spans="2:39" x14ac:dyDescent="0.2">
      <c r="B59" t="s">
        <v>57</v>
      </c>
      <c r="I59" s="3">
        <v>14</v>
      </c>
      <c r="J59" s="3">
        <v>83</v>
      </c>
    </row>
    <row r="60" spans="2:39" x14ac:dyDescent="0.2">
      <c r="B60" t="s">
        <v>71</v>
      </c>
      <c r="I60" s="3">
        <v>-85</v>
      </c>
      <c r="J60" s="3">
        <v>182</v>
      </c>
    </row>
    <row r="61" spans="2:39" x14ac:dyDescent="0.2">
      <c r="B61" t="s">
        <v>70</v>
      </c>
      <c r="I61" s="3">
        <v>-18</v>
      </c>
      <c r="J61" s="3">
        <v>-86</v>
      </c>
    </row>
    <row r="62" spans="2:39" x14ac:dyDescent="0.2">
      <c r="B62" t="s">
        <v>69</v>
      </c>
      <c r="I62" s="6">
        <f>SUM(I53:I61)</f>
        <v>686</v>
      </c>
      <c r="J62" s="6">
        <f>SUM(J53:J61)</f>
        <v>1040</v>
      </c>
    </row>
    <row r="63" spans="2:39" x14ac:dyDescent="0.2">
      <c r="B63" t="s">
        <v>67</v>
      </c>
      <c r="I63" s="3">
        <v>-242</v>
      </c>
      <c r="J63" s="3">
        <v>-129</v>
      </c>
    </row>
    <row r="64" spans="2:39" x14ac:dyDescent="0.2">
      <c r="B64" t="s">
        <v>68</v>
      </c>
      <c r="I64" s="6">
        <f>+I62+I63</f>
        <v>444</v>
      </c>
      <c r="J64" s="6">
        <f>+J62+J63</f>
        <v>911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2016-03-21T20:48:44Z</dcterms:created>
  <dcterms:modified xsi:type="dcterms:W3CDTF">2016-05-02T01:51:44Z</dcterms:modified>
</cp:coreProperties>
</file>