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640" windowHeight="12165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" l="1"/>
  <c r="N12" i="2"/>
  <c r="N11" i="2"/>
  <c r="N10" i="2"/>
  <c r="N9" i="2"/>
  <c r="N8" i="2"/>
  <c r="N7" i="2"/>
  <c r="N6" i="2"/>
  <c r="N5" i="2"/>
  <c r="N4" i="2"/>
  <c r="N14" i="2" s="1"/>
  <c r="N16" i="2" s="1"/>
  <c r="N3" i="2"/>
  <c r="M25" i="2"/>
  <c r="N26" i="2"/>
  <c r="M26" i="2"/>
  <c r="M24" i="2"/>
  <c r="M22" i="2"/>
  <c r="N19" i="2"/>
  <c r="M19" i="2"/>
  <c r="M20" i="2" s="1"/>
  <c r="N18" i="2"/>
  <c r="N17" i="2"/>
  <c r="M17" i="2"/>
  <c r="M18" i="2"/>
  <c r="M16" i="2"/>
  <c r="M14" i="2"/>
  <c r="M13" i="2"/>
  <c r="M12" i="2"/>
  <c r="M11" i="2"/>
  <c r="M10" i="2"/>
  <c r="M9" i="2"/>
  <c r="M8" i="2"/>
  <c r="M7" i="2"/>
  <c r="M6" i="2"/>
  <c r="M5" i="2"/>
  <c r="M4" i="2"/>
  <c r="M3" i="2"/>
  <c r="I35" i="2"/>
  <c r="I36" i="2"/>
  <c r="E36" i="2"/>
  <c r="E21" i="2"/>
  <c r="E19" i="2"/>
  <c r="E16" i="2"/>
  <c r="I21" i="2"/>
  <c r="I19" i="2"/>
  <c r="I16" i="2"/>
  <c r="I9" i="2"/>
  <c r="I14" i="2"/>
  <c r="E14" i="2"/>
  <c r="E9" i="2"/>
  <c r="F36" i="2"/>
  <c r="F21" i="2"/>
  <c r="F19" i="2"/>
  <c r="F16" i="2"/>
  <c r="J36" i="2"/>
  <c r="J35" i="2"/>
  <c r="J21" i="2"/>
  <c r="J19" i="2"/>
  <c r="J20" i="2" s="1"/>
  <c r="J16" i="2"/>
  <c r="J14" i="2"/>
  <c r="F14" i="2"/>
  <c r="F9" i="2"/>
  <c r="J9" i="2"/>
  <c r="K35" i="2"/>
  <c r="L35" i="2"/>
  <c r="H36" i="2"/>
  <c r="G36" i="2"/>
  <c r="K36" i="2"/>
  <c r="G21" i="2"/>
  <c r="G19" i="2"/>
  <c r="G14" i="2"/>
  <c r="G16" i="2" s="1"/>
  <c r="K21" i="2"/>
  <c r="K19" i="2"/>
  <c r="K16" i="2"/>
  <c r="K14" i="2"/>
  <c r="H21" i="2"/>
  <c r="H19" i="2"/>
  <c r="L21" i="2"/>
  <c r="L19" i="2"/>
  <c r="L16" i="2"/>
  <c r="L20" i="2" s="1"/>
  <c r="L22" i="2" s="1"/>
  <c r="L24" i="2" s="1"/>
  <c r="L25" i="2" s="1"/>
  <c r="H14" i="2"/>
  <c r="H16" i="2" s="1"/>
  <c r="L14" i="2"/>
  <c r="L7" i="1"/>
  <c r="L6" i="1"/>
  <c r="L5" i="1"/>
  <c r="L4" i="1"/>
  <c r="S14" i="2" l="1"/>
  <c r="N20" i="2"/>
  <c r="N22" i="2" s="1"/>
  <c r="N24" i="2" s="1"/>
  <c r="N25" i="2" s="1"/>
  <c r="L36" i="2"/>
  <c r="E20" i="2"/>
  <c r="E22" i="2"/>
  <c r="E24" i="2" s="1"/>
  <c r="E25" i="2" s="1"/>
  <c r="I20" i="2"/>
  <c r="I22" i="2"/>
  <c r="I24" i="2" s="1"/>
  <c r="I25" i="2" s="1"/>
  <c r="J22" i="2"/>
  <c r="J24" i="2" s="1"/>
  <c r="J25" i="2" s="1"/>
  <c r="F20" i="2"/>
  <c r="F22" i="2" s="1"/>
  <c r="F24" i="2" s="1"/>
  <c r="F25" i="2" s="1"/>
  <c r="G20" i="2"/>
  <c r="G22" i="2"/>
  <c r="K20" i="2"/>
  <c r="K22" i="2" s="1"/>
  <c r="K24" i="2" s="1"/>
  <c r="K25" i="2" s="1"/>
  <c r="H20" i="2"/>
  <c r="H22" i="2" s="1"/>
  <c r="G24" i="2" l="1"/>
  <c r="G25" i="2" s="1"/>
  <c r="H23" i="2"/>
  <c r="H24" i="2" s="1"/>
  <c r="H25" i="2" s="1"/>
</calcChain>
</file>

<file path=xl/comments1.xml><?xml version="1.0" encoding="utf-8"?>
<comments xmlns="http://schemas.openxmlformats.org/spreadsheetml/2006/main">
  <authors>
    <author>Martin Shkreli</author>
  </authors>
  <commentList>
    <comment ref="M1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830-870 guidance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3870-4030</t>
        </r>
      </text>
    </comment>
  </commentList>
</comments>
</file>

<file path=xl/sharedStrings.xml><?xml version="1.0" encoding="utf-8"?>
<sst xmlns="http://schemas.openxmlformats.org/spreadsheetml/2006/main" count="50" uniqueCount="45">
  <si>
    <t>Price</t>
  </si>
  <si>
    <t>Shares</t>
  </si>
  <si>
    <t>MC</t>
  </si>
  <si>
    <t>Cash</t>
  </si>
  <si>
    <t>Debt</t>
  </si>
  <si>
    <t>EV</t>
  </si>
  <si>
    <t>Q216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</si>
  <si>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</si>
  <si>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</si>
  <si>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</si>
  <si>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</si>
  <si>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</si>
  <si>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</si>
  <si>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</si>
  <si>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</si>
  <si>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</si>
  <si>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</si>
  <si>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</si>
  <si>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Q316</t>
  </si>
  <si>
    <t>Q416</t>
  </si>
  <si>
    <t>Lidoderm</t>
  </si>
  <si>
    <t>Opana ER</t>
  </si>
  <si>
    <t>Percocet</t>
  </si>
  <si>
    <t>Voltaren</t>
  </si>
  <si>
    <t>Supprelin</t>
  </si>
  <si>
    <t>Xiaflex</t>
  </si>
  <si>
    <t>Other Branded</t>
  </si>
  <si>
    <t>Generics</t>
  </si>
  <si>
    <t>International</t>
  </si>
  <si>
    <t>New Launches</t>
  </si>
  <si>
    <t>Injectable</t>
  </si>
  <si>
    <t>EPS</t>
  </si>
  <si>
    <t>Net Income</t>
  </si>
  <si>
    <t>Taxes</t>
  </si>
  <si>
    <t>Pretax Income</t>
  </si>
  <si>
    <t>Interest</t>
  </si>
  <si>
    <t>Operating Income</t>
  </si>
  <si>
    <t>Operating Expenses</t>
  </si>
  <si>
    <t>R&amp;D</t>
  </si>
  <si>
    <t>SG&amp;A</t>
  </si>
  <si>
    <t>Gross Profit</t>
  </si>
  <si>
    <t>COGS</t>
  </si>
  <si>
    <t>Gross Margin</t>
  </si>
  <si>
    <t>Revenue Growth</t>
  </si>
  <si>
    <t>9/23/16: Paul Campanelli new CEO.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</si>
</sst>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9525</xdr:rowOff>
    </xdr:from>
    <xdr:to>
      <xdr:col>12</xdr:col>
      <xdr:colOff>57150</xdr:colOff>
      <xdr:row>50</xdr:row>
      <xdr:rowOff>38100</xdr:rowOff>
    </xdr:to>
    <xdr:cxnSp macro="">
      <xdr:nvCxnSpPr>
        <xdr:cNvPr id="3" name="Straight Connector 2"/>
        <xdr:cNvCxnSpPr/>
      </xdr:nvCxnSpPr>
      <xdr:spPr>
        <a:xfrm>
          <a:off x="7696200" y="9525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abSelected="1" workbookViewId="0">
      <selection activeCell="B22" sqref="B22"/>
    </sheetView>
  </sheetViews>
  <sheetFormatPr defaultRowHeight="12.75" x14ac:dyDescent="0.2"/>
  <sheetData>
    <row r="2" spans="11:13" x14ac:dyDescent="0.2">
      <c r="K2" t="s">
        <v>0</v>
      </c>
      <c r="L2">
        <v>19.86</v>
      </c>
    </row>
    <row r="3" spans="11:13" x14ac:dyDescent="0.2">
      <c r="K3" t="s">
        <v>1</v>
      </c>
      <c r="L3" s="2">
        <v>222.76668799999999</v>
      </c>
      <c r="M3" s="1" t="s">
        <v>6</v>
      </c>
    </row>
    <row r="4" spans="11:13" x14ac:dyDescent="0.2">
      <c r="K4" t="s">
        <v>2</v>
      </c>
      <c r="L4" s="2">
        <f>+L3*L2</f>
        <v>4424.1464236799993</v>
      </c>
    </row>
    <row r="5" spans="11:13" x14ac:dyDescent="0.2">
      <c r="K5" t="s">
        <v>3</v>
      </c>
      <c r="L5" s="2">
        <f>667.822+388.56+0.033+2.206</f>
        <v>1058.6209999999999</v>
      </c>
      <c r="M5" s="1" t="s">
        <v>6</v>
      </c>
    </row>
    <row r="6" spans="11:13" x14ac:dyDescent="0.2">
      <c r="K6" t="s">
        <v>4</v>
      </c>
      <c r="L6" s="2">
        <f>117.454+8199.888</f>
        <v>8317.3420000000006</v>
      </c>
      <c r="M6" s="1" t="s">
        <v>6</v>
      </c>
    </row>
    <row r="7" spans="11:13" x14ac:dyDescent="0.2">
      <c r="K7" t="s">
        <v>5</v>
      </c>
      <c r="L7" s="2">
        <f>+L4-L5+L6</f>
        <v>11682.86742368</v>
      </c>
    </row>
    <row r="21" spans="2:2" x14ac:dyDescent="0.2">
      <c r="B2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O14" sqref="O14"/>
    </sheetView>
  </sheetViews>
  <sheetFormatPr defaultRowHeight="12.75" x14ac:dyDescent="0.2"/>
  <cols>
    <col min="1" max="1" width="5" bestFit="1" customWidth="1"/>
    <col min="2" max="2" width="18.140625" bestFit="1" customWidth="1"/>
    <col min="3" max="15" width="9.140625" style="1"/>
  </cols>
  <sheetData>
    <row r="1" spans="1:19" x14ac:dyDescent="0.2">
      <c r="A1" s="7" t="s">
        <v>7</v>
      </c>
    </row>
    <row r="2" spans="1:19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S2">
        <v>2016</v>
      </c>
    </row>
    <row r="3" spans="1:19" s="2" customFormat="1" x14ac:dyDescent="0.2">
      <c r="B3" s="2" t="s">
        <v>20</v>
      </c>
      <c r="C3" s="3"/>
      <c r="D3" s="3"/>
      <c r="E3" s="3">
        <v>41602</v>
      </c>
      <c r="F3" s="3">
        <v>39807</v>
      </c>
      <c r="G3" s="3">
        <v>25160</v>
      </c>
      <c r="H3" s="3">
        <v>30186</v>
      </c>
      <c r="I3" s="3">
        <v>29689</v>
      </c>
      <c r="J3" s="3">
        <v>40234</v>
      </c>
      <c r="K3" s="3">
        <v>19712</v>
      </c>
      <c r="L3" s="3">
        <v>27039</v>
      </c>
      <c r="M3" s="3">
        <f>+L3</f>
        <v>27039</v>
      </c>
      <c r="N3" s="3">
        <f>+J3</f>
        <v>40234</v>
      </c>
      <c r="O3" s="3"/>
    </row>
    <row r="4" spans="1:19" s="2" customFormat="1" x14ac:dyDescent="0.2">
      <c r="B4" s="2" t="s">
        <v>21</v>
      </c>
      <c r="C4" s="3"/>
      <c r="D4" s="3"/>
      <c r="E4" s="3">
        <v>49800</v>
      </c>
      <c r="F4" s="3">
        <v>46927</v>
      </c>
      <c r="G4" s="3">
        <v>46859</v>
      </c>
      <c r="H4" s="3">
        <v>43097</v>
      </c>
      <c r="I4" s="3">
        <v>42206</v>
      </c>
      <c r="J4" s="3">
        <v>43610</v>
      </c>
      <c r="K4" s="3">
        <v>44670</v>
      </c>
      <c r="L4" s="3">
        <v>38554</v>
      </c>
      <c r="M4" s="3">
        <f t="shared" ref="M4:N4" si="0">+L4</f>
        <v>38554</v>
      </c>
      <c r="N4" s="3">
        <f t="shared" ref="N4:N13" si="1">+J4</f>
        <v>43610</v>
      </c>
      <c r="O4" s="3"/>
    </row>
    <row r="5" spans="1:19" s="2" customFormat="1" x14ac:dyDescent="0.2">
      <c r="B5" s="2" t="s">
        <v>22</v>
      </c>
      <c r="C5" s="3"/>
      <c r="D5" s="3"/>
      <c r="E5" s="3">
        <v>30709</v>
      </c>
      <c r="F5" s="3">
        <v>31123</v>
      </c>
      <c r="G5" s="3">
        <v>36299</v>
      </c>
      <c r="H5" s="3">
        <v>32444</v>
      </c>
      <c r="I5" s="3">
        <v>31898</v>
      </c>
      <c r="J5" s="3">
        <v>35181</v>
      </c>
      <c r="K5" s="3">
        <v>33593</v>
      </c>
      <c r="L5" s="3">
        <v>35708</v>
      </c>
      <c r="M5" s="3">
        <f t="shared" ref="M5:N5" si="2">+L5</f>
        <v>35708</v>
      </c>
      <c r="N5" s="3">
        <f t="shared" si="1"/>
        <v>35181</v>
      </c>
      <c r="O5" s="3"/>
    </row>
    <row r="6" spans="1:19" s="2" customFormat="1" x14ac:dyDescent="0.2">
      <c r="B6" s="2" t="s">
        <v>23</v>
      </c>
      <c r="C6" s="3"/>
      <c r="D6" s="3"/>
      <c r="E6" s="3">
        <v>46302</v>
      </c>
      <c r="F6" s="3">
        <v>50158</v>
      </c>
      <c r="G6" s="3">
        <v>45471</v>
      </c>
      <c r="H6" s="3">
        <v>51006</v>
      </c>
      <c r="I6" s="3">
        <v>48515</v>
      </c>
      <c r="J6" s="3">
        <v>62169</v>
      </c>
      <c r="K6" s="3">
        <v>35747</v>
      </c>
      <c r="L6" s="3">
        <v>27290</v>
      </c>
      <c r="M6" s="3">
        <f t="shared" ref="M6:N6" si="3">+L6</f>
        <v>27290</v>
      </c>
      <c r="N6" s="3">
        <f t="shared" si="1"/>
        <v>62169</v>
      </c>
      <c r="O6" s="3"/>
    </row>
    <row r="7" spans="1:19" s="2" customFormat="1" x14ac:dyDescent="0.2">
      <c r="B7" s="2" t="s">
        <v>24</v>
      </c>
      <c r="C7" s="3"/>
      <c r="D7" s="3"/>
      <c r="E7" s="3">
        <v>17762</v>
      </c>
      <c r="F7" s="3">
        <v>18142</v>
      </c>
      <c r="G7" s="3">
        <v>16282</v>
      </c>
      <c r="H7" s="3">
        <v>17796</v>
      </c>
      <c r="I7" s="3">
        <v>19095</v>
      </c>
      <c r="J7" s="3">
        <v>16926</v>
      </c>
      <c r="K7" s="3">
        <v>17252</v>
      </c>
      <c r="L7" s="3">
        <v>21211</v>
      </c>
      <c r="M7" s="3">
        <f t="shared" ref="M7:N7" si="4">+L7</f>
        <v>21211</v>
      </c>
      <c r="N7" s="3">
        <f t="shared" si="1"/>
        <v>16926</v>
      </c>
      <c r="O7" s="3"/>
    </row>
    <row r="8" spans="1:19" s="2" customFormat="1" x14ac:dyDescent="0.2">
      <c r="B8" s="2" t="s">
        <v>25</v>
      </c>
      <c r="C8" s="3"/>
      <c r="D8" s="3"/>
      <c r="E8" s="3">
        <v>0</v>
      </c>
      <c r="F8" s="3">
        <v>0</v>
      </c>
      <c r="G8" s="3">
        <v>27966</v>
      </c>
      <c r="H8" s="3">
        <v>39952</v>
      </c>
      <c r="I8" s="3">
        <v>40000</v>
      </c>
      <c r="J8" s="3">
        <v>50197</v>
      </c>
      <c r="K8" s="3">
        <v>44045</v>
      </c>
      <c r="L8" s="3">
        <v>42419</v>
      </c>
      <c r="M8" s="3">
        <f>+I8*1.1</f>
        <v>44000</v>
      </c>
      <c r="N8" s="3">
        <f t="shared" si="1"/>
        <v>50197</v>
      </c>
      <c r="O8" s="3"/>
    </row>
    <row r="9" spans="1:19" s="2" customFormat="1" x14ac:dyDescent="0.2">
      <c r="B9" s="2" t="s">
        <v>26</v>
      </c>
      <c r="C9" s="3"/>
      <c r="D9" s="3"/>
      <c r="E9" s="3">
        <f>37183+17573</f>
        <v>54756</v>
      </c>
      <c r="F9" s="3">
        <f>17941+498+41198</f>
        <v>59637</v>
      </c>
      <c r="G9" s="3">
        <v>86470</v>
      </c>
      <c r="H9" s="3">
        <v>101432</v>
      </c>
      <c r="I9" s="3">
        <f>71788+21587</f>
        <v>93375</v>
      </c>
      <c r="J9" s="3">
        <f>22130+108962</f>
        <v>131092</v>
      </c>
      <c r="K9" s="3">
        <v>113794</v>
      </c>
      <c r="L9" s="3">
        <v>96121</v>
      </c>
      <c r="M9" s="3">
        <f>+L9</f>
        <v>96121</v>
      </c>
      <c r="N9" s="3">
        <f t="shared" si="1"/>
        <v>131092</v>
      </c>
      <c r="O9" s="3"/>
    </row>
    <row r="10" spans="1:19" s="2" customFormat="1" x14ac:dyDescent="0.2">
      <c r="B10" s="2" t="s">
        <v>27</v>
      </c>
      <c r="C10" s="3"/>
      <c r="D10" s="3"/>
      <c r="E10" s="3">
        <v>319399</v>
      </c>
      <c r="F10" s="3">
        <v>337354</v>
      </c>
      <c r="G10" s="3">
        <v>241696</v>
      </c>
      <c r="H10" s="3">
        <v>214241</v>
      </c>
      <c r="I10" s="3">
        <v>367933</v>
      </c>
      <c r="J10" s="3">
        <v>609195</v>
      </c>
      <c r="K10" s="3">
        <v>347429</v>
      </c>
      <c r="L10" s="3">
        <v>331095</v>
      </c>
      <c r="M10" s="3">
        <f>+L10</f>
        <v>331095</v>
      </c>
      <c r="N10" s="3">
        <f t="shared" si="1"/>
        <v>609195</v>
      </c>
      <c r="O10" s="3"/>
    </row>
    <row r="11" spans="1:19" s="2" customFormat="1" x14ac:dyDescent="0.2">
      <c r="B11" s="2" t="s">
        <v>30</v>
      </c>
      <c r="C11" s="3"/>
      <c r="D11" s="3"/>
      <c r="E11" s="3"/>
      <c r="F11" s="3"/>
      <c r="G11" s="3"/>
      <c r="H11" s="3"/>
      <c r="I11" s="3"/>
      <c r="J11" s="3"/>
      <c r="K11" s="3">
        <v>123689</v>
      </c>
      <c r="L11" s="3">
        <v>126245</v>
      </c>
      <c r="M11" s="3">
        <f t="shared" ref="M11:N11" si="5">+L11</f>
        <v>126245</v>
      </c>
      <c r="N11" s="3">
        <f t="shared" si="1"/>
        <v>0</v>
      </c>
      <c r="O11" s="3"/>
    </row>
    <row r="12" spans="1:19" s="2" customFormat="1" x14ac:dyDescent="0.2">
      <c r="B12" s="2" t="s">
        <v>29</v>
      </c>
      <c r="C12" s="3"/>
      <c r="D12" s="3"/>
      <c r="E12" s="3"/>
      <c r="F12" s="3"/>
      <c r="G12" s="3">
        <v>115266</v>
      </c>
      <c r="H12" s="3">
        <v>124085</v>
      </c>
      <c r="I12" s="3"/>
      <c r="J12" s="3"/>
      <c r="K12" s="3">
        <v>112272</v>
      </c>
      <c r="L12" s="3">
        <v>108018</v>
      </c>
      <c r="M12" s="3">
        <f t="shared" ref="M12:N12" si="6">+L12</f>
        <v>108018</v>
      </c>
      <c r="N12" s="3">
        <f t="shared" si="1"/>
        <v>0</v>
      </c>
      <c r="O12" s="3"/>
    </row>
    <row r="13" spans="1:19" s="2" customFormat="1" x14ac:dyDescent="0.2">
      <c r="B13" s="2" t="s">
        <v>28</v>
      </c>
      <c r="C13" s="3"/>
      <c r="D13" s="3"/>
      <c r="E13" s="3">
        <v>93786</v>
      </c>
      <c r="F13" s="3">
        <v>79729</v>
      </c>
      <c r="G13" s="3">
        <v>72659</v>
      </c>
      <c r="H13" s="3">
        <v>80927</v>
      </c>
      <c r="I13" s="3">
        <v>73016</v>
      </c>
      <c r="J13" s="3">
        <v>85093</v>
      </c>
      <c r="K13" s="3">
        <v>71336</v>
      </c>
      <c r="L13" s="3">
        <v>67187</v>
      </c>
      <c r="M13" s="3">
        <f t="shared" ref="M13:N13" si="7">+L13</f>
        <v>67187</v>
      </c>
      <c r="N13" s="3">
        <f t="shared" si="1"/>
        <v>85093</v>
      </c>
      <c r="O13" s="3"/>
    </row>
    <row r="14" spans="1:19" s="4" customFormat="1" x14ac:dyDescent="0.2">
      <c r="B14" s="4" t="s">
        <v>8</v>
      </c>
      <c r="C14" s="5"/>
      <c r="D14" s="5"/>
      <c r="E14" s="5">
        <f t="shared" ref="E14:I14" si="8">SUM(E3:E13)</f>
        <v>654116</v>
      </c>
      <c r="F14" s="5">
        <f t="shared" si="8"/>
        <v>662877</v>
      </c>
      <c r="G14" s="5">
        <f t="shared" si="8"/>
        <v>714128</v>
      </c>
      <c r="H14" s="5">
        <f>SUM(H3:H13)</f>
        <v>735166</v>
      </c>
      <c r="I14" s="5">
        <f t="shared" si="8"/>
        <v>745727</v>
      </c>
      <c r="J14" s="5">
        <f t="shared" ref="J14" si="9">SUM(J3:J13)</f>
        <v>1073697</v>
      </c>
      <c r="K14" s="5">
        <f>SUM(K3:K13)</f>
        <v>963539</v>
      </c>
      <c r="L14" s="5">
        <f>SUM(L3:L13)</f>
        <v>920887</v>
      </c>
      <c r="M14" s="5">
        <f t="shared" ref="M14:N14" si="10">SUM(M3:M13)</f>
        <v>922468</v>
      </c>
      <c r="N14" s="5">
        <f t="shared" si="10"/>
        <v>1073697</v>
      </c>
      <c r="O14" s="5"/>
      <c r="S14" s="4">
        <f>SUM(K14:N14)</f>
        <v>3880591</v>
      </c>
    </row>
    <row r="15" spans="1:19" s="2" customFormat="1" x14ac:dyDescent="0.2">
      <c r="B15" s="2" t="s">
        <v>41</v>
      </c>
      <c r="C15" s="3"/>
      <c r="D15" s="3"/>
      <c r="E15" s="3">
        <v>259368</v>
      </c>
      <c r="F15" s="3">
        <v>273117</v>
      </c>
      <c r="G15" s="3">
        <v>248477</v>
      </c>
      <c r="H15" s="3">
        <v>272300</v>
      </c>
      <c r="I15" s="3">
        <v>272492</v>
      </c>
      <c r="J15" s="3">
        <v>423451</v>
      </c>
      <c r="K15" s="3">
        <v>390066</v>
      </c>
      <c r="L15" s="3">
        <v>376518</v>
      </c>
      <c r="M15" s="3"/>
      <c r="N15" s="3"/>
      <c r="O15" s="3"/>
    </row>
    <row r="16" spans="1:19" s="2" customFormat="1" x14ac:dyDescent="0.2">
      <c r="B16" s="2" t="s">
        <v>40</v>
      </c>
      <c r="C16" s="3"/>
      <c r="D16" s="3"/>
      <c r="E16" s="3">
        <f t="shared" ref="E16:G16" si="11">+E14-E15</f>
        <v>394748</v>
      </c>
      <c r="F16" s="3">
        <f t="shared" si="11"/>
        <v>389760</v>
      </c>
      <c r="G16" s="3">
        <f t="shared" si="11"/>
        <v>465651</v>
      </c>
      <c r="H16" s="3">
        <f>+H14-H15</f>
        <v>462866</v>
      </c>
      <c r="I16" s="3">
        <f>+I14-I15</f>
        <v>473235</v>
      </c>
      <c r="J16" s="3">
        <f>+J14-J15</f>
        <v>650246</v>
      </c>
      <c r="K16" s="3">
        <f>+K14-K15</f>
        <v>573473</v>
      </c>
      <c r="L16" s="3">
        <f>+L14-L15</f>
        <v>544369</v>
      </c>
      <c r="M16" s="3">
        <f>+M14*0.6</f>
        <v>553480.79999999993</v>
      </c>
      <c r="N16" s="3">
        <f t="shared" ref="N16" si="12">+N14*0.6</f>
        <v>644218.19999999995</v>
      </c>
      <c r="O16" s="3"/>
    </row>
    <row r="17" spans="2:15" s="2" customFormat="1" x14ac:dyDescent="0.2">
      <c r="B17" s="2" t="s">
        <v>39</v>
      </c>
      <c r="C17" s="3"/>
      <c r="D17" s="3"/>
      <c r="E17" s="3">
        <v>117370</v>
      </c>
      <c r="F17" s="3">
        <v>126151</v>
      </c>
      <c r="G17" s="3">
        <v>132168</v>
      </c>
      <c r="H17" s="3">
        <v>154491</v>
      </c>
      <c r="I17" s="3">
        <v>141450</v>
      </c>
      <c r="J17" s="3">
        <v>212014</v>
      </c>
      <c r="K17" s="3">
        <v>175176</v>
      </c>
      <c r="L17" s="3">
        <v>193070</v>
      </c>
      <c r="M17" s="3">
        <f t="shared" ref="M17:N17" si="13">AVERAGE(I17:L17)</f>
        <v>180427.5</v>
      </c>
      <c r="N17" s="3">
        <f t="shared" si="13"/>
        <v>190171.875</v>
      </c>
      <c r="O17" s="3"/>
    </row>
    <row r="18" spans="2:15" s="2" customFormat="1" x14ac:dyDescent="0.2">
      <c r="B18" s="2" t="s">
        <v>38</v>
      </c>
      <c r="C18" s="3"/>
      <c r="D18" s="3"/>
      <c r="E18" s="3">
        <v>16513</v>
      </c>
      <c r="F18" s="3">
        <v>18141</v>
      </c>
      <c r="G18" s="3">
        <v>15834</v>
      </c>
      <c r="H18" s="3">
        <v>18984</v>
      </c>
      <c r="I18" s="3">
        <v>16713</v>
      </c>
      <c r="J18" s="3">
        <v>43989</v>
      </c>
      <c r="K18" s="3">
        <v>39592</v>
      </c>
      <c r="L18" s="3">
        <v>50589</v>
      </c>
      <c r="M18" s="3">
        <f>AVERAGE(I18:L18)</f>
        <v>37720.75</v>
      </c>
      <c r="N18" s="3">
        <f t="shared" ref="N18" si="14">AVERAGE(J18:M18)</f>
        <v>42972.6875</v>
      </c>
      <c r="O18" s="3"/>
    </row>
    <row r="19" spans="2:15" s="2" customFormat="1" x14ac:dyDescent="0.2">
      <c r="B19" s="2" t="s">
        <v>37</v>
      </c>
      <c r="C19" s="3"/>
      <c r="D19" s="3"/>
      <c r="E19" s="3">
        <f t="shared" ref="E19:G19" si="15">+E18+E17</f>
        <v>133883</v>
      </c>
      <c r="F19" s="3">
        <f t="shared" si="15"/>
        <v>144292</v>
      </c>
      <c r="G19" s="3">
        <f t="shared" si="15"/>
        <v>148002</v>
      </c>
      <c r="H19" s="3">
        <f>+H18+H17</f>
        <v>173475</v>
      </c>
      <c r="I19" s="3">
        <f>+I18+I17</f>
        <v>158163</v>
      </c>
      <c r="J19" s="3">
        <f>+J18+J17</f>
        <v>256003</v>
      </c>
      <c r="K19" s="3">
        <f>+K18+K17</f>
        <v>214768</v>
      </c>
      <c r="L19" s="3">
        <f>+L18+L17</f>
        <v>243659</v>
      </c>
      <c r="M19" s="3">
        <f t="shared" ref="M19:N19" si="16">+M18+M17</f>
        <v>218148.25</v>
      </c>
      <c r="N19" s="3">
        <f t="shared" si="16"/>
        <v>233144.5625</v>
      </c>
      <c r="O19" s="3"/>
    </row>
    <row r="20" spans="2:15" s="2" customFormat="1" x14ac:dyDescent="0.2">
      <c r="B20" s="2" t="s">
        <v>36</v>
      </c>
      <c r="C20" s="3"/>
      <c r="D20" s="3"/>
      <c r="E20" s="3">
        <f t="shared" ref="E20:G20" si="17">+E16-E19</f>
        <v>260865</v>
      </c>
      <c r="F20" s="3">
        <f t="shared" si="17"/>
        <v>245468</v>
      </c>
      <c r="G20" s="3">
        <f t="shared" si="17"/>
        <v>317649</v>
      </c>
      <c r="H20" s="3">
        <f>+H16-H19</f>
        <v>289391</v>
      </c>
      <c r="I20" s="3">
        <f>+I16-I19</f>
        <v>315072</v>
      </c>
      <c r="J20" s="3">
        <f>+J16-J19</f>
        <v>394243</v>
      </c>
      <c r="K20" s="3">
        <f>+K16-K19</f>
        <v>358705</v>
      </c>
      <c r="L20" s="3">
        <f>+L16-L19</f>
        <v>300710</v>
      </c>
      <c r="M20" s="3">
        <f t="shared" ref="M20:N20" si="18">+M16-M19</f>
        <v>335332.54999999993</v>
      </c>
      <c r="N20" s="3">
        <f t="shared" si="18"/>
        <v>411073.63749999995</v>
      </c>
      <c r="O20" s="3"/>
    </row>
    <row r="21" spans="2:15" s="2" customFormat="1" x14ac:dyDescent="0.2">
      <c r="B21" s="2" t="s">
        <v>35</v>
      </c>
      <c r="C21" s="3"/>
      <c r="D21" s="3"/>
      <c r="E21" s="3">
        <f>-59958-5</f>
        <v>-59963</v>
      </c>
      <c r="F21" s="3">
        <f>-58704+4983</f>
        <v>-53721</v>
      </c>
      <c r="G21" s="3">
        <f>-71760+1861</f>
        <v>-69899</v>
      </c>
      <c r="H21" s="3">
        <f>-80611-24493</f>
        <v>-105104</v>
      </c>
      <c r="I21" s="3">
        <f>-94522-3911</f>
        <v>-98433</v>
      </c>
      <c r="J21" s="3">
        <f>-123018-1102</f>
        <v>-124120</v>
      </c>
      <c r="K21" s="3">
        <f>-112701+3226</f>
        <v>-109475</v>
      </c>
      <c r="L21" s="3">
        <f>-111919-5175</f>
        <v>-117094</v>
      </c>
      <c r="M21" s="3"/>
      <c r="N21" s="3"/>
      <c r="O21" s="3"/>
    </row>
    <row r="22" spans="2:15" s="2" customFormat="1" x14ac:dyDescent="0.2">
      <c r="B22" s="2" t="s">
        <v>34</v>
      </c>
      <c r="C22" s="3"/>
      <c r="D22" s="3"/>
      <c r="E22" s="3">
        <f t="shared" ref="E22:G22" si="19">+E21+E20</f>
        <v>200902</v>
      </c>
      <c r="F22" s="3">
        <f t="shared" si="19"/>
        <v>191747</v>
      </c>
      <c r="G22" s="3">
        <f t="shared" si="19"/>
        <v>247750</v>
      </c>
      <c r="H22" s="3">
        <f>+H21+H20</f>
        <v>184287</v>
      </c>
      <c r="I22" s="3">
        <f>+I21+I20</f>
        <v>216639</v>
      </c>
      <c r="J22" s="3">
        <f>+J21+J20</f>
        <v>270123</v>
      </c>
      <c r="K22" s="3">
        <f>+K21+K20</f>
        <v>249230</v>
      </c>
      <c r="L22" s="3">
        <f>+L21+L20</f>
        <v>183616</v>
      </c>
      <c r="M22" s="3">
        <f t="shared" ref="M22:N22" si="20">+M21+M20</f>
        <v>335332.54999999993</v>
      </c>
      <c r="N22" s="3">
        <f t="shared" si="20"/>
        <v>411073.63749999995</v>
      </c>
      <c r="O22" s="3"/>
    </row>
    <row r="23" spans="2:15" s="2" customFormat="1" x14ac:dyDescent="0.2">
      <c r="B23" s="2" t="s">
        <v>33</v>
      </c>
      <c r="C23" s="3"/>
      <c r="D23" s="3"/>
      <c r="E23" s="3">
        <v>37807</v>
      </c>
      <c r="F23" s="3">
        <v>38850</v>
      </c>
      <c r="G23" s="3">
        <v>40390</v>
      </c>
      <c r="H23" s="3">
        <f>+H22*0.07</f>
        <v>12900.090000000002</v>
      </c>
      <c r="I23" s="3">
        <v>2529</v>
      </c>
      <c r="J23" s="3">
        <v>0</v>
      </c>
      <c r="K23" s="3">
        <v>8499</v>
      </c>
      <c r="L23" s="3">
        <v>0</v>
      </c>
      <c r="M23" s="3">
        <v>0</v>
      </c>
      <c r="N23" s="3">
        <v>0</v>
      </c>
      <c r="O23" s="3"/>
    </row>
    <row r="24" spans="2:15" s="2" customFormat="1" x14ac:dyDescent="0.2">
      <c r="B24" s="2" t="s">
        <v>32</v>
      </c>
      <c r="C24" s="3"/>
      <c r="D24" s="3"/>
      <c r="E24" s="3">
        <f t="shared" ref="E24:G24" si="21">+E22-E23</f>
        <v>163095</v>
      </c>
      <c r="F24" s="3">
        <f t="shared" si="21"/>
        <v>152897</v>
      </c>
      <c r="G24" s="3">
        <f t="shared" si="21"/>
        <v>207360</v>
      </c>
      <c r="H24" s="3">
        <f>+H22-H23</f>
        <v>171386.91</v>
      </c>
      <c r="I24" s="3">
        <f>+I22-I23</f>
        <v>214110</v>
      </c>
      <c r="J24" s="3">
        <f>+J22-J23</f>
        <v>270123</v>
      </c>
      <c r="K24" s="3">
        <f>+K22-K23</f>
        <v>240731</v>
      </c>
      <c r="L24" s="3">
        <f>+L22-L23</f>
        <v>183616</v>
      </c>
      <c r="M24" s="3">
        <f t="shared" ref="M24:N24" si="22">+M22-M23</f>
        <v>335332.54999999993</v>
      </c>
      <c r="N24" s="3">
        <f t="shared" si="22"/>
        <v>411073.63749999995</v>
      </c>
      <c r="O24" s="3"/>
    </row>
    <row r="25" spans="2:15" x14ac:dyDescent="0.2">
      <c r="B25" t="s">
        <v>31</v>
      </c>
      <c r="E25" s="6">
        <f t="shared" ref="E25:G25" si="23">+E24/E26</f>
        <v>1.0259160245321592</v>
      </c>
      <c r="F25" s="6">
        <f t="shared" si="23"/>
        <v>0.96032987256065772</v>
      </c>
      <c r="G25" s="6">
        <f t="shared" si="23"/>
        <v>1.1726848579103633</v>
      </c>
      <c r="H25" s="6">
        <f>+H24/H26</f>
        <v>0.92477612665112663</v>
      </c>
      <c r="I25" s="6">
        <f>+I24/I26</f>
        <v>1.0157647293239147</v>
      </c>
      <c r="J25" s="6">
        <f>+J24/J26</f>
        <v>1.1988363268403743</v>
      </c>
      <c r="K25" s="6">
        <f>+K24/K26</f>
        <v>1.0786405591898915</v>
      </c>
      <c r="L25" s="6">
        <f>+L24/L26</f>
        <v>0.82389629503327155</v>
      </c>
      <c r="M25" s="6">
        <f t="shared" ref="M25:N25" si="24">+M24/M26</f>
        <v>1.504657794250279</v>
      </c>
      <c r="N25" s="6">
        <f t="shared" si="24"/>
        <v>1.8445127163324551</v>
      </c>
    </row>
    <row r="26" spans="2:15" s="2" customFormat="1" x14ac:dyDescent="0.2">
      <c r="B26" s="2" t="s">
        <v>1</v>
      </c>
      <c r="C26" s="3"/>
      <c r="D26" s="3"/>
      <c r="E26" s="3">
        <v>158975</v>
      </c>
      <c r="F26" s="3">
        <v>159213</v>
      </c>
      <c r="G26" s="3">
        <v>176825</v>
      </c>
      <c r="H26" s="3">
        <v>185328</v>
      </c>
      <c r="I26" s="3">
        <v>210787</v>
      </c>
      <c r="J26" s="3">
        <v>225321</v>
      </c>
      <c r="K26" s="3">
        <v>223180</v>
      </c>
      <c r="L26" s="3">
        <v>222863</v>
      </c>
      <c r="M26" s="3">
        <f>+L26</f>
        <v>222863</v>
      </c>
      <c r="N26" s="3">
        <f>+M26</f>
        <v>222863</v>
      </c>
      <c r="O26" s="3"/>
    </row>
    <row r="35" spans="2:12" x14ac:dyDescent="0.2">
      <c r="B35" t="s">
        <v>43</v>
      </c>
      <c r="I35" s="8">
        <f t="shared" ref="I35:K35" si="25">I14/E14-1</f>
        <v>0.14005314042157657</v>
      </c>
      <c r="J35" s="8">
        <f t="shared" si="25"/>
        <v>0.61975298584805327</v>
      </c>
      <c r="K35" s="8">
        <f t="shared" si="25"/>
        <v>0.34925251495530207</v>
      </c>
      <c r="L35" s="8">
        <f>L14/H14-1</f>
        <v>0.2526245773063498</v>
      </c>
    </row>
    <row r="36" spans="2:12" x14ac:dyDescent="0.2">
      <c r="B36" t="s">
        <v>42</v>
      </c>
      <c r="E36" s="8">
        <f t="shared" ref="E36:I36" si="26">E16/E14</f>
        <v>0.60348317423820852</v>
      </c>
      <c r="F36" s="8">
        <f t="shared" si="26"/>
        <v>0.58798238587249219</v>
      </c>
      <c r="G36" s="8">
        <f t="shared" si="26"/>
        <v>0.65205537382654088</v>
      </c>
      <c r="H36" s="8">
        <f t="shared" si="26"/>
        <v>0.62960746280431901</v>
      </c>
      <c r="I36" s="8">
        <f t="shared" si="26"/>
        <v>0.6345955021073395</v>
      </c>
      <c r="J36" s="8">
        <f>J16/J14</f>
        <v>0.6056140605776118</v>
      </c>
      <c r="K36" s="8">
        <f>K16/K14</f>
        <v>0.59517362556160158</v>
      </c>
      <c r="L36" s="8">
        <f>L16/L14</f>
        <v>0.59113550305303475</v>
      </c>
    </row>
    <row r="39" spans="2:12" x14ac:dyDescent="0.2">
      <c r="B39" t="s">
        <v>3</v>
      </c>
    </row>
  </sheetData>
  <hyperlinks>
    <hyperlink ref="A1" location="Main!A1" display="Main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2016-10-15T19:58:31Z</dcterms:created>
  <dcterms:modified xsi:type="dcterms:W3CDTF">2016-10-16T00:21:31Z</dcterms:modified>
</cp:coreProperties>
</file>