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0640" windowHeight="12165" activeTab="1"/>
  </bookViews>
  <sheets>
    <sheet name="Main" sheetId="1" r:id="rId1"/>
    <sheet name="Model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3" i="2" l="1"/>
  <c r="L58" i="2"/>
  <c r="L64" i="2" l="1"/>
  <c r="K64" i="2"/>
  <c r="J64" i="2"/>
  <c r="K63" i="2"/>
  <c r="J63" i="2"/>
  <c r="L61" i="2"/>
  <c r="K61" i="2"/>
  <c r="J61" i="2"/>
  <c r="L60" i="2"/>
  <c r="K60" i="2"/>
  <c r="J60" i="2"/>
  <c r="J36" i="2"/>
  <c r="J37" i="2" s="1"/>
  <c r="J19" i="2"/>
  <c r="J29" i="2"/>
  <c r="J18" i="2"/>
  <c r="K58" i="2"/>
  <c r="J58" i="2"/>
  <c r="L57" i="2"/>
  <c r="K57" i="2"/>
  <c r="J57" i="2"/>
  <c r="I57" i="2"/>
  <c r="H57" i="2"/>
  <c r="G57" i="2"/>
  <c r="J54" i="2"/>
  <c r="J52" i="2"/>
  <c r="J51" i="2"/>
  <c r="J50" i="2"/>
  <c r="J49" i="2"/>
  <c r="J46" i="2"/>
  <c r="J45" i="2"/>
  <c r="J44" i="2"/>
  <c r="J47" i="2" s="1"/>
  <c r="J43" i="2"/>
  <c r="J42" i="2"/>
  <c r="J40" i="2"/>
  <c r="J15" i="2"/>
  <c r="J14" i="2"/>
  <c r="J13" i="2"/>
  <c r="J12" i="2"/>
  <c r="J10" i="2"/>
  <c r="J11" i="2" s="1"/>
  <c r="J9" i="2"/>
  <c r="J8" i="2"/>
  <c r="J7" i="2"/>
  <c r="J6" i="2"/>
  <c r="J5" i="2"/>
  <c r="J4" i="2"/>
  <c r="J3" i="2"/>
  <c r="I54" i="2"/>
  <c r="I51" i="2"/>
  <c r="I52" i="2"/>
  <c r="I50" i="2"/>
  <c r="I49" i="2"/>
  <c r="I46" i="2"/>
  <c r="I45" i="2"/>
  <c r="I44" i="2"/>
  <c r="I43" i="2"/>
  <c r="I42" i="2"/>
  <c r="I40" i="2"/>
  <c r="E14" i="2"/>
  <c r="E12" i="2"/>
  <c r="E9" i="2"/>
  <c r="E10" i="2" s="1"/>
  <c r="E5" i="2"/>
  <c r="E7" i="2" s="1"/>
  <c r="I12" i="2"/>
  <c r="I9" i="2"/>
  <c r="I10" i="2" s="1"/>
  <c r="I5" i="2"/>
  <c r="I7" i="2" s="1"/>
  <c r="H54" i="2"/>
  <c r="H52" i="2"/>
  <c r="H51" i="2"/>
  <c r="H50" i="2"/>
  <c r="H49" i="2"/>
  <c r="H46" i="2"/>
  <c r="H45" i="2"/>
  <c r="H44" i="2"/>
  <c r="H43" i="2"/>
  <c r="H42" i="2"/>
  <c r="H40" i="2"/>
  <c r="G55" i="2"/>
  <c r="G53" i="2"/>
  <c r="G51" i="2"/>
  <c r="G47" i="2"/>
  <c r="G44" i="2"/>
  <c r="G43" i="2"/>
  <c r="J39" i="2"/>
  <c r="H39" i="2"/>
  <c r="G39" i="2"/>
  <c r="L55" i="2"/>
  <c r="L54" i="2"/>
  <c r="L50" i="2"/>
  <c r="L53" i="2" s="1"/>
  <c r="L52" i="2"/>
  <c r="L51" i="2"/>
  <c r="L49" i="2"/>
  <c r="L47" i="2"/>
  <c r="L46" i="2"/>
  <c r="L45" i="2"/>
  <c r="L44" i="2"/>
  <c r="L43" i="2"/>
  <c r="L42" i="2"/>
  <c r="L40" i="2"/>
  <c r="K44" i="2"/>
  <c r="K43" i="2"/>
  <c r="K47" i="2" s="1"/>
  <c r="K51" i="2"/>
  <c r="K53" i="2" s="1"/>
  <c r="K36" i="2"/>
  <c r="K37" i="2" s="1"/>
  <c r="K19" i="2"/>
  <c r="K18" i="2" s="1"/>
  <c r="G14" i="2"/>
  <c r="G12" i="2"/>
  <c r="G9" i="2"/>
  <c r="G10" i="2" s="1"/>
  <c r="G5" i="2"/>
  <c r="G7" i="2" s="1"/>
  <c r="K14" i="2"/>
  <c r="K12" i="2"/>
  <c r="K9" i="2"/>
  <c r="K10" i="2" s="1"/>
  <c r="K5" i="2"/>
  <c r="K7" i="2" s="1"/>
  <c r="H14" i="2"/>
  <c r="H12" i="2"/>
  <c r="H10" i="2"/>
  <c r="H5" i="2"/>
  <c r="H7" i="2" s="1"/>
  <c r="L32" i="2"/>
  <c r="L36" i="2"/>
  <c r="L33" i="2"/>
  <c r="L37" i="2" s="1"/>
  <c r="L34" i="2"/>
  <c r="L20" i="2"/>
  <c r="L19" i="2"/>
  <c r="L29" i="2" s="1"/>
  <c r="M4" i="1"/>
  <c r="M3" i="1"/>
  <c r="L14" i="2"/>
  <c r="L12" i="2"/>
  <c r="L10" i="2"/>
  <c r="L5" i="2"/>
  <c r="L7" i="2" s="1"/>
  <c r="L11" i="2" s="1"/>
  <c r="L13" i="2" s="1"/>
  <c r="L15" i="2" s="1"/>
  <c r="L39" i="2" s="1"/>
  <c r="J53" i="2" l="1"/>
  <c r="J55" i="2"/>
  <c r="I53" i="2"/>
  <c r="I47" i="2"/>
  <c r="E11" i="2"/>
  <c r="E13" i="2"/>
  <c r="E15" i="2" s="1"/>
  <c r="I11" i="2"/>
  <c r="I13" i="2"/>
  <c r="I15" i="2" s="1"/>
  <c r="I39" i="2" s="1"/>
  <c r="H53" i="2"/>
  <c r="H47" i="2"/>
  <c r="H55" i="2"/>
  <c r="L18" i="2"/>
  <c r="K55" i="2"/>
  <c r="K29" i="2"/>
  <c r="G11" i="2"/>
  <c r="G13" i="2" s="1"/>
  <c r="G15" i="2" s="1"/>
  <c r="K11" i="2"/>
  <c r="K13" i="2" s="1"/>
  <c r="K15" i="2" s="1"/>
  <c r="K39" i="2" s="1"/>
  <c r="H11" i="2"/>
  <c r="H13" i="2"/>
  <c r="H15" i="2" s="1"/>
  <c r="I55" i="2" l="1"/>
</calcChain>
</file>

<file path=xl/sharedStrings.xml><?xml version="1.0" encoding="utf-8"?>
<sst xmlns="http://schemas.openxmlformats.org/spreadsheetml/2006/main" count="72" uniqueCount="64">
  <si>
    <t>Price</t>
  </si>
  <si>
    <t>Shares</t>
  </si>
  <si>
    <t>MC</t>
  </si>
  <si>
    <t>Cash</t>
  </si>
  <si>
    <t>Debt</t>
  </si>
  <si>
    <t>EV</t>
  </si>
  <si>
    <t>Main</t>
  </si>
  <si>
    <t>Cars</t>
  </si>
  <si>
    <t>Finance</t>
  </si>
  <si>
    <t>Q114</t>
  </si>
  <si>
    <t>Q214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</si>
  <si>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</si>
  <si>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</si>
  <si>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</si>
  <si>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</si>
  <si>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</si>
  <si>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</si>
  <si>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</si>
  <si>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</si>
  <si>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</si>
  <si>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</si>
  <si>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Revenue</t>
  </si>
  <si>
    <t>COGS</t>
  </si>
  <si>
    <t>Gross Margin</t>
  </si>
  <si>
    <t>SG&amp;A</t>
  </si>
  <si>
    <t>Finance Costs</t>
  </si>
  <si>
    <t>Operating Expenses</t>
  </si>
  <si>
    <t>Operating Income</t>
  </si>
  <si>
    <t>Interest Income</t>
  </si>
  <si>
    <t>Pretax Income</t>
  </si>
  <si>
    <t>Taxes</t>
  </si>
  <si>
    <t>Net Income</t>
  </si>
  <si>
    <t>Finance Receivables</t>
  </si>
  <si>
    <t>AR</t>
  </si>
  <si>
    <t>Inventories</t>
  </si>
  <si>
    <t>OA</t>
  </si>
  <si>
    <t>Operating Leases</t>
  </si>
  <si>
    <t>PP&amp;E</t>
  </si>
  <si>
    <t>Affiliates</t>
  </si>
  <si>
    <t>DT</t>
  </si>
  <si>
    <t>Assets</t>
  </si>
  <si>
    <t>AP</t>
  </si>
  <si>
    <t>OL+DR</t>
  </si>
  <si>
    <t>Finance Debt</t>
  </si>
  <si>
    <t>L+SE</t>
  </si>
  <si>
    <t>SE</t>
  </si>
  <si>
    <t>Net Cash</t>
  </si>
  <si>
    <t>Model NI</t>
  </si>
  <si>
    <t>CFFO</t>
  </si>
  <si>
    <t>CapEx</t>
  </si>
  <si>
    <t>Marketable Securities</t>
  </si>
  <si>
    <t>Derivatives</t>
  </si>
  <si>
    <t>Other</t>
  </si>
  <si>
    <t>CFFI</t>
  </si>
  <si>
    <t>Dividends</t>
  </si>
  <si>
    <t>Buyback</t>
  </si>
  <si>
    <t>CFFF</t>
  </si>
  <si>
    <t>FX</t>
  </si>
  <si>
    <t>CIC</t>
  </si>
  <si>
    <t>CFFO+CapEx</t>
  </si>
  <si>
    <t xml:space="preserve">  TTM</t>
  </si>
  <si>
    <t>Buffett Definition</t>
  </si>
  <si>
    <t xml:space="preserve">  Return</t>
  </si>
  <si>
    <t>Including Leases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</si>
</sst>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1</xdr:row>
      <xdr:rowOff>9525</xdr:rowOff>
    </xdr:from>
    <xdr:to>
      <xdr:col>12</xdr:col>
      <xdr:colOff>47627</xdr:colOff>
      <xdr:row>82</xdr:row>
      <xdr:rowOff>76200</xdr:rowOff>
    </xdr:to>
    <xdr:cxnSp macro="">
      <xdr:nvCxnSpPr>
        <xdr:cNvPr id="3" name="Straight Connector 2"/>
        <xdr:cNvCxnSpPr/>
      </xdr:nvCxnSpPr>
      <xdr:spPr>
        <a:xfrm flipH="1">
          <a:off x="7696200" y="171450"/>
          <a:ext cx="2" cy="13182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2:M7"/>
  <sheetViews>
    <sheetView workbookViewId="0">
      <selection activeCell="M5" sqref="M5"/>
    </sheetView>
  </sheetViews>
  <sheetFormatPr defaultRowHeight="12.75" x14ac:dyDescent="0.2"/>
  <sheetData>
    <row r="2" spans="12:13" x14ac:dyDescent="0.2">
      <c r="L2" t="s">
        <v>0</v>
      </c>
      <c r="M2" s="1">
        <v>11.91</v>
      </c>
    </row>
    <row r="3" spans="12:13" x14ac:dyDescent="0.2">
      <c r="L3" t="s">
        <v>1</v>
      </c>
      <c r="M3">
        <f>3902.388+70.852</f>
        <v>3973.24</v>
      </c>
    </row>
    <row r="4" spans="12:13" x14ac:dyDescent="0.2">
      <c r="L4" t="s">
        <v>2</v>
      </c>
      <c r="M4">
        <f>+M3*M2</f>
        <v>47321.288399999998</v>
      </c>
    </row>
    <row r="5" spans="12:13" x14ac:dyDescent="0.2">
      <c r="L5" t="s">
        <v>3</v>
      </c>
    </row>
    <row r="6" spans="12:13" x14ac:dyDescent="0.2">
      <c r="L6" t="s">
        <v>4</v>
      </c>
    </row>
    <row r="7" spans="12:13" x14ac:dyDescent="0.2">
      <c r="L7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abSelected="1" workbookViewId="0">
      <pane xSplit="2" ySplit="2" topLeftCell="C30" activePane="bottomRight" state="frozen"/>
      <selection pane="topRight" activeCell="C1" sqref="C1"/>
      <selection pane="bottomLeft" activeCell="A3" sqref="A3"/>
      <selection pane="bottomRight" activeCell="N63" sqref="N63"/>
    </sheetView>
  </sheetViews>
  <sheetFormatPr defaultRowHeight="12.75" x14ac:dyDescent="0.2"/>
  <cols>
    <col min="1" max="1" width="5" bestFit="1" customWidth="1"/>
    <col min="2" max="2" width="18.28515625" bestFit="1" customWidth="1"/>
    <col min="3" max="14" width="9.140625" style="2"/>
  </cols>
  <sheetData>
    <row r="1" spans="1:14" x14ac:dyDescent="0.2">
      <c r="A1" s="3" t="s">
        <v>6</v>
      </c>
    </row>
    <row r="2" spans="1:14" x14ac:dyDescent="0.2"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20</v>
      </c>
    </row>
    <row r="3" spans="1:14" s="4" customFormat="1" x14ac:dyDescent="0.2">
      <c r="B3" s="4" t="s">
        <v>7</v>
      </c>
      <c r="C3" s="5"/>
      <c r="D3" s="5"/>
      <c r="E3" s="5">
        <v>32779</v>
      </c>
      <c r="F3" s="5"/>
      <c r="G3" s="5">
        <v>31800</v>
      </c>
      <c r="H3" s="5">
        <v>35105</v>
      </c>
      <c r="I3" s="5">
        <v>35818</v>
      </c>
      <c r="J3" s="5">
        <f>140566-I3-H3-G3</f>
        <v>37843</v>
      </c>
      <c r="K3" s="5">
        <v>35257</v>
      </c>
      <c r="L3" s="5">
        <v>36932</v>
      </c>
      <c r="M3" s="5"/>
      <c r="N3" s="5"/>
    </row>
    <row r="4" spans="1:14" s="4" customFormat="1" x14ac:dyDescent="0.2">
      <c r="B4" s="4" t="s">
        <v>8</v>
      </c>
      <c r="C4" s="5"/>
      <c r="D4" s="5"/>
      <c r="E4" s="5">
        <v>2141</v>
      </c>
      <c r="F4" s="5"/>
      <c r="G4" s="5">
        <v>2100</v>
      </c>
      <c r="H4" s="5">
        <v>2158</v>
      </c>
      <c r="I4" s="5">
        <v>2326</v>
      </c>
      <c r="J4" s="5">
        <f>8992-I4-H4-G4</f>
        <v>2408</v>
      </c>
      <c r="K4" s="5">
        <v>2461</v>
      </c>
      <c r="L4" s="5">
        <v>2553</v>
      </c>
      <c r="M4" s="5"/>
      <c r="N4" s="5"/>
    </row>
    <row r="5" spans="1:14" s="6" customFormat="1" x14ac:dyDescent="0.2">
      <c r="B5" s="6" t="s">
        <v>21</v>
      </c>
      <c r="C5" s="7"/>
      <c r="D5" s="7"/>
      <c r="E5" s="7">
        <f>+E3+E4</f>
        <v>34920</v>
      </c>
      <c r="F5" s="7"/>
      <c r="G5" s="7">
        <f t="shared" ref="G5:L5" si="0">+G3+G4</f>
        <v>33900</v>
      </c>
      <c r="H5" s="7">
        <f t="shared" si="0"/>
        <v>37263</v>
      </c>
      <c r="I5" s="7">
        <f t="shared" si="0"/>
        <v>38144</v>
      </c>
      <c r="J5" s="7">
        <f t="shared" si="0"/>
        <v>40251</v>
      </c>
      <c r="K5" s="7">
        <f t="shared" si="0"/>
        <v>37718</v>
      </c>
      <c r="L5" s="7">
        <f t="shared" si="0"/>
        <v>39485</v>
      </c>
      <c r="M5" s="7"/>
      <c r="N5" s="7"/>
    </row>
    <row r="6" spans="1:14" s="4" customFormat="1" x14ac:dyDescent="0.2">
      <c r="B6" s="4" t="s">
        <v>22</v>
      </c>
      <c r="C6" s="5"/>
      <c r="D6" s="5"/>
      <c r="E6" s="5">
        <v>30197</v>
      </c>
      <c r="F6" s="5"/>
      <c r="G6" s="5">
        <v>28472</v>
      </c>
      <c r="H6" s="5">
        <v>30326</v>
      </c>
      <c r="I6" s="5">
        <v>31493</v>
      </c>
      <c r="J6" s="5">
        <f>124041-I6-H6-G6</f>
        <v>33750</v>
      </c>
      <c r="K6" s="5">
        <v>30281</v>
      </c>
      <c r="L6" s="5">
        <v>32348</v>
      </c>
      <c r="M6" s="5"/>
      <c r="N6" s="5"/>
    </row>
    <row r="7" spans="1:14" s="4" customFormat="1" x14ac:dyDescent="0.2">
      <c r="B7" s="4" t="s">
        <v>23</v>
      </c>
      <c r="C7" s="5"/>
      <c r="D7" s="5"/>
      <c r="E7" s="5">
        <f>+E5-E6</f>
        <v>4723</v>
      </c>
      <c r="F7" s="5"/>
      <c r="G7" s="5">
        <f t="shared" ref="G7:L7" si="1">+G5-G6</f>
        <v>5428</v>
      </c>
      <c r="H7" s="5">
        <f t="shared" si="1"/>
        <v>6937</v>
      </c>
      <c r="I7" s="5">
        <f t="shared" si="1"/>
        <v>6651</v>
      </c>
      <c r="J7" s="5">
        <f t="shared" si="1"/>
        <v>6501</v>
      </c>
      <c r="K7" s="5">
        <f t="shared" si="1"/>
        <v>7437</v>
      </c>
      <c r="L7" s="5">
        <f t="shared" si="1"/>
        <v>7137</v>
      </c>
      <c r="M7" s="5"/>
      <c r="N7" s="5"/>
    </row>
    <row r="8" spans="1:14" s="4" customFormat="1" x14ac:dyDescent="0.2">
      <c r="B8" s="4" t="s">
        <v>24</v>
      </c>
      <c r="C8" s="5"/>
      <c r="D8" s="5"/>
      <c r="E8" s="5">
        <v>3484</v>
      </c>
      <c r="F8" s="5"/>
      <c r="G8" s="5">
        <v>3465</v>
      </c>
      <c r="H8" s="5">
        <v>2544</v>
      </c>
      <c r="I8" s="5">
        <v>3731</v>
      </c>
      <c r="J8" s="5">
        <f>14999-I8-H8-G8</f>
        <v>5259</v>
      </c>
      <c r="K8" s="5">
        <v>3823</v>
      </c>
      <c r="L8" s="5">
        <v>2661</v>
      </c>
      <c r="M8" s="5"/>
      <c r="N8" s="5"/>
    </row>
    <row r="9" spans="1:14" s="4" customFormat="1" x14ac:dyDescent="0.2">
      <c r="B9" s="4" t="s">
        <v>25</v>
      </c>
      <c r="C9" s="5"/>
      <c r="D9" s="5"/>
      <c r="E9" s="5">
        <f>673+74</f>
        <v>747</v>
      </c>
      <c r="F9" s="5"/>
      <c r="G9" s="5">
        <f>647+73</f>
        <v>720</v>
      </c>
      <c r="H9" s="5">
        <v>1745</v>
      </c>
      <c r="I9" s="5">
        <f>592+120</f>
        <v>712</v>
      </c>
      <c r="J9" s="5">
        <f>2454+417-I9-G9-H9</f>
        <v>-306</v>
      </c>
      <c r="K9" s="5">
        <f>658+141</f>
        <v>799</v>
      </c>
      <c r="L9" s="5">
        <v>2258</v>
      </c>
      <c r="M9" s="5"/>
      <c r="N9" s="5"/>
    </row>
    <row r="10" spans="1:14" s="4" customFormat="1" x14ac:dyDescent="0.2">
      <c r="B10" s="4" t="s">
        <v>26</v>
      </c>
      <c r="C10" s="5"/>
      <c r="D10" s="5"/>
      <c r="E10" s="5">
        <f>+E8+E9</f>
        <v>4231</v>
      </c>
      <c r="F10" s="5"/>
      <c r="G10" s="5">
        <f t="shared" ref="G10:L10" si="2">+G8+G9</f>
        <v>4185</v>
      </c>
      <c r="H10" s="5">
        <f t="shared" si="2"/>
        <v>4289</v>
      </c>
      <c r="I10" s="5">
        <f t="shared" si="2"/>
        <v>4443</v>
      </c>
      <c r="J10" s="5">
        <f t="shared" si="2"/>
        <v>4953</v>
      </c>
      <c r="K10" s="5">
        <f t="shared" si="2"/>
        <v>4622</v>
      </c>
      <c r="L10" s="5">
        <f t="shared" si="2"/>
        <v>4919</v>
      </c>
      <c r="M10" s="5"/>
      <c r="N10" s="5"/>
    </row>
    <row r="11" spans="1:14" s="4" customFormat="1" x14ac:dyDescent="0.2">
      <c r="B11" s="4" t="s">
        <v>27</v>
      </c>
      <c r="C11" s="5"/>
      <c r="D11" s="5"/>
      <c r="E11" s="5">
        <f>+E7-E10</f>
        <v>492</v>
      </c>
      <c r="F11" s="5"/>
      <c r="G11" s="5">
        <f t="shared" ref="G11:L11" si="3">+G7-G10</f>
        <v>1243</v>
      </c>
      <c r="H11" s="5">
        <f t="shared" si="3"/>
        <v>2648</v>
      </c>
      <c r="I11" s="5">
        <f t="shared" si="3"/>
        <v>2208</v>
      </c>
      <c r="J11" s="5">
        <f t="shared" si="3"/>
        <v>1548</v>
      </c>
      <c r="K11" s="5">
        <f t="shared" si="3"/>
        <v>2815</v>
      </c>
      <c r="L11" s="5">
        <f t="shared" si="3"/>
        <v>2218</v>
      </c>
      <c r="M11" s="5"/>
      <c r="N11" s="5"/>
    </row>
    <row r="12" spans="1:14" s="4" customFormat="1" x14ac:dyDescent="0.2">
      <c r="B12" s="4" t="s">
        <v>28</v>
      </c>
      <c r="C12" s="5"/>
      <c r="D12" s="5"/>
      <c r="E12" s="5">
        <f>-204+255+90+388</f>
        <v>529</v>
      </c>
      <c r="F12" s="5"/>
      <c r="G12" s="5">
        <f>-165+190+74+437</f>
        <v>536</v>
      </c>
      <c r="H12" s="5">
        <f>-190+272+70+486</f>
        <v>638</v>
      </c>
      <c r="I12" s="5">
        <f>-206+446+97+314</f>
        <v>651</v>
      </c>
      <c r="J12" s="5">
        <f>-773+1188+372+1818-I12-H12-G12</f>
        <v>780</v>
      </c>
      <c r="K12" s="5">
        <f>-200+404+91+541</f>
        <v>836</v>
      </c>
      <c r="L12" s="5">
        <f>-212+389+82+398</f>
        <v>657</v>
      </c>
      <c r="M12" s="5"/>
      <c r="N12" s="5"/>
    </row>
    <row r="13" spans="1:14" s="4" customFormat="1" x14ac:dyDescent="0.2">
      <c r="B13" s="4" t="s">
        <v>29</v>
      </c>
      <c r="C13" s="5"/>
      <c r="D13" s="5"/>
      <c r="E13" s="5">
        <f>+E12+E11</f>
        <v>1021</v>
      </c>
      <c r="F13" s="5"/>
      <c r="G13" s="5">
        <f t="shared" ref="G13:L13" si="4">+G12+G11</f>
        <v>1779</v>
      </c>
      <c r="H13" s="5">
        <f t="shared" si="4"/>
        <v>3286</v>
      </c>
      <c r="I13" s="5">
        <f t="shared" si="4"/>
        <v>2859</v>
      </c>
      <c r="J13" s="5">
        <f t="shared" si="4"/>
        <v>2328</v>
      </c>
      <c r="K13" s="5">
        <f t="shared" si="4"/>
        <v>3651</v>
      </c>
      <c r="L13" s="5">
        <f t="shared" si="4"/>
        <v>2875</v>
      </c>
      <c r="M13" s="5"/>
      <c r="N13" s="5"/>
    </row>
    <row r="14" spans="1:14" s="4" customFormat="1" x14ac:dyDescent="0.2">
      <c r="B14" s="4" t="s">
        <v>30</v>
      </c>
      <c r="C14" s="5"/>
      <c r="D14" s="5"/>
      <c r="E14" s="5">
        <f>188-2</f>
        <v>186</v>
      </c>
      <c r="F14" s="5"/>
      <c r="G14" s="5">
        <f>625+1</f>
        <v>626</v>
      </c>
      <c r="H14" s="5">
        <f>1125+1</f>
        <v>1126</v>
      </c>
      <c r="I14" s="5">
        <v>950</v>
      </c>
      <c r="J14" s="5">
        <f>2881-2-I14-H14-G14</f>
        <v>177</v>
      </c>
      <c r="K14" s="5">
        <f>1196+3</f>
        <v>1199</v>
      </c>
      <c r="L14" s="5">
        <f>903+2</f>
        <v>905</v>
      </c>
      <c r="M14" s="5"/>
      <c r="N14" s="5"/>
    </row>
    <row r="15" spans="1:14" s="4" customFormat="1" x14ac:dyDescent="0.2">
      <c r="B15" s="4" t="s">
        <v>31</v>
      </c>
      <c r="C15" s="5"/>
      <c r="D15" s="5"/>
      <c r="E15" s="5">
        <f>+E13-E14</f>
        <v>835</v>
      </c>
      <c r="F15" s="5"/>
      <c r="G15" s="5">
        <f t="shared" ref="G15:L15" si="5">+G13-G14</f>
        <v>1153</v>
      </c>
      <c r="H15" s="5">
        <f t="shared" si="5"/>
        <v>2160</v>
      </c>
      <c r="I15" s="5">
        <f t="shared" si="5"/>
        <v>1909</v>
      </c>
      <c r="J15" s="5">
        <f t="shared" si="5"/>
        <v>2151</v>
      </c>
      <c r="K15" s="5">
        <f t="shared" si="5"/>
        <v>2452</v>
      </c>
      <c r="L15" s="5">
        <f t="shared" si="5"/>
        <v>1970</v>
      </c>
      <c r="M15" s="5"/>
      <c r="N15" s="5"/>
    </row>
    <row r="16" spans="1:14" s="4" customFormat="1" x14ac:dyDescent="0.2"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2:14" s="4" customFormat="1" x14ac:dyDescent="0.2"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2:14" s="4" customFormat="1" x14ac:dyDescent="0.2">
      <c r="B18" s="4" t="s">
        <v>46</v>
      </c>
      <c r="C18" s="5"/>
      <c r="D18" s="5"/>
      <c r="E18" s="5"/>
      <c r="F18" s="5"/>
      <c r="G18" s="5"/>
      <c r="H18" s="5"/>
      <c r="I18" s="5"/>
      <c r="J18" s="5">
        <f t="shared" ref="J18" si="6">J19-J33</f>
        <v>22337</v>
      </c>
      <c r="K18" s="5">
        <f t="shared" ref="K18" si="7">K19-K33</f>
        <v>26451</v>
      </c>
      <c r="L18" s="5">
        <f>L19-L33</f>
        <v>26226</v>
      </c>
      <c r="M18" s="5"/>
      <c r="N18" s="5"/>
    </row>
    <row r="19" spans="2:14" s="4" customFormat="1" x14ac:dyDescent="0.2">
      <c r="B19" s="4" t="s">
        <v>3</v>
      </c>
      <c r="C19" s="5"/>
      <c r="D19" s="5"/>
      <c r="E19" s="5"/>
      <c r="F19" s="5"/>
      <c r="G19" s="5"/>
      <c r="H19" s="5"/>
      <c r="I19" s="5"/>
      <c r="J19" s="5">
        <f>14272+20904</f>
        <v>35176</v>
      </c>
      <c r="K19" s="5">
        <f>15917+23556</f>
        <v>39473</v>
      </c>
      <c r="L19" s="5">
        <f>17063+22234</f>
        <v>39297</v>
      </c>
      <c r="M19" s="5"/>
      <c r="N19" s="5"/>
    </row>
    <row r="20" spans="2:14" s="4" customFormat="1" x14ac:dyDescent="0.2">
      <c r="B20" s="4" t="s">
        <v>32</v>
      </c>
      <c r="C20" s="5"/>
      <c r="D20" s="5"/>
      <c r="E20" s="5"/>
      <c r="F20" s="5"/>
      <c r="G20" s="5"/>
      <c r="H20" s="5"/>
      <c r="I20" s="5"/>
      <c r="J20" s="5">
        <v>90691</v>
      </c>
      <c r="K20" s="5">
        <v>94280</v>
      </c>
      <c r="L20" s="5">
        <f>47860+47427</f>
        <v>95287</v>
      </c>
      <c r="M20" s="5"/>
      <c r="N20" s="5"/>
    </row>
    <row r="21" spans="2:14" s="4" customFormat="1" x14ac:dyDescent="0.2">
      <c r="B21" s="4" t="s">
        <v>33</v>
      </c>
      <c r="C21" s="5"/>
      <c r="D21" s="5"/>
      <c r="E21" s="5"/>
      <c r="F21" s="5"/>
      <c r="G21" s="5"/>
      <c r="H21" s="5"/>
      <c r="I21" s="5"/>
      <c r="J21" s="5">
        <v>11284</v>
      </c>
      <c r="K21" s="5">
        <v>11252</v>
      </c>
      <c r="L21" s="5">
        <v>10728</v>
      </c>
      <c r="M21" s="5"/>
      <c r="N21" s="5"/>
    </row>
    <row r="22" spans="2:14" s="4" customFormat="1" x14ac:dyDescent="0.2">
      <c r="B22" s="4" t="s">
        <v>34</v>
      </c>
      <c r="C22" s="5"/>
      <c r="D22" s="5"/>
      <c r="E22" s="5"/>
      <c r="F22" s="5"/>
      <c r="G22" s="5"/>
      <c r="H22" s="5"/>
      <c r="I22" s="5"/>
      <c r="J22" s="5">
        <v>8319</v>
      </c>
      <c r="K22" s="5">
        <v>9770</v>
      </c>
      <c r="L22" s="5">
        <v>9829</v>
      </c>
      <c r="M22" s="5"/>
      <c r="N22" s="5"/>
    </row>
    <row r="23" spans="2:14" s="4" customFormat="1" x14ac:dyDescent="0.2">
      <c r="B23" s="4" t="s">
        <v>35</v>
      </c>
      <c r="C23" s="5"/>
      <c r="D23" s="5"/>
      <c r="E23" s="5"/>
      <c r="F23" s="5"/>
      <c r="G23" s="5"/>
      <c r="H23" s="5"/>
      <c r="I23" s="5"/>
      <c r="J23" s="5"/>
      <c r="K23" s="5"/>
      <c r="L23" s="5">
        <v>3053</v>
      </c>
      <c r="M23" s="5"/>
      <c r="N23" s="5"/>
    </row>
    <row r="24" spans="2:14" s="4" customFormat="1" x14ac:dyDescent="0.2">
      <c r="B24" s="4" t="s">
        <v>36</v>
      </c>
      <c r="C24" s="5"/>
      <c r="D24" s="5"/>
      <c r="E24" s="5"/>
      <c r="F24" s="5"/>
      <c r="G24" s="5"/>
      <c r="H24" s="5"/>
      <c r="I24" s="5"/>
      <c r="J24" s="5">
        <v>27093</v>
      </c>
      <c r="K24" s="5">
        <v>28234</v>
      </c>
      <c r="L24" s="5">
        <v>29468</v>
      </c>
      <c r="M24" s="5"/>
      <c r="N24" s="5"/>
    </row>
    <row r="25" spans="2:14" s="4" customFormat="1" x14ac:dyDescent="0.2">
      <c r="B25" s="4" t="s">
        <v>37</v>
      </c>
      <c r="C25" s="5"/>
      <c r="D25" s="5"/>
      <c r="E25" s="5"/>
      <c r="F25" s="5"/>
      <c r="G25" s="5"/>
      <c r="H25" s="5"/>
      <c r="I25" s="5"/>
      <c r="J25" s="5">
        <v>30163</v>
      </c>
      <c r="K25" s="5">
        <v>31164</v>
      </c>
      <c r="L25" s="5">
        <v>31940</v>
      </c>
      <c r="M25" s="5"/>
      <c r="N25" s="5"/>
    </row>
    <row r="26" spans="2:14" s="4" customFormat="1" x14ac:dyDescent="0.2">
      <c r="B26" s="4" t="s">
        <v>38</v>
      </c>
      <c r="C26" s="5"/>
      <c r="D26" s="5"/>
      <c r="E26" s="5"/>
      <c r="F26" s="5"/>
      <c r="G26" s="5"/>
      <c r="H26" s="5"/>
      <c r="I26" s="5"/>
      <c r="J26" s="5">
        <v>3224</v>
      </c>
      <c r="K26" s="5">
        <v>3820</v>
      </c>
      <c r="L26" s="5">
        <v>3349</v>
      </c>
      <c r="M26" s="5"/>
      <c r="N26" s="5"/>
    </row>
    <row r="27" spans="2:14" s="4" customFormat="1" x14ac:dyDescent="0.2">
      <c r="B27" s="4" t="s">
        <v>39</v>
      </c>
      <c r="C27" s="5"/>
      <c r="D27" s="5"/>
      <c r="E27" s="5"/>
      <c r="F27" s="5"/>
      <c r="G27" s="5"/>
      <c r="H27" s="5"/>
      <c r="I27" s="5"/>
      <c r="J27" s="5">
        <v>11509</v>
      </c>
      <c r="K27" s="5">
        <v>10579</v>
      </c>
      <c r="L27" s="5">
        <v>9822</v>
      </c>
      <c r="M27" s="5"/>
      <c r="N27" s="5"/>
    </row>
    <row r="28" spans="2:14" s="4" customFormat="1" x14ac:dyDescent="0.2">
      <c r="B28" s="4" t="s">
        <v>35</v>
      </c>
      <c r="C28" s="5"/>
      <c r="D28" s="5"/>
      <c r="E28" s="5"/>
      <c r="F28" s="5"/>
      <c r="G28" s="5"/>
      <c r="H28" s="5"/>
      <c r="I28" s="5"/>
      <c r="J28" s="5">
        <v>7466</v>
      </c>
      <c r="K28" s="5">
        <v>8716</v>
      </c>
      <c r="L28" s="5">
        <v>6905</v>
      </c>
      <c r="M28" s="5"/>
      <c r="N28" s="5"/>
    </row>
    <row r="29" spans="2:14" s="4" customFormat="1" x14ac:dyDescent="0.2">
      <c r="B29" s="4" t="s">
        <v>40</v>
      </c>
      <c r="C29" s="5"/>
      <c r="D29" s="5"/>
      <c r="E29" s="5"/>
      <c r="F29" s="5"/>
      <c r="G29" s="5"/>
      <c r="H29" s="5"/>
      <c r="I29" s="5"/>
      <c r="J29" s="5">
        <f t="shared" ref="J29" si="8">SUM(J19:J28)</f>
        <v>224925</v>
      </c>
      <c r="K29" s="5">
        <f t="shared" ref="K29" si="9">SUM(K19:K28)</f>
        <v>237288</v>
      </c>
      <c r="L29" s="5">
        <f>SUM(L19:L28)</f>
        <v>239678</v>
      </c>
      <c r="M29" s="5"/>
      <c r="N29" s="5"/>
    </row>
    <row r="31" spans="2:14" s="4" customFormat="1" x14ac:dyDescent="0.2">
      <c r="B31" s="4" t="s">
        <v>41</v>
      </c>
      <c r="C31" s="5"/>
      <c r="D31" s="5"/>
      <c r="E31" s="5"/>
      <c r="F31" s="5"/>
      <c r="G31" s="5"/>
      <c r="H31" s="5"/>
      <c r="I31" s="5"/>
      <c r="J31" s="5">
        <v>20272</v>
      </c>
      <c r="K31" s="5">
        <v>22072</v>
      </c>
      <c r="L31" s="5">
        <v>23084</v>
      </c>
      <c r="M31" s="5"/>
      <c r="N31" s="5"/>
    </row>
    <row r="32" spans="2:14" s="4" customFormat="1" x14ac:dyDescent="0.2">
      <c r="B32" s="4" t="s">
        <v>42</v>
      </c>
      <c r="C32" s="5"/>
      <c r="D32" s="5"/>
      <c r="E32" s="5"/>
      <c r="F32" s="5"/>
      <c r="G32" s="5"/>
      <c r="H32" s="5"/>
      <c r="I32" s="5"/>
      <c r="J32" s="5">
        <v>42546</v>
      </c>
      <c r="K32" s="5">
        <v>43949</v>
      </c>
      <c r="L32" s="5">
        <f>21463+23416</f>
        <v>44879</v>
      </c>
      <c r="M32" s="5"/>
      <c r="N32" s="5"/>
    </row>
    <row r="33" spans="2:14" s="4" customFormat="1" x14ac:dyDescent="0.2">
      <c r="B33" s="4" t="s">
        <v>4</v>
      </c>
      <c r="C33" s="5"/>
      <c r="D33" s="5"/>
      <c r="E33" s="5"/>
      <c r="F33" s="5"/>
      <c r="G33" s="5"/>
      <c r="H33" s="5"/>
      <c r="I33" s="5"/>
      <c r="J33" s="5">
        <v>12839</v>
      </c>
      <c r="K33" s="5">
        <v>13022</v>
      </c>
      <c r="L33" s="5">
        <f>2417+10654</f>
        <v>13071</v>
      </c>
      <c r="M33" s="5"/>
      <c r="N33" s="5"/>
    </row>
    <row r="34" spans="2:14" s="4" customFormat="1" x14ac:dyDescent="0.2">
      <c r="B34" s="4" t="s">
        <v>43</v>
      </c>
      <c r="C34" s="5"/>
      <c r="D34" s="5"/>
      <c r="E34" s="5"/>
      <c r="F34" s="5"/>
      <c r="G34" s="5"/>
      <c r="H34" s="5"/>
      <c r="I34" s="5"/>
      <c r="J34" s="5">
        <v>120015</v>
      </c>
      <c r="K34" s="5">
        <v>127973</v>
      </c>
      <c r="L34" s="5">
        <f>42444+84399</f>
        <v>126843</v>
      </c>
      <c r="M34" s="5"/>
      <c r="N34" s="5"/>
    </row>
    <row r="35" spans="2:14" s="4" customFormat="1" x14ac:dyDescent="0.2">
      <c r="B35" s="4" t="s">
        <v>39</v>
      </c>
      <c r="C35" s="5"/>
      <c r="D35" s="5"/>
      <c r="E35" s="5"/>
      <c r="F35" s="5"/>
      <c r="G35" s="5"/>
      <c r="H35" s="5"/>
      <c r="I35" s="5"/>
      <c r="J35" s="5">
        <v>502</v>
      </c>
      <c r="K35" s="5">
        <v>556</v>
      </c>
      <c r="L35" s="5">
        <v>552</v>
      </c>
      <c r="M35" s="5"/>
      <c r="N35" s="5"/>
    </row>
    <row r="36" spans="2:14" s="4" customFormat="1" x14ac:dyDescent="0.2">
      <c r="B36" s="4" t="s">
        <v>45</v>
      </c>
      <c r="C36" s="5"/>
      <c r="D36" s="5"/>
      <c r="E36" s="5"/>
      <c r="F36" s="5"/>
      <c r="G36" s="5"/>
      <c r="H36" s="5"/>
      <c r="I36" s="5"/>
      <c r="J36" s="5">
        <f>94+28657</f>
        <v>28751</v>
      </c>
      <c r="K36" s="5">
        <f>95+29621</f>
        <v>29716</v>
      </c>
      <c r="L36" s="5">
        <f>95+31154</f>
        <v>31249</v>
      </c>
      <c r="M36" s="5"/>
      <c r="N36" s="5"/>
    </row>
    <row r="37" spans="2:14" s="4" customFormat="1" x14ac:dyDescent="0.2">
      <c r="B37" s="4" t="s">
        <v>44</v>
      </c>
      <c r="C37" s="5"/>
      <c r="D37" s="5"/>
      <c r="E37" s="5"/>
      <c r="F37" s="5"/>
      <c r="G37" s="5"/>
      <c r="H37" s="5"/>
      <c r="I37" s="5"/>
      <c r="J37" s="5">
        <f t="shared" ref="J37" si="10">SUM(J31:J36)</f>
        <v>224925</v>
      </c>
      <c r="K37" s="5">
        <f t="shared" ref="K37" si="11">SUM(K31:K36)</f>
        <v>237288</v>
      </c>
      <c r="L37" s="5">
        <f>SUM(L31:L36)</f>
        <v>239678</v>
      </c>
      <c r="M37" s="5"/>
      <c r="N37" s="5"/>
    </row>
    <row r="39" spans="2:14" s="4" customFormat="1" x14ac:dyDescent="0.2">
      <c r="B39" s="4" t="s">
        <v>47</v>
      </c>
      <c r="C39" s="5"/>
      <c r="D39" s="5"/>
      <c r="E39" s="5"/>
      <c r="F39" s="5"/>
      <c r="G39" s="5">
        <f t="shared" ref="G39:J39" si="12">+G15</f>
        <v>1153</v>
      </c>
      <c r="H39" s="5">
        <f t="shared" si="12"/>
        <v>2160</v>
      </c>
      <c r="I39" s="5">
        <f t="shared" si="12"/>
        <v>1909</v>
      </c>
      <c r="J39" s="5">
        <f t="shared" si="12"/>
        <v>2151</v>
      </c>
      <c r="K39" s="5">
        <f>+K15</f>
        <v>2452</v>
      </c>
      <c r="L39" s="5">
        <f t="shared" ref="L39" si="13">+L15</f>
        <v>1970</v>
      </c>
      <c r="M39" s="5"/>
      <c r="N39" s="5"/>
    </row>
    <row r="40" spans="2:14" s="4" customFormat="1" x14ac:dyDescent="0.2">
      <c r="B40" s="4" t="s">
        <v>48</v>
      </c>
      <c r="C40" s="5"/>
      <c r="D40" s="5"/>
      <c r="E40" s="5"/>
      <c r="F40" s="5"/>
      <c r="G40" s="5">
        <v>2413</v>
      </c>
      <c r="H40" s="5">
        <f>7623-G40</f>
        <v>5210</v>
      </c>
      <c r="I40" s="5">
        <f>14078-H40-G40</f>
        <v>6455</v>
      </c>
      <c r="J40" s="5">
        <f>16170-I40-H40-G40</f>
        <v>2092</v>
      </c>
      <c r="K40" s="5">
        <v>4092</v>
      </c>
      <c r="L40" s="5">
        <f>11834-K40</f>
        <v>7742</v>
      </c>
      <c r="M40" s="5"/>
      <c r="N40" s="5"/>
    </row>
    <row r="41" spans="2:14" s="4" customFormat="1" x14ac:dyDescent="0.2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2:14" s="4" customFormat="1" x14ac:dyDescent="0.2">
      <c r="B42" s="4" t="s">
        <v>49</v>
      </c>
      <c r="C42" s="5"/>
      <c r="D42" s="5"/>
      <c r="E42" s="5"/>
      <c r="F42" s="5"/>
      <c r="G42" s="5">
        <v>-1800</v>
      </c>
      <c r="H42" s="5">
        <f>-3533-G42</f>
        <v>-1733</v>
      </c>
      <c r="I42" s="5">
        <f>-5358-H42-G42</f>
        <v>-1825</v>
      </c>
      <c r="J42" s="5">
        <f>-7196-I42-H42-G42</f>
        <v>-1838</v>
      </c>
      <c r="K42" s="5">
        <v>-1511</v>
      </c>
      <c r="L42" s="5">
        <f>-3206-K42</f>
        <v>-1695</v>
      </c>
      <c r="M42" s="5"/>
      <c r="N42" s="5"/>
    </row>
    <row r="43" spans="2:14" s="4" customFormat="1" x14ac:dyDescent="0.2">
      <c r="B43" s="4" t="s">
        <v>32</v>
      </c>
      <c r="C43" s="5"/>
      <c r="D43" s="5"/>
      <c r="E43" s="5"/>
      <c r="F43" s="5"/>
      <c r="G43" s="5">
        <f>-12257+9251</f>
        <v>-3006</v>
      </c>
      <c r="H43" s="5">
        <f>-26505+18844-G43</f>
        <v>-4655</v>
      </c>
      <c r="I43" s="5">
        <f>-43762+28632-H43-G43</f>
        <v>-7469</v>
      </c>
      <c r="J43" s="5">
        <f>-57217+38130-I43-H43-G43</f>
        <v>-3957</v>
      </c>
      <c r="K43" s="5">
        <f>-12677+9674</f>
        <v>-3003</v>
      </c>
      <c r="L43" s="5">
        <f>-27501+19732-K43</f>
        <v>-4766</v>
      </c>
      <c r="M43" s="5"/>
      <c r="N43" s="5"/>
    </row>
    <row r="44" spans="2:14" s="4" customFormat="1" x14ac:dyDescent="0.2">
      <c r="B44" s="4" t="s">
        <v>50</v>
      </c>
      <c r="C44" s="5"/>
      <c r="D44" s="5"/>
      <c r="E44" s="5"/>
      <c r="F44" s="5"/>
      <c r="G44" s="5">
        <f>-11711+11327</f>
        <v>-384</v>
      </c>
      <c r="H44" s="5">
        <f>-21282+23193-G44</f>
        <v>2295</v>
      </c>
      <c r="I44" s="5">
        <f>-29493+32874-H44-G44</f>
        <v>1470</v>
      </c>
      <c r="J44" s="5">
        <f>-41279+40766-I44-H44-G44</f>
        <v>-3894</v>
      </c>
      <c r="K44" s="5">
        <f>-8231+5679</f>
        <v>-2552</v>
      </c>
      <c r="L44" s="5">
        <f>-16757+15491-K44</f>
        <v>1286</v>
      </c>
      <c r="M44" s="5"/>
      <c r="N44" s="5"/>
    </row>
    <row r="45" spans="2:14" s="4" customFormat="1" x14ac:dyDescent="0.2">
      <c r="B45" s="4" t="s">
        <v>51</v>
      </c>
      <c r="C45" s="5"/>
      <c r="D45" s="5"/>
      <c r="E45" s="5"/>
      <c r="F45" s="5"/>
      <c r="G45" s="5">
        <v>113</v>
      </c>
      <c r="H45" s="5">
        <f>192-G45</f>
        <v>79</v>
      </c>
      <c r="I45" s="5">
        <f>26-H45-G45</f>
        <v>-166</v>
      </c>
      <c r="J45" s="5">
        <f>134-I45-H45-G45</f>
        <v>108</v>
      </c>
      <c r="K45" s="5">
        <v>104</v>
      </c>
      <c r="L45" s="5">
        <f>111-K45</f>
        <v>7</v>
      </c>
      <c r="M45" s="5"/>
      <c r="N45" s="5"/>
    </row>
    <row r="46" spans="2:14" s="4" customFormat="1" x14ac:dyDescent="0.2">
      <c r="B46" s="4" t="s">
        <v>52</v>
      </c>
      <c r="C46" s="5"/>
      <c r="D46" s="5"/>
      <c r="E46" s="5"/>
      <c r="F46" s="5"/>
      <c r="G46" s="5">
        <v>117</v>
      </c>
      <c r="H46" s="5">
        <f>141-G46</f>
        <v>24</v>
      </c>
      <c r="I46" s="5">
        <f>417-H46-G46</f>
        <v>276</v>
      </c>
      <c r="J46" s="5">
        <f>500-I46-H46-G46</f>
        <v>83</v>
      </c>
      <c r="K46" s="5">
        <v>-13</v>
      </c>
      <c r="L46" s="5">
        <f>21-K46</f>
        <v>34</v>
      </c>
      <c r="M46" s="5"/>
      <c r="N46" s="5"/>
    </row>
    <row r="47" spans="2:14" s="4" customFormat="1" x14ac:dyDescent="0.2">
      <c r="B47" s="4" t="s">
        <v>53</v>
      </c>
      <c r="C47" s="5"/>
      <c r="D47" s="5"/>
      <c r="E47" s="5"/>
      <c r="F47" s="5"/>
      <c r="G47" s="5">
        <f t="shared" ref="G47:J47" si="14">SUM(G42:G46)</f>
        <v>-4960</v>
      </c>
      <c r="H47" s="5">
        <f t="shared" si="14"/>
        <v>-3990</v>
      </c>
      <c r="I47" s="5">
        <f t="shared" si="14"/>
        <v>-7714</v>
      </c>
      <c r="J47" s="5">
        <f t="shared" si="14"/>
        <v>-9498</v>
      </c>
      <c r="K47" s="5">
        <f>SUM(K42:K46)</f>
        <v>-6975</v>
      </c>
      <c r="L47" s="5">
        <f>SUM(L42:L46)</f>
        <v>-5134</v>
      </c>
      <c r="M47" s="5"/>
      <c r="N47" s="5"/>
    </row>
    <row r="48" spans="2:14" s="4" customFormat="1" x14ac:dyDescent="0.2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2:14" s="4" customFormat="1" x14ac:dyDescent="0.2">
      <c r="B49" s="4" t="s">
        <v>54</v>
      </c>
      <c r="C49" s="5"/>
      <c r="D49" s="5"/>
      <c r="E49" s="5"/>
      <c r="F49" s="5"/>
      <c r="G49" s="5">
        <v>-593</v>
      </c>
      <c r="H49" s="5">
        <f>-1190-G49</f>
        <v>-597</v>
      </c>
      <c r="I49" s="5">
        <f>-1785-H49-G49</f>
        <v>-595</v>
      </c>
      <c r="J49" s="5">
        <f>-2380-I49-H49-G49</f>
        <v>-595</v>
      </c>
      <c r="K49" s="5">
        <v>-1588</v>
      </c>
      <c r="L49" s="5">
        <f>-2184-K49</f>
        <v>-596</v>
      </c>
      <c r="M49" s="5"/>
      <c r="N49" s="5"/>
    </row>
    <row r="50" spans="2:14" s="4" customFormat="1" x14ac:dyDescent="0.2">
      <c r="B50" s="4" t="s">
        <v>55</v>
      </c>
      <c r="C50" s="5"/>
      <c r="D50" s="5"/>
      <c r="E50" s="5"/>
      <c r="F50" s="5"/>
      <c r="G50" s="5">
        <v>0</v>
      </c>
      <c r="H50" s="5">
        <f>-91-G50</f>
        <v>-91</v>
      </c>
      <c r="I50" s="5">
        <f>-129-H50-G50</f>
        <v>-38</v>
      </c>
      <c r="J50" s="5">
        <f>-129-I50-H50-G50</f>
        <v>0</v>
      </c>
      <c r="K50" s="5">
        <v>-145</v>
      </c>
      <c r="L50" s="5">
        <f>-145-K50</f>
        <v>0</v>
      </c>
      <c r="M50" s="5"/>
      <c r="N50" s="5"/>
    </row>
    <row r="51" spans="2:14" s="4" customFormat="1" x14ac:dyDescent="0.2">
      <c r="B51" s="4" t="s">
        <v>4</v>
      </c>
      <c r="C51" s="5"/>
      <c r="D51" s="5"/>
      <c r="E51" s="5"/>
      <c r="F51" s="5"/>
      <c r="G51" s="5">
        <f>488+13624-8686</f>
        <v>5426</v>
      </c>
      <c r="H51" s="5">
        <f>176+24912-19787-G51</f>
        <v>-125</v>
      </c>
      <c r="I51" s="5">
        <f>35876-27366-H51-G51+844</f>
        <v>4053</v>
      </c>
      <c r="J51" s="5">
        <f>1646+48860-33358-I51-H51-G51</f>
        <v>7794</v>
      </c>
      <c r="K51" s="5">
        <f>-121+15623-9431</f>
        <v>6071</v>
      </c>
      <c r="L51" s="5">
        <f>934+25574-21104-K51</f>
        <v>-667</v>
      </c>
      <c r="M51" s="5"/>
      <c r="N51" s="5"/>
    </row>
    <row r="52" spans="2:14" s="4" customFormat="1" x14ac:dyDescent="0.2">
      <c r="B52" s="4" t="s">
        <v>52</v>
      </c>
      <c r="C52" s="5"/>
      <c r="D52" s="5"/>
      <c r="E52" s="5"/>
      <c r="F52" s="5"/>
      <c r="G52" s="5">
        <v>-249</v>
      </c>
      <c r="H52" s="5">
        <f>-279-G52</f>
        <v>-30</v>
      </c>
      <c r="I52" s="5">
        <f>-303-H52-G52</f>
        <v>-24</v>
      </c>
      <c r="J52" s="5">
        <f>-317-I52-H52-G52</f>
        <v>-14</v>
      </c>
      <c r="K52" s="5">
        <v>-2</v>
      </c>
      <c r="L52" s="5">
        <f>-30-K52</f>
        <v>-28</v>
      </c>
      <c r="M52" s="5"/>
      <c r="N52" s="5"/>
    </row>
    <row r="53" spans="2:14" s="4" customFormat="1" x14ac:dyDescent="0.2">
      <c r="B53" s="4" t="s">
        <v>56</v>
      </c>
      <c r="C53" s="5"/>
      <c r="D53" s="5"/>
      <c r="E53" s="5"/>
      <c r="F53" s="5"/>
      <c r="G53" s="5">
        <f t="shared" ref="G53:J53" si="15">SUM(G49:G52)</f>
        <v>4584</v>
      </c>
      <c r="H53" s="5">
        <f t="shared" si="15"/>
        <v>-843</v>
      </c>
      <c r="I53" s="5">
        <f t="shared" si="15"/>
        <v>3396</v>
      </c>
      <c r="J53" s="5">
        <f t="shared" si="15"/>
        <v>7185</v>
      </c>
      <c r="K53" s="5">
        <f>SUM(K49:K52)</f>
        <v>4336</v>
      </c>
      <c r="L53" s="5">
        <f t="shared" ref="L53" si="16">SUM(L49:L52)</f>
        <v>-1291</v>
      </c>
      <c r="M53" s="5"/>
      <c r="N53" s="5"/>
    </row>
    <row r="54" spans="2:14" s="4" customFormat="1" x14ac:dyDescent="0.2">
      <c r="B54" s="4" t="s">
        <v>57</v>
      </c>
      <c r="C54" s="5"/>
      <c r="D54" s="5"/>
      <c r="E54" s="5"/>
      <c r="F54" s="5"/>
      <c r="G54" s="5">
        <v>-426</v>
      </c>
      <c r="H54" s="5">
        <f>-274-G54</f>
        <v>152</v>
      </c>
      <c r="I54" s="5">
        <f>-622-H54-G54</f>
        <v>-348</v>
      </c>
      <c r="J54" s="5">
        <f>-815-I54-H54-G54</f>
        <v>-193</v>
      </c>
      <c r="K54" s="5">
        <v>192</v>
      </c>
      <c r="L54" s="5">
        <f>21-K54</f>
        <v>-171</v>
      </c>
      <c r="M54" s="5"/>
      <c r="N54" s="5"/>
    </row>
    <row r="55" spans="2:14" s="4" customFormat="1" x14ac:dyDescent="0.2">
      <c r="B55" s="4" t="s">
        <v>58</v>
      </c>
      <c r="C55" s="5"/>
      <c r="D55" s="5"/>
      <c r="E55" s="5"/>
      <c r="F55" s="5"/>
      <c r="G55" s="5">
        <f t="shared" ref="G55:J55" si="17">+G54+G53+G47+G40</f>
        <v>1611</v>
      </c>
      <c r="H55" s="5">
        <f t="shared" si="17"/>
        <v>529</v>
      </c>
      <c r="I55" s="5">
        <f t="shared" si="17"/>
        <v>1789</v>
      </c>
      <c r="J55" s="5">
        <f t="shared" si="17"/>
        <v>-414</v>
      </c>
      <c r="K55" s="5">
        <f>+K54+K53+K47+K40</f>
        <v>1645</v>
      </c>
      <c r="L55" s="5">
        <f t="shared" ref="L55" si="18">+L54+L53+L47+L40</f>
        <v>1146</v>
      </c>
      <c r="M55" s="5"/>
      <c r="N55" s="5"/>
    </row>
    <row r="57" spans="2:14" x14ac:dyDescent="0.2">
      <c r="B57" s="4" t="s">
        <v>59</v>
      </c>
      <c r="G57" s="5">
        <f>G40+G42</f>
        <v>613</v>
      </c>
      <c r="H57" s="5">
        <f t="shared" ref="H57:L57" si="19">H40+H42</f>
        <v>3477</v>
      </c>
      <c r="I57" s="5">
        <f t="shared" si="19"/>
        <v>4630</v>
      </c>
      <c r="J57" s="5">
        <f t="shared" si="19"/>
        <v>254</v>
      </c>
      <c r="K57" s="5">
        <f t="shared" si="19"/>
        <v>2581</v>
      </c>
      <c r="L57" s="5">
        <f t="shared" si="19"/>
        <v>6047</v>
      </c>
    </row>
    <row r="58" spans="2:14" x14ac:dyDescent="0.2">
      <c r="B58" s="4" t="s">
        <v>60</v>
      </c>
      <c r="J58" s="5">
        <f>SUM(G57:J57)</f>
        <v>8974</v>
      </c>
      <c r="K58" s="5">
        <f t="shared" ref="K58:L58" si="20">SUM(H57:K57)</f>
        <v>10942</v>
      </c>
      <c r="L58" s="5">
        <f>SUM(I57:L57)</f>
        <v>13512</v>
      </c>
    </row>
    <row r="60" spans="2:14" x14ac:dyDescent="0.2">
      <c r="B60" s="4" t="s">
        <v>61</v>
      </c>
      <c r="J60" s="5">
        <f>J22+J25</f>
        <v>38482</v>
      </c>
      <c r="K60" s="5">
        <f t="shared" ref="K60:L60" si="21">K22+K25</f>
        <v>40934</v>
      </c>
      <c r="L60" s="5">
        <f t="shared" si="21"/>
        <v>41769</v>
      </c>
    </row>
    <row r="61" spans="2:14" x14ac:dyDescent="0.2">
      <c r="B61" s="4" t="s">
        <v>62</v>
      </c>
      <c r="J61" s="8">
        <f>J58/J60</f>
        <v>0.23319993763317914</v>
      </c>
      <c r="K61" s="8">
        <f t="shared" ref="K61:L61" si="22">K58/K60</f>
        <v>0.26730835002687253</v>
      </c>
      <c r="L61" s="8">
        <f t="shared" si="22"/>
        <v>0.32349349996408822</v>
      </c>
    </row>
    <row r="63" spans="2:14" x14ac:dyDescent="0.2">
      <c r="B63" s="4" t="s">
        <v>63</v>
      </c>
      <c r="J63" s="5">
        <f>J60+J24</f>
        <v>65575</v>
      </c>
      <c r="K63" s="5">
        <f t="shared" ref="K63:L63" si="23">K60+K24</f>
        <v>69168</v>
      </c>
      <c r="L63" s="5">
        <f>L60+L24</f>
        <v>71237</v>
      </c>
    </row>
    <row r="64" spans="2:14" x14ac:dyDescent="0.2">
      <c r="B64" s="4" t="s">
        <v>62</v>
      </c>
      <c r="J64" s="8">
        <f>J58/J63</f>
        <v>0.13685093404498666</v>
      </c>
      <c r="K64" s="8">
        <f t="shared" ref="K64:L64" si="24">K58/K63</f>
        <v>0.15819454082812862</v>
      </c>
      <c r="L64" s="8">
        <f t="shared" si="24"/>
        <v>0.18967671294411612</v>
      </c>
    </row>
  </sheetData>
  <hyperlinks>
    <hyperlink ref="A1" location="Main!A1" display="Main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2016-10-16T19:45:26Z</dcterms:created>
  <dcterms:modified xsi:type="dcterms:W3CDTF">2016-10-16T21:18:11Z</dcterms:modified>
</cp:coreProperties>
</file>