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645" windowHeight="12225" activeTab="1"/>
  </bookViews>
  <sheets>
    <sheet name="Main" sheetId="1" r:id="rId1"/>
    <sheet name="Model" sheetId="2" r:id="rId2"/>
    <sheet name="IP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7" i="2" l="1"/>
  <c r="AC47" i="2"/>
  <c r="AD46" i="2"/>
  <c r="AC46" i="2"/>
  <c r="AE42" i="2"/>
  <c r="AD42" i="2"/>
  <c r="AE40" i="2"/>
  <c r="AD40" i="2"/>
  <c r="AC38" i="2"/>
  <c r="AC37" i="2" s="1"/>
  <c r="AD38" i="2"/>
  <c r="AD37" i="2" s="1"/>
  <c r="AD36" i="2"/>
  <c r="AC36" i="2"/>
  <c r="AD35" i="2"/>
  <c r="AC35" i="2"/>
  <c r="AD34" i="2"/>
  <c r="AC34" i="2"/>
  <c r="AD33" i="2"/>
  <c r="AC33" i="2"/>
  <c r="AG28" i="2"/>
  <c r="AF28" i="2"/>
  <c r="AE28" i="2"/>
  <c r="AD28" i="2"/>
  <c r="AC28" i="2"/>
  <c r="AD31" i="2"/>
  <c r="AD32" i="2" s="1"/>
  <c r="AC31" i="2"/>
  <c r="AD30" i="2"/>
  <c r="AC30" i="2"/>
  <c r="AD29" i="2"/>
  <c r="AC29" i="2"/>
  <c r="AD27" i="2"/>
  <c r="AC27" i="2"/>
  <c r="AD26" i="2"/>
  <c r="AC26" i="2"/>
  <c r="AD25" i="2"/>
  <c r="AC25" i="2"/>
  <c r="AD24" i="2"/>
  <c r="AC24" i="2"/>
  <c r="AD22" i="2"/>
  <c r="AC22" i="2"/>
  <c r="AD21" i="2"/>
  <c r="AC21" i="2"/>
  <c r="AD20" i="2"/>
  <c r="AC20" i="2"/>
  <c r="AD14" i="2"/>
  <c r="AC14" i="2"/>
  <c r="AD13" i="2"/>
  <c r="AC13" i="2"/>
  <c r="AD12" i="2"/>
  <c r="AC12" i="2"/>
  <c r="AD11" i="2"/>
  <c r="AC11" i="2"/>
  <c r="AD10" i="2"/>
  <c r="AC10" i="2"/>
  <c r="AD9" i="2"/>
  <c r="AC9" i="2"/>
  <c r="AD8" i="2"/>
  <c r="AC8" i="2"/>
  <c r="AD7" i="2"/>
  <c r="AD4" i="2"/>
  <c r="AC4" i="2"/>
  <c r="AC3" i="2"/>
  <c r="AD3" i="2"/>
  <c r="V44" i="2"/>
  <c r="U44" i="2"/>
  <c r="K44" i="2"/>
  <c r="J44" i="2"/>
  <c r="I44" i="2"/>
  <c r="H44" i="2"/>
  <c r="G44" i="2"/>
  <c r="L44" i="2"/>
  <c r="S44" i="2"/>
  <c r="R44" i="2"/>
  <c r="Q44" i="2"/>
  <c r="P44" i="2"/>
  <c r="O44" i="2"/>
  <c r="N44" i="2"/>
  <c r="M44" i="2"/>
  <c r="G42" i="2"/>
  <c r="G40" i="2"/>
  <c r="H40" i="2"/>
  <c r="K42" i="2"/>
  <c r="J42" i="2"/>
  <c r="I42" i="2"/>
  <c r="H42" i="2"/>
  <c r="K40" i="2"/>
  <c r="J40" i="2"/>
  <c r="I40" i="2"/>
  <c r="D35" i="2"/>
  <c r="D33" i="2"/>
  <c r="H35" i="2"/>
  <c r="H33" i="2"/>
  <c r="C35" i="2"/>
  <c r="C33" i="2"/>
  <c r="C31" i="2"/>
  <c r="C26" i="2"/>
  <c r="C28" i="2" s="1"/>
  <c r="G35" i="2"/>
  <c r="G33" i="2"/>
  <c r="G31" i="2"/>
  <c r="G28" i="2"/>
  <c r="G32" i="2" s="1"/>
  <c r="G34" i="2" s="1"/>
  <c r="G36" i="2" s="1"/>
  <c r="G37" i="2" s="1"/>
  <c r="G26" i="2"/>
  <c r="D31" i="2"/>
  <c r="H31" i="2"/>
  <c r="F35" i="2"/>
  <c r="F33" i="2"/>
  <c r="F31" i="2"/>
  <c r="F28" i="2"/>
  <c r="F46" i="2" s="1"/>
  <c r="I47" i="2"/>
  <c r="E47" i="2"/>
  <c r="I46" i="2"/>
  <c r="E46" i="2"/>
  <c r="M42" i="2"/>
  <c r="M40" i="2"/>
  <c r="E35" i="2"/>
  <c r="E33" i="2"/>
  <c r="E31" i="2"/>
  <c r="I35" i="2"/>
  <c r="I33" i="2"/>
  <c r="I31" i="2"/>
  <c r="I28" i="2"/>
  <c r="H26" i="2"/>
  <c r="F26" i="2"/>
  <c r="E26" i="2"/>
  <c r="E28" i="2" s="1"/>
  <c r="D26" i="2"/>
  <c r="D28" i="2" s="1"/>
  <c r="J47" i="2"/>
  <c r="J46" i="2"/>
  <c r="N40" i="2"/>
  <c r="N42" i="2"/>
  <c r="N41" i="2"/>
  <c r="J35" i="2"/>
  <c r="J33" i="2"/>
  <c r="J31" i="2"/>
  <c r="J28" i="2"/>
  <c r="J26" i="2"/>
  <c r="I26" i="2"/>
  <c r="F4" i="2"/>
  <c r="E4" i="2"/>
  <c r="D4" i="2"/>
  <c r="C4" i="2"/>
  <c r="F3" i="2"/>
  <c r="E3" i="2"/>
  <c r="D3" i="2"/>
  <c r="C3" i="2"/>
  <c r="T70" i="2"/>
  <c r="T66" i="2"/>
  <c r="T49" i="2" s="1"/>
  <c r="T60" i="2"/>
  <c r="T58" i="2"/>
  <c r="T50" i="2"/>
  <c r="J4" i="2"/>
  <c r="I4" i="2"/>
  <c r="H4" i="2"/>
  <c r="L42" i="2" s="1"/>
  <c r="G4" i="2"/>
  <c r="J3" i="2"/>
  <c r="I3" i="2"/>
  <c r="H3" i="2"/>
  <c r="G3" i="2"/>
  <c r="K6" i="1"/>
  <c r="K5" i="1"/>
  <c r="AC32" i="2" l="1"/>
  <c r="C32" i="2"/>
  <c r="C34" i="2" s="1"/>
  <c r="C46" i="2"/>
  <c r="G46" i="2"/>
  <c r="H28" i="2"/>
  <c r="H46" i="2" s="1"/>
  <c r="L40" i="2"/>
  <c r="D32" i="2"/>
  <c r="D34" i="2" s="1"/>
  <c r="D36" i="2" s="1"/>
  <c r="D37" i="2" s="1"/>
  <c r="D46" i="2"/>
  <c r="F32" i="2"/>
  <c r="F34" i="2" s="1"/>
  <c r="E32" i="2"/>
  <c r="E34" i="2" s="1"/>
  <c r="E36" i="2" s="1"/>
  <c r="E37" i="2" s="1"/>
  <c r="I32" i="2"/>
  <c r="I34" i="2" s="1"/>
  <c r="I36" i="2" s="1"/>
  <c r="I37" i="2" s="1"/>
  <c r="J32" i="2"/>
  <c r="J34" i="2" s="1"/>
  <c r="J36" i="2" s="1"/>
  <c r="J37" i="2" s="1"/>
  <c r="AH7" i="2"/>
  <c r="AH6" i="2"/>
  <c r="V7" i="2"/>
  <c r="U7" i="2"/>
  <c r="AG6" i="2"/>
  <c r="V6" i="2"/>
  <c r="U6" i="2"/>
  <c r="AH18" i="2"/>
  <c r="AI18" i="2" s="1"/>
  <c r="AJ18" i="2" s="1"/>
  <c r="AK18" i="2" s="1"/>
  <c r="AL18" i="2" s="1"/>
  <c r="AM18" i="2" s="1"/>
  <c r="AN18" i="2" s="1"/>
  <c r="AO18" i="2" s="1"/>
  <c r="AP18" i="2" s="1"/>
  <c r="AH17" i="2"/>
  <c r="AI17" i="2" s="1"/>
  <c r="AJ17" i="2" s="1"/>
  <c r="AK17" i="2" s="1"/>
  <c r="AL17" i="2" s="1"/>
  <c r="AM17" i="2" s="1"/>
  <c r="AN17" i="2" s="1"/>
  <c r="AO17" i="2" s="1"/>
  <c r="AP17" i="2" s="1"/>
  <c r="AI16" i="2"/>
  <c r="AJ16" i="2" s="1"/>
  <c r="AK16" i="2" s="1"/>
  <c r="AL16" i="2" s="1"/>
  <c r="AM16" i="2" s="1"/>
  <c r="AN16" i="2" s="1"/>
  <c r="AO16" i="2" s="1"/>
  <c r="AP16" i="2" s="1"/>
  <c r="AH16" i="2"/>
  <c r="U18" i="2"/>
  <c r="V18" i="2" s="1"/>
  <c r="AG18" i="2" s="1"/>
  <c r="U17" i="2"/>
  <c r="V17" i="2" s="1"/>
  <c r="AG17" i="2" s="1"/>
  <c r="V16" i="2"/>
  <c r="U16" i="2"/>
  <c r="AG16" i="2" s="1"/>
  <c r="T35" i="2"/>
  <c r="T3" i="2"/>
  <c r="T33" i="2"/>
  <c r="T28" i="2"/>
  <c r="T26" i="2"/>
  <c r="S26" i="2"/>
  <c r="U43" i="2"/>
  <c r="S43" i="2"/>
  <c r="R43" i="2"/>
  <c r="T43" i="2"/>
  <c r="H32" i="2" l="1"/>
  <c r="H34" i="2" s="1"/>
  <c r="H36" i="2" s="1"/>
  <c r="H37" i="2" s="1"/>
  <c r="D47" i="2"/>
  <c r="C36" i="2"/>
  <c r="C37" i="2" s="1"/>
  <c r="C47" i="2"/>
  <c r="H47" i="2"/>
  <c r="G47" i="2"/>
  <c r="F36" i="2"/>
  <c r="F37" i="2" s="1"/>
  <c r="F47" i="2"/>
  <c r="S49" i="2"/>
  <c r="S69" i="2"/>
  <c r="S70" i="2"/>
  <c r="S66" i="2"/>
  <c r="S60" i="2"/>
  <c r="S58" i="2"/>
  <c r="S50" i="2"/>
  <c r="T4" i="2"/>
  <c r="S4" i="2"/>
  <c r="R4" i="2"/>
  <c r="Q4" i="2"/>
  <c r="P4" i="2"/>
  <c r="O4" i="2"/>
  <c r="O42" i="2" s="1"/>
  <c r="N4" i="2"/>
  <c r="M4" i="2"/>
  <c r="L4" i="2"/>
  <c r="K4" i="2"/>
  <c r="AP2" i="2"/>
  <c r="AO2" i="2"/>
  <c r="AE38" i="2"/>
  <c r="AE35" i="2"/>
  <c r="AE33" i="2"/>
  <c r="AE30" i="2"/>
  <c r="AE29" i="2"/>
  <c r="AE27" i="2"/>
  <c r="AE25" i="2"/>
  <c r="AE24" i="2"/>
  <c r="AE23" i="2"/>
  <c r="AE22" i="2"/>
  <c r="AE21" i="2"/>
  <c r="AE20" i="2"/>
  <c r="AE19" i="2"/>
  <c r="AE15" i="2"/>
  <c r="AE12" i="2"/>
  <c r="AE11" i="2"/>
  <c r="AE10" i="2"/>
  <c r="AE9" i="2"/>
  <c r="AE8" i="2"/>
  <c r="AE7" i="2"/>
  <c r="AE6" i="2"/>
  <c r="K35" i="2"/>
  <c r="K33" i="2"/>
  <c r="K31" i="2"/>
  <c r="K26" i="2"/>
  <c r="K28" i="2" s="1"/>
  <c r="K46" i="2" s="1"/>
  <c r="K3" i="2"/>
  <c r="AF38" i="2"/>
  <c r="AF35" i="2"/>
  <c r="AF33" i="2"/>
  <c r="AF31" i="2"/>
  <c r="AF30" i="2"/>
  <c r="AF29" i="2"/>
  <c r="AF27" i="2"/>
  <c r="AF25" i="2"/>
  <c r="AF24" i="2"/>
  <c r="AF23" i="2"/>
  <c r="AF22" i="2"/>
  <c r="AF21" i="2"/>
  <c r="AF20" i="2"/>
  <c r="AF19" i="2"/>
  <c r="AF15" i="2"/>
  <c r="AF12" i="2"/>
  <c r="AF11" i="2"/>
  <c r="AF10" i="2"/>
  <c r="AF9" i="2"/>
  <c r="AF8" i="2"/>
  <c r="AF7" i="2"/>
  <c r="AF6" i="2"/>
  <c r="AG22" i="2"/>
  <c r="AH22" i="2" s="1"/>
  <c r="AI22" i="2" s="1"/>
  <c r="AJ22" i="2" s="1"/>
  <c r="AK22" i="2" s="1"/>
  <c r="AL22" i="2" s="1"/>
  <c r="AM22" i="2" s="1"/>
  <c r="AN22" i="2" s="1"/>
  <c r="AO22" i="2" s="1"/>
  <c r="AP22" i="2" s="1"/>
  <c r="AG10" i="2"/>
  <c r="AH10" i="2" s="1"/>
  <c r="AI10" i="2" s="1"/>
  <c r="AJ10" i="2" s="1"/>
  <c r="AK10" i="2" s="1"/>
  <c r="AL10" i="2" s="1"/>
  <c r="AM10" i="2" s="1"/>
  <c r="AN10" i="2" s="1"/>
  <c r="AG2" i="2"/>
  <c r="AH2" i="2" s="1"/>
  <c r="AI2" i="2" s="1"/>
  <c r="AJ2" i="2" s="1"/>
  <c r="AK2" i="2" s="1"/>
  <c r="AL2" i="2" s="1"/>
  <c r="AM2" i="2" s="1"/>
  <c r="AN2" i="2" s="1"/>
  <c r="AF2" i="2"/>
  <c r="U38" i="2"/>
  <c r="V38" i="2" s="1"/>
  <c r="U33" i="2"/>
  <c r="V33" i="2" s="1"/>
  <c r="T31" i="2"/>
  <c r="V30" i="2"/>
  <c r="U30" i="2"/>
  <c r="AG30" i="2" s="1"/>
  <c r="V29" i="2"/>
  <c r="U29" i="2"/>
  <c r="U25" i="2"/>
  <c r="V25" i="2" s="1"/>
  <c r="U24" i="2"/>
  <c r="V24" i="2" s="1"/>
  <c r="U23" i="2"/>
  <c r="V23" i="2" s="1"/>
  <c r="V22" i="2"/>
  <c r="U22" i="2"/>
  <c r="V21" i="2"/>
  <c r="U21" i="2"/>
  <c r="AG21" i="2" s="1"/>
  <c r="AH21" i="2" s="1"/>
  <c r="AI21" i="2" s="1"/>
  <c r="V20" i="2"/>
  <c r="U20" i="2"/>
  <c r="V19" i="2"/>
  <c r="U19" i="2"/>
  <c r="U15" i="2"/>
  <c r="V12" i="2"/>
  <c r="U12" i="2"/>
  <c r="V11" i="2"/>
  <c r="U11" i="2"/>
  <c r="AG11" i="2" s="1"/>
  <c r="AH11" i="2" s="1"/>
  <c r="AI11" i="2" s="1"/>
  <c r="AJ11" i="2" s="1"/>
  <c r="AK11" i="2" s="1"/>
  <c r="V10" i="2"/>
  <c r="U10" i="2"/>
  <c r="V9" i="2"/>
  <c r="U9" i="2"/>
  <c r="AG7" i="2"/>
  <c r="V8" i="2"/>
  <c r="U8" i="2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L35" i="2"/>
  <c r="L33" i="2"/>
  <c r="L31" i="2"/>
  <c r="P35" i="2"/>
  <c r="P33" i="2"/>
  <c r="P31" i="2"/>
  <c r="L26" i="2"/>
  <c r="L28" i="2" s="1"/>
  <c r="P26" i="2"/>
  <c r="T40" i="2" s="1"/>
  <c r="L3" i="2"/>
  <c r="S3" i="2"/>
  <c r="R3" i="2"/>
  <c r="Q3" i="2"/>
  <c r="Q41" i="2" s="1"/>
  <c r="P3" i="2"/>
  <c r="T41" i="2" s="1"/>
  <c r="O3" i="2"/>
  <c r="N3" i="2"/>
  <c r="M3" i="2"/>
  <c r="M35" i="2"/>
  <c r="M33" i="2"/>
  <c r="M31" i="2"/>
  <c r="M26" i="2"/>
  <c r="M28" i="2" s="1"/>
  <c r="M46" i="2" s="1"/>
  <c r="Q35" i="2"/>
  <c r="Q33" i="2"/>
  <c r="Q31" i="2"/>
  <c r="Q26" i="2"/>
  <c r="N30" i="2"/>
  <c r="N29" i="2"/>
  <c r="N27" i="2"/>
  <c r="R27" i="2"/>
  <c r="N35" i="2"/>
  <c r="N33" i="2"/>
  <c r="N31" i="2"/>
  <c r="N26" i="2"/>
  <c r="R35" i="2"/>
  <c r="R33" i="2"/>
  <c r="R31" i="2"/>
  <c r="R26" i="2"/>
  <c r="R28" i="2" s="1"/>
  <c r="R46" i="2" s="1"/>
  <c r="S29" i="2"/>
  <c r="S31" i="2" s="1"/>
  <c r="S27" i="2"/>
  <c r="S28" i="2" s="1"/>
  <c r="S46" i="2" s="1"/>
  <c r="O35" i="2"/>
  <c r="O33" i="2"/>
  <c r="O31" i="2"/>
  <c r="S35" i="2"/>
  <c r="S33" i="2"/>
  <c r="O26" i="2"/>
  <c r="S40" i="2" s="1"/>
  <c r="K4" i="1"/>
  <c r="K7" i="1" s="1"/>
  <c r="O41" i="2" l="1"/>
  <c r="Q42" i="2"/>
  <c r="R42" i="2"/>
  <c r="S42" i="2"/>
  <c r="T42" i="2"/>
  <c r="O40" i="2"/>
  <c r="P42" i="2"/>
  <c r="AG9" i="2"/>
  <c r="AH9" i="2" s="1"/>
  <c r="AI9" i="2" s="1"/>
  <c r="AJ9" i="2" s="1"/>
  <c r="AK9" i="2" s="1"/>
  <c r="AL9" i="2" s="1"/>
  <c r="AM9" i="2" s="1"/>
  <c r="AN9" i="2" s="1"/>
  <c r="AO9" i="2" s="1"/>
  <c r="AP9" i="2" s="1"/>
  <c r="Q40" i="2"/>
  <c r="AG38" i="2"/>
  <c r="AH38" i="2" s="1"/>
  <c r="AI38" i="2" s="1"/>
  <c r="AJ38" i="2" s="1"/>
  <c r="AK38" i="2" s="1"/>
  <c r="AL38" i="2" s="1"/>
  <c r="AM38" i="2" s="1"/>
  <c r="AN38" i="2" s="1"/>
  <c r="AO38" i="2" s="1"/>
  <c r="U4" i="2"/>
  <c r="U42" i="2" s="1"/>
  <c r="R40" i="2"/>
  <c r="V15" i="2"/>
  <c r="V4" i="2" s="1"/>
  <c r="V42" i="2" s="1"/>
  <c r="AG15" i="2"/>
  <c r="AH15" i="2" s="1"/>
  <c r="AG19" i="2"/>
  <c r="AH19" i="2" s="1"/>
  <c r="AI19" i="2" s="1"/>
  <c r="AJ19" i="2" s="1"/>
  <c r="AK19" i="2" s="1"/>
  <c r="AL19" i="2" s="1"/>
  <c r="AM19" i="2" s="1"/>
  <c r="AN19" i="2" s="1"/>
  <c r="AO19" i="2" s="1"/>
  <c r="AP19" i="2" s="1"/>
  <c r="L32" i="2"/>
  <c r="L34" i="2" s="1"/>
  <c r="L46" i="2"/>
  <c r="P28" i="2"/>
  <c r="P46" i="2" s="1"/>
  <c r="V31" i="2"/>
  <c r="Q28" i="2"/>
  <c r="P40" i="2"/>
  <c r="U31" i="2"/>
  <c r="O28" i="2"/>
  <c r="O46" i="2" s="1"/>
  <c r="AG20" i="2"/>
  <c r="AH20" i="2" s="1"/>
  <c r="AI20" i="2" s="1"/>
  <c r="AJ20" i="2" s="1"/>
  <c r="AK20" i="2" s="1"/>
  <c r="AG29" i="2"/>
  <c r="AG31" i="2" s="1"/>
  <c r="AG33" i="2"/>
  <c r="AG25" i="2"/>
  <c r="AH25" i="2" s="1"/>
  <c r="AI25" i="2" s="1"/>
  <c r="AJ25" i="2" s="1"/>
  <c r="AK25" i="2" s="1"/>
  <c r="AL25" i="2" s="1"/>
  <c r="AM25" i="2" s="1"/>
  <c r="AN25" i="2" s="1"/>
  <c r="AO25" i="2" s="1"/>
  <c r="AP25" i="2" s="1"/>
  <c r="AG24" i="2"/>
  <c r="AH24" i="2" s="1"/>
  <c r="AI24" i="2" s="1"/>
  <c r="AJ24" i="2" s="1"/>
  <c r="AK24" i="2" s="1"/>
  <c r="AL24" i="2" s="1"/>
  <c r="AM24" i="2" s="1"/>
  <c r="AN24" i="2" s="1"/>
  <c r="AO24" i="2" s="1"/>
  <c r="AP24" i="2" s="1"/>
  <c r="AF4" i="2"/>
  <c r="AE31" i="2"/>
  <c r="AE32" i="2" s="1"/>
  <c r="AE34" i="2" s="1"/>
  <c r="AF3" i="2"/>
  <c r="AE4" i="2"/>
  <c r="AF26" i="2"/>
  <c r="AE26" i="2"/>
  <c r="AE46" i="2" s="1"/>
  <c r="AI7" i="2"/>
  <c r="AJ7" i="2" s="1"/>
  <c r="AK7" i="2" s="1"/>
  <c r="AL7" i="2" s="1"/>
  <c r="AM7" i="2" s="1"/>
  <c r="AN7" i="2" s="1"/>
  <c r="AO7" i="2" s="1"/>
  <c r="AP7" i="2" s="1"/>
  <c r="AH30" i="2"/>
  <c r="AE3" i="2"/>
  <c r="AJ21" i="2"/>
  <c r="AK21" i="2" s="1"/>
  <c r="AL21" i="2" s="1"/>
  <c r="AM21" i="2" s="1"/>
  <c r="AN21" i="2" s="1"/>
  <c r="AO21" i="2" s="1"/>
  <c r="AP21" i="2" s="1"/>
  <c r="AO10" i="2"/>
  <c r="AL11" i="2"/>
  <c r="AM11" i="2" s="1"/>
  <c r="AN11" i="2" s="1"/>
  <c r="AO11" i="2" s="1"/>
  <c r="AP11" i="2" s="1"/>
  <c r="U26" i="2"/>
  <c r="U40" i="2" s="1"/>
  <c r="R41" i="2"/>
  <c r="AG23" i="2"/>
  <c r="AH23" i="2" s="1"/>
  <c r="AI23" i="2" s="1"/>
  <c r="AJ23" i="2" s="1"/>
  <c r="AK23" i="2" s="1"/>
  <c r="AL23" i="2" s="1"/>
  <c r="AM23" i="2" s="1"/>
  <c r="AN23" i="2" s="1"/>
  <c r="AO23" i="2" s="1"/>
  <c r="AP23" i="2" s="1"/>
  <c r="P41" i="2"/>
  <c r="AG12" i="2"/>
  <c r="AH12" i="2" s="1"/>
  <c r="S41" i="2"/>
  <c r="K32" i="2"/>
  <c r="K34" i="2" s="1"/>
  <c r="U3" i="2"/>
  <c r="U41" i="2" s="1"/>
  <c r="M32" i="2"/>
  <c r="M34" i="2" s="1"/>
  <c r="N28" i="2"/>
  <c r="N46" i="2" s="1"/>
  <c r="N32" i="2"/>
  <c r="N34" i="2" s="1"/>
  <c r="R32" i="2"/>
  <c r="R34" i="2" s="1"/>
  <c r="S32" i="2"/>
  <c r="S34" i="2" s="1"/>
  <c r="AF46" i="2" l="1"/>
  <c r="AF32" i="2"/>
  <c r="AF34" i="2" s="1"/>
  <c r="AF36" i="2" s="1"/>
  <c r="AF37" i="2" s="1"/>
  <c r="AF40" i="2"/>
  <c r="AF41" i="2"/>
  <c r="AF42" i="2"/>
  <c r="P32" i="2"/>
  <c r="P34" i="2" s="1"/>
  <c r="AI15" i="2"/>
  <c r="AJ15" i="2" s="1"/>
  <c r="AK15" i="2" s="1"/>
  <c r="AL15" i="2" s="1"/>
  <c r="AM15" i="2" s="1"/>
  <c r="AN15" i="2" s="1"/>
  <c r="AO15" i="2" s="1"/>
  <c r="AP15" i="2" s="1"/>
  <c r="V3" i="2"/>
  <c r="V41" i="2" s="1"/>
  <c r="V43" i="2"/>
  <c r="M36" i="2"/>
  <c r="M37" i="2" s="1"/>
  <c r="M47" i="2"/>
  <c r="P36" i="2"/>
  <c r="P37" i="2" s="1"/>
  <c r="P47" i="2"/>
  <c r="Q32" i="2"/>
  <c r="Q34" i="2" s="1"/>
  <c r="Q46" i="2"/>
  <c r="N36" i="2"/>
  <c r="N37" i="2" s="1"/>
  <c r="N47" i="2"/>
  <c r="K36" i="2"/>
  <c r="K37" i="2" s="1"/>
  <c r="K47" i="2"/>
  <c r="O32" i="2"/>
  <c r="O34" i="2" s="1"/>
  <c r="R36" i="2"/>
  <c r="R37" i="2" s="1"/>
  <c r="R47" i="2"/>
  <c r="L36" i="2"/>
  <c r="L37" i="2" s="1"/>
  <c r="L47" i="2"/>
  <c r="S36" i="2"/>
  <c r="S37" i="2" s="1"/>
  <c r="S47" i="2"/>
  <c r="AF47" i="2"/>
  <c r="AG4" i="2"/>
  <c r="AG42" i="2" s="1"/>
  <c r="AE36" i="2"/>
  <c r="AE37" i="2" s="1"/>
  <c r="AE47" i="2"/>
  <c r="AH4" i="2"/>
  <c r="AH42" i="2" s="1"/>
  <c r="AI12" i="2"/>
  <c r="AH31" i="2"/>
  <c r="AI30" i="2"/>
  <c r="U28" i="2"/>
  <c r="U32" i="2" s="1"/>
  <c r="U34" i="2" s="1"/>
  <c r="V26" i="2"/>
  <c r="V40" i="2" s="1"/>
  <c r="AP38" i="2"/>
  <c r="AL20" i="2"/>
  <c r="AP10" i="2"/>
  <c r="AG26" i="2"/>
  <c r="AG40" i="2" s="1"/>
  <c r="O36" i="2" l="1"/>
  <c r="O37" i="2" s="1"/>
  <c r="O47" i="2"/>
  <c r="Q36" i="2"/>
  <c r="Q37" i="2" s="1"/>
  <c r="Q47" i="2"/>
  <c r="AI4" i="2"/>
  <c r="AI42" i="2" s="1"/>
  <c r="AJ12" i="2"/>
  <c r="U27" i="2"/>
  <c r="AJ30" i="2"/>
  <c r="AI31" i="2"/>
  <c r="U46" i="2"/>
  <c r="AG46" i="2"/>
  <c r="AG3" i="2"/>
  <c r="AG41" i="2" s="1"/>
  <c r="V28" i="2"/>
  <c r="AM20" i="2"/>
  <c r="T46" i="2"/>
  <c r="T32" i="2"/>
  <c r="T34" i="2" s="1"/>
  <c r="U35" i="2"/>
  <c r="U47" i="2" s="1"/>
  <c r="AK30" i="2" l="1"/>
  <c r="AJ31" i="2"/>
  <c r="AK12" i="2"/>
  <c r="AJ4" i="2"/>
  <c r="AJ42" i="2" s="1"/>
  <c r="AG32" i="2"/>
  <c r="AG34" i="2" s="1"/>
  <c r="V27" i="2"/>
  <c r="AG27" i="2" s="1"/>
  <c r="V46" i="2"/>
  <c r="V32" i="2"/>
  <c r="V34" i="2" s="1"/>
  <c r="AI6" i="2"/>
  <c r="AH3" i="2"/>
  <c r="AH41" i="2" s="1"/>
  <c r="AH26" i="2"/>
  <c r="AN20" i="2"/>
  <c r="U36" i="2"/>
  <c r="U37" i="2" s="1"/>
  <c r="T36" i="2"/>
  <c r="T44" i="2" s="1"/>
  <c r="AK4" i="2" l="1"/>
  <c r="AK42" i="2" s="1"/>
  <c r="AL12" i="2"/>
  <c r="AL30" i="2"/>
  <c r="AK31" i="2"/>
  <c r="T37" i="2"/>
  <c r="U49" i="2"/>
  <c r="AH40" i="2"/>
  <c r="AH28" i="2"/>
  <c r="AH27" i="2" s="1"/>
  <c r="AJ6" i="2"/>
  <c r="AI3" i="2"/>
  <c r="AI41" i="2" s="1"/>
  <c r="AI26" i="2"/>
  <c r="V35" i="2"/>
  <c r="V47" i="2" s="1"/>
  <c r="AO20" i="2"/>
  <c r="T47" i="2"/>
  <c r="AG35" i="2"/>
  <c r="AM30" i="2" l="1"/>
  <c r="AL31" i="2"/>
  <c r="AM12" i="2"/>
  <c r="AL4" i="2"/>
  <c r="AL42" i="2" s="1"/>
  <c r="V36" i="2"/>
  <c r="V37" i="2" s="1"/>
  <c r="AI28" i="2"/>
  <c r="AI27" i="2" s="1"/>
  <c r="AI40" i="2"/>
  <c r="AK6" i="2"/>
  <c r="AJ26" i="2"/>
  <c r="AJ3" i="2"/>
  <c r="AJ41" i="2" s="1"/>
  <c r="V49" i="2"/>
  <c r="AG49" i="2" s="1"/>
  <c r="AH32" i="2"/>
  <c r="AH46" i="2"/>
  <c r="AP20" i="2"/>
  <c r="AG47" i="2"/>
  <c r="AG36" i="2"/>
  <c r="AN12" i="2" l="1"/>
  <c r="AM4" i="2"/>
  <c r="AM42" i="2" s="1"/>
  <c r="AN30" i="2"/>
  <c r="AM31" i="2"/>
  <c r="AH33" i="2"/>
  <c r="AH34" i="2" s="1"/>
  <c r="AL6" i="2"/>
  <c r="AK26" i="2"/>
  <c r="AK3" i="2"/>
  <c r="AK41" i="2" s="1"/>
  <c r="AI46" i="2"/>
  <c r="AI32" i="2"/>
  <c r="AJ28" i="2"/>
  <c r="AJ27" i="2" s="1"/>
  <c r="AJ40" i="2"/>
  <c r="AG37" i="2"/>
  <c r="AO30" i="2" l="1"/>
  <c r="AN31" i="2"/>
  <c r="AN4" i="2"/>
  <c r="AN42" i="2" s="1"/>
  <c r="AO12" i="2"/>
  <c r="AM6" i="2"/>
  <c r="AL26" i="2"/>
  <c r="AL3" i="2"/>
  <c r="AL41" i="2" s="1"/>
  <c r="AJ32" i="2"/>
  <c r="AJ46" i="2"/>
  <c r="AK28" i="2"/>
  <c r="AK27" i="2" s="1"/>
  <c r="AK40" i="2"/>
  <c r="AH35" i="2"/>
  <c r="AH47" i="2" s="1"/>
  <c r="AH36" i="2" l="1"/>
  <c r="AO4" i="2"/>
  <c r="AO42" i="2" s="1"/>
  <c r="AP12" i="2"/>
  <c r="AP4" i="2" s="1"/>
  <c r="AP30" i="2"/>
  <c r="AP31" i="2" s="1"/>
  <c r="AO31" i="2"/>
  <c r="AK46" i="2"/>
  <c r="AK32" i="2"/>
  <c r="AL40" i="2"/>
  <c r="AL28" i="2"/>
  <c r="AL27" i="2" s="1"/>
  <c r="AN6" i="2"/>
  <c r="AM26" i="2"/>
  <c r="AM3" i="2"/>
  <c r="AM41" i="2" s="1"/>
  <c r="AH37" i="2" l="1"/>
  <c r="AH49" i="2"/>
  <c r="AI33" i="2" s="1"/>
  <c r="AI34" i="2" s="1"/>
  <c r="AP42" i="2"/>
  <c r="AO6" i="2"/>
  <c r="AN26" i="2"/>
  <c r="AN3" i="2"/>
  <c r="AN41" i="2" s="1"/>
  <c r="AM28" i="2"/>
  <c r="AM27" i="2" s="1"/>
  <c r="AM40" i="2"/>
  <c r="AL46" i="2"/>
  <c r="AL32" i="2"/>
  <c r="AN40" i="2" l="1"/>
  <c r="AN28" i="2"/>
  <c r="AI35" i="2"/>
  <c r="AI47" i="2" s="1"/>
  <c r="AM46" i="2"/>
  <c r="AM32" i="2"/>
  <c r="AP6" i="2"/>
  <c r="AO26" i="2"/>
  <c r="AO3" i="2"/>
  <c r="AO41" i="2" s="1"/>
  <c r="AI36" i="2" l="1"/>
  <c r="AO40" i="2"/>
  <c r="AO28" i="2"/>
  <c r="AO27" i="2" s="1"/>
  <c r="AN46" i="2"/>
  <c r="AN32" i="2"/>
  <c r="AP3" i="2"/>
  <c r="AP41" i="2" s="1"/>
  <c r="AP26" i="2"/>
  <c r="AN27" i="2"/>
  <c r="AI37" i="2" l="1"/>
  <c r="AI49" i="2"/>
  <c r="AJ33" i="2" s="1"/>
  <c r="AJ34" i="2" s="1"/>
  <c r="AO32" i="2"/>
  <c r="AO46" i="2"/>
  <c r="AP28" i="2"/>
  <c r="AP40" i="2"/>
  <c r="AP46" i="2" l="1"/>
  <c r="AP32" i="2"/>
  <c r="AP27" i="2"/>
  <c r="AJ35" i="2"/>
  <c r="AJ47" i="2" s="1"/>
  <c r="AJ36" i="2" l="1"/>
  <c r="AJ37" i="2" l="1"/>
  <c r="AJ49" i="2"/>
  <c r="AK33" i="2" s="1"/>
  <c r="AK34" i="2" s="1"/>
  <c r="AK35" i="2" l="1"/>
  <c r="AK47" i="2" s="1"/>
  <c r="AK36" i="2" l="1"/>
  <c r="AK37" i="2" l="1"/>
  <c r="AK49" i="2"/>
  <c r="AL33" i="2" s="1"/>
  <c r="AL34" i="2" s="1"/>
  <c r="AL35" i="2" l="1"/>
  <c r="AL47" i="2" s="1"/>
  <c r="AL36" i="2" l="1"/>
  <c r="AL37" i="2" l="1"/>
  <c r="AL49" i="2"/>
  <c r="AM33" i="2" l="1"/>
  <c r="AM34" i="2" s="1"/>
  <c r="AM35" i="2" l="1"/>
  <c r="AM47" i="2" s="1"/>
  <c r="AM36" i="2" l="1"/>
  <c r="AM49" i="2" s="1"/>
  <c r="AM37" i="2" l="1"/>
  <c r="AN33" i="2"/>
  <c r="AN34" i="2" s="1"/>
  <c r="AN35" i="2" l="1"/>
  <c r="AN47" i="2" s="1"/>
  <c r="AN36" i="2" l="1"/>
  <c r="AN37" i="2" l="1"/>
  <c r="AN49" i="2"/>
  <c r="AO33" i="2" l="1"/>
  <c r="AO34" i="2" s="1"/>
  <c r="AO35" i="2" l="1"/>
  <c r="AO47" i="2" s="1"/>
  <c r="AO36" i="2" l="1"/>
  <c r="AO37" i="2" s="1"/>
  <c r="AO49" i="2" l="1"/>
  <c r="AP33" i="2" s="1"/>
  <c r="AP34" i="2" s="1"/>
  <c r="AP35" i="2" l="1"/>
  <c r="AP47" i="2" s="1"/>
  <c r="AP36" i="2" l="1"/>
  <c r="AQ36" i="2" l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AP37" i="2"/>
  <c r="AP49" i="2"/>
  <c r="AS48" i="2" l="1"/>
  <c r="AS49" i="2" s="1"/>
  <c r="AS50" i="2" s="1"/>
  <c r="AS51" i="2" s="1"/>
</calcChain>
</file>

<file path=xl/comments1.xml><?xml version="1.0" encoding="utf-8"?>
<comments xmlns="http://schemas.openxmlformats.org/spreadsheetml/2006/main">
  <authors>
    <author>Martin Shkreli</author>
  </authors>
  <commentList>
    <comment ref="T6" authorId="0" shapeId="0">
      <text>
        <r>
          <rPr>
            <b/>
            <sz val="9"/>
            <color indexed="81"/>
            <rFont val="Tahoma"/>
            <charset val="1"/>
          </rPr>
          <t>Martin Shkreli:</t>
        </r>
        <r>
          <rPr>
            <sz val="9"/>
            <color indexed="81"/>
            <rFont val="Tahoma"/>
            <charset val="1"/>
          </rPr>
          <t xml:space="preserve">
blaming warehousing
500k patients since inception (2.5m left?)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12/6/13 approval</t>
        </r>
      </text>
    </comment>
    <comment ref="AG26" authorId="0" shapeId="0">
      <text>
        <r>
          <rPr>
            <b/>
            <sz val="9"/>
            <color indexed="81"/>
            <rFont val="Tahoma"/>
            <charset val="1"/>
          </rPr>
          <t>Martin Shkreli:</t>
        </r>
        <r>
          <rPr>
            <sz val="9"/>
            <color indexed="81"/>
            <rFont val="Tahoma"/>
            <charset val="1"/>
          </rPr>
          <t xml:space="preserve">
Q116: 30-31bn
Q216: 29.5-30.5bn</t>
        </r>
      </text>
    </comment>
  </commentList>
</comments>
</file>

<file path=xl/sharedStrings.xml><?xml version="1.0" encoding="utf-8"?>
<sst xmlns="http://schemas.openxmlformats.org/spreadsheetml/2006/main" count="197" uniqueCount="158">
  <si>
    <t>Price</t>
  </si>
  <si>
    <t>Shares</t>
  </si>
  <si>
    <t>MC</t>
  </si>
  <si>
    <t>Cash</t>
  </si>
  <si>
    <t>EV</t>
  </si>
  <si>
    <t>Debt</t>
  </si>
  <si>
    <t>Main</t>
  </si>
  <si>
    <t>Revenue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</si>
  <si>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</si>
  <si>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</si>
  <si>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</si>
  <si>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</si>
  <si>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</si>
  <si>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</si>
  <si>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</si>
  <si>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</si>
  <si>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</si>
  <si>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</si>
  <si>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</si>
  <si>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</si>
  <si>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Harvoni</t>
  </si>
  <si>
    <t>Sovaldi</t>
  </si>
  <si>
    <t>Truvada</t>
  </si>
  <si>
    <t>Atripla</t>
  </si>
  <si>
    <t>Stribild</t>
  </si>
  <si>
    <t>Complera</t>
  </si>
  <si>
    <t>Viread</t>
  </si>
  <si>
    <t>Genvoya</t>
  </si>
  <si>
    <t>Other Antiviral</t>
  </si>
  <si>
    <t>Letairis</t>
  </si>
  <si>
    <t>Ranexa</t>
  </si>
  <si>
    <t>Ambisome</t>
  </si>
  <si>
    <t>Zydelig</t>
  </si>
  <si>
    <t>Other</t>
  </si>
  <si>
    <t>Royalty</t>
  </si>
  <si>
    <t>COGS</t>
  </si>
  <si>
    <t>Gross Profit</t>
  </si>
  <si>
    <t>SG&amp;A</t>
  </si>
  <si>
    <t>R&amp;D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</si>
  <si>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</si>
  <si>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</si>
  <si>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</si>
  <si>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</si>
  <si>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</si>
  <si>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</si>
  <si>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</si>
  <si>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Hep C</t>
  </si>
  <si>
    <t>Revenue Growth</t>
  </si>
  <si>
    <t>Hep C Growth</t>
  </si>
  <si>
    <t>Gross Margin</t>
  </si>
  <si>
    <t>Tax Rate</t>
  </si>
  <si>
    <t>HIV</t>
  </si>
  <si>
    <t>HIV Growth</t>
  </si>
  <si>
    <t>Net Cash</t>
  </si>
  <si>
    <t>A/R</t>
  </si>
  <si>
    <t>Inventories</t>
  </si>
  <si>
    <t>DT</t>
  </si>
  <si>
    <t>PP&amp;E</t>
  </si>
  <si>
    <t>Prepaids</t>
  </si>
  <si>
    <t>Royalties</t>
  </si>
  <si>
    <t>Goodwill</t>
  </si>
  <si>
    <t>OLTA</t>
  </si>
  <si>
    <t>Assets</t>
  </si>
  <si>
    <t>AP</t>
  </si>
  <si>
    <t>Rebates</t>
  </si>
  <si>
    <t>AL</t>
  </si>
  <si>
    <t>DR</t>
  </si>
  <si>
    <t>OLTL</t>
  </si>
  <si>
    <t>SE</t>
  </si>
  <si>
    <t>L+SE</t>
  </si>
  <si>
    <t>ROIC</t>
  </si>
  <si>
    <t>Maturity</t>
  </si>
  <si>
    <t>Discount</t>
  </si>
  <si>
    <t>NPV</t>
  </si>
  <si>
    <t>Share</t>
  </si>
  <si>
    <t>tNPV</t>
  </si>
  <si>
    <t>Delta</t>
  </si>
  <si>
    <t>Epclusa</t>
  </si>
  <si>
    <t>Descovy</t>
  </si>
  <si>
    <t>Odefsey</t>
  </si>
  <si>
    <t>Brand</t>
  </si>
  <si>
    <t>Generic</t>
  </si>
  <si>
    <t>HCV</t>
  </si>
  <si>
    <t>Indication</t>
  </si>
  <si>
    <t>sofosbuvir/velpatasvir</t>
  </si>
  <si>
    <t>TAF/emtricitabine</t>
  </si>
  <si>
    <t>TAF/emtricitabine/rilpivirine</t>
  </si>
  <si>
    <t>Economics</t>
  </si>
  <si>
    <t>JNJ</t>
  </si>
  <si>
    <t>MOA</t>
  </si>
  <si>
    <t>sofosbuvir</t>
  </si>
  <si>
    <t>sofosbuvir/ledipasvir</t>
  </si>
  <si>
    <t>IP</t>
  </si>
  <si>
    <t>Emtriva</t>
  </si>
  <si>
    <t>ERA</t>
  </si>
  <si>
    <t>NDI-010976</t>
  </si>
  <si>
    <t>ACC inhibitor</t>
  </si>
  <si>
    <t>bictegravir</t>
  </si>
  <si>
    <t>voxilaprevir</t>
  </si>
  <si>
    <t>NASH</t>
  </si>
  <si>
    <t>TLR7 agonist</t>
  </si>
  <si>
    <t>GS-9620</t>
  </si>
  <si>
    <t>GS-4774</t>
  </si>
  <si>
    <t>HBV</t>
  </si>
  <si>
    <t>simtuzumab</t>
  </si>
  <si>
    <t>GS-4997</t>
  </si>
  <si>
    <t>NASH, PSC</t>
  </si>
  <si>
    <t>momelotinib</t>
  </si>
  <si>
    <t>Myelofibrosis</t>
  </si>
  <si>
    <t>GS-5745</t>
  </si>
  <si>
    <t>MMP9 mab</t>
  </si>
  <si>
    <t xml:space="preserve">entospletinib </t>
  </si>
  <si>
    <t>SYK inhibitor</t>
  </si>
  <si>
    <t>AML</t>
  </si>
  <si>
    <t>Approved</t>
  </si>
  <si>
    <t>Phase</t>
  </si>
  <si>
    <t>GS-4059</t>
  </si>
  <si>
    <t>GS-5829</t>
  </si>
  <si>
    <t>BET</t>
  </si>
  <si>
    <t>BTK</t>
  </si>
  <si>
    <t>I</t>
  </si>
  <si>
    <t>II</t>
  </si>
  <si>
    <t>eleclazine</t>
  </si>
  <si>
    <t>LQT3</t>
  </si>
  <si>
    <t>Na current</t>
  </si>
  <si>
    <t>III</t>
  </si>
  <si>
    <t>presatovir</t>
  </si>
  <si>
    <t>filgotinib</t>
  </si>
  <si>
    <t>RA, CD</t>
  </si>
  <si>
    <t>RSV</t>
  </si>
  <si>
    <t>GS-9876</t>
  </si>
  <si>
    <t>ASK1</t>
  </si>
  <si>
    <t>NASH, PAH, DN</t>
  </si>
  <si>
    <t>GS-5734</t>
  </si>
  <si>
    <t>Ebola</t>
  </si>
  <si>
    <t>RA</t>
  </si>
  <si>
    <t>Cancer</t>
  </si>
  <si>
    <t>Gastric Cancer, UC, CF</t>
  </si>
  <si>
    <t>GS-9857</t>
  </si>
  <si>
    <t>Protease</t>
  </si>
  <si>
    <t>Pregnane-sparing antiretroviral for HIV</t>
  </si>
  <si>
    <t>LOX antibody</t>
  </si>
  <si>
    <t>Ono</t>
  </si>
  <si>
    <t>Q117</t>
  </si>
  <si>
    <t>Q217</t>
  </si>
  <si>
    <t>Q317</t>
  </si>
  <si>
    <t>Q417</t>
  </si>
  <si>
    <t>Q113</t>
  </si>
  <si>
    <t>Q213</t>
  </si>
  <si>
    <t>Q313</t>
  </si>
  <si>
    <t>Q413</t>
  </si>
  <si>
    <t>1/16/14: Kevin Young retires.</t>
  </si>
  <si>
    <t>Q112</t>
  </si>
  <si>
    <t>Q212</t>
  </si>
  <si>
    <t>Q312</t>
  </si>
  <si>
    <t>Q412</t>
  </si>
  <si>
    <t>Hepsera</t>
  </si>
  <si>
    <t>NS5A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</si>
</sst>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0</xdr:row>
      <xdr:rowOff>0</xdr:rowOff>
    </xdr:from>
    <xdr:to>
      <xdr:col>20</xdr:col>
      <xdr:colOff>38100</xdr:colOff>
      <xdr:row>74</xdr:row>
      <xdr:rowOff>57150</xdr:rowOff>
    </xdr:to>
    <xdr:cxnSp macro="">
      <xdr:nvCxnSpPr>
        <xdr:cNvPr id="3" name="Straight Connector 2"/>
        <xdr:cNvCxnSpPr/>
      </xdr:nvCxnSpPr>
      <xdr:spPr>
        <a:xfrm>
          <a:off x="7677150" y="0"/>
          <a:ext cx="0" cy="11715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57150</xdr:colOff>
      <xdr:row>0</xdr:row>
      <xdr:rowOff>0</xdr:rowOff>
    </xdr:from>
    <xdr:to>
      <xdr:col>32</xdr:col>
      <xdr:colOff>57150</xdr:colOff>
      <xdr:row>54</xdr:row>
      <xdr:rowOff>152400</xdr:rowOff>
    </xdr:to>
    <xdr:cxnSp macro="">
      <xdr:nvCxnSpPr>
        <xdr:cNvPr id="4" name="Straight Connector 3"/>
        <xdr:cNvCxnSpPr/>
      </xdr:nvCxnSpPr>
      <xdr:spPr>
        <a:xfrm>
          <a:off x="12573000" y="0"/>
          <a:ext cx="0" cy="7439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9"/>
  <sheetViews>
    <sheetView workbookViewId="0">
      <selection activeCell="F4" sqref="F4"/>
    </sheetView>
  </sheetViews>
  <sheetFormatPr defaultRowHeight="12.75" x14ac:dyDescent="0.2"/>
  <cols>
    <col min="2" max="2" width="12.42578125" customWidth="1"/>
    <col min="3" max="3" width="23.5703125" bestFit="1" customWidth="1"/>
    <col min="4" max="4" width="17.42578125" style="29" bestFit="1" customWidth="1"/>
    <col min="5" max="5" width="11.7109375" style="29" customWidth="1"/>
    <col min="6" max="6" width="14.140625" style="29" customWidth="1"/>
    <col min="7" max="7" width="9.140625" style="29"/>
  </cols>
  <sheetData>
    <row r="2" spans="2:12" x14ac:dyDescent="0.2">
      <c r="B2" s="20" t="s">
        <v>80</v>
      </c>
      <c r="C2" s="21" t="s">
        <v>81</v>
      </c>
      <c r="D2" s="22" t="s">
        <v>83</v>
      </c>
      <c r="E2" s="22" t="s">
        <v>87</v>
      </c>
      <c r="F2" s="22" t="s">
        <v>89</v>
      </c>
      <c r="G2" s="22" t="s">
        <v>114</v>
      </c>
      <c r="H2" s="23" t="s">
        <v>92</v>
      </c>
      <c r="J2" t="s">
        <v>0</v>
      </c>
      <c r="K2" s="1">
        <v>73.819999999999993</v>
      </c>
    </row>
    <row r="3" spans="2:12" x14ac:dyDescent="0.2">
      <c r="B3" s="14" t="s">
        <v>20</v>
      </c>
      <c r="C3" s="15" t="s">
        <v>91</v>
      </c>
      <c r="D3" s="24" t="s">
        <v>82</v>
      </c>
      <c r="E3" s="25">
        <v>1</v>
      </c>
      <c r="F3" s="24"/>
      <c r="G3" s="24"/>
      <c r="H3" s="26"/>
      <c r="J3" t="s">
        <v>1</v>
      </c>
      <c r="K3" s="3">
        <v>1331</v>
      </c>
      <c r="L3" s="2" t="s">
        <v>17</v>
      </c>
    </row>
    <row r="4" spans="2:12" x14ac:dyDescent="0.2">
      <c r="B4" s="14" t="s">
        <v>21</v>
      </c>
      <c r="C4" s="15" t="s">
        <v>90</v>
      </c>
      <c r="D4" s="24" t="s">
        <v>82</v>
      </c>
      <c r="E4" s="25">
        <v>1</v>
      </c>
      <c r="F4" s="24" t="s">
        <v>157</v>
      </c>
      <c r="G4" s="30">
        <v>41614</v>
      </c>
      <c r="H4" s="26"/>
      <c r="J4" t="s">
        <v>2</v>
      </c>
      <c r="K4" s="3">
        <f>+K3*K2</f>
        <v>98254.419999999984</v>
      </c>
      <c r="L4" s="2"/>
    </row>
    <row r="5" spans="2:12" x14ac:dyDescent="0.2">
      <c r="B5" s="14" t="s">
        <v>77</v>
      </c>
      <c r="C5" s="15" t="s">
        <v>84</v>
      </c>
      <c r="D5" s="24" t="s">
        <v>82</v>
      </c>
      <c r="E5" s="25">
        <v>1</v>
      </c>
      <c r="F5" s="24"/>
      <c r="G5" s="24"/>
      <c r="H5" s="26"/>
      <c r="J5" t="s">
        <v>3</v>
      </c>
      <c r="K5" s="3">
        <f>6485+2267+15864</f>
        <v>24616</v>
      </c>
      <c r="L5" s="2" t="s">
        <v>17</v>
      </c>
    </row>
    <row r="6" spans="2:12" x14ac:dyDescent="0.2">
      <c r="B6" s="14" t="s">
        <v>79</v>
      </c>
      <c r="C6" s="15" t="s">
        <v>86</v>
      </c>
      <c r="D6" s="24" t="s">
        <v>51</v>
      </c>
      <c r="E6" s="27" t="s">
        <v>88</v>
      </c>
      <c r="F6" s="24"/>
      <c r="G6" s="24"/>
      <c r="H6" s="26"/>
      <c r="J6" t="s">
        <v>5</v>
      </c>
      <c r="K6" s="3">
        <f>21427+700</f>
        <v>22127</v>
      </c>
      <c r="L6" s="2" t="s">
        <v>17</v>
      </c>
    </row>
    <row r="7" spans="2:12" x14ac:dyDescent="0.2">
      <c r="B7" s="14" t="s">
        <v>78</v>
      </c>
      <c r="C7" s="15" t="s">
        <v>85</v>
      </c>
      <c r="D7" s="27" t="s">
        <v>51</v>
      </c>
      <c r="E7" s="25">
        <v>1</v>
      </c>
      <c r="F7" s="24"/>
      <c r="G7" s="24"/>
      <c r="H7" s="26"/>
      <c r="J7" t="s">
        <v>4</v>
      </c>
      <c r="K7" s="3">
        <f>+K4-K5+K6</f>
        <v>95765.419999999984</v>
      </c>
    </row>
    <row r="8" spans="2:12" x14ac:dyDescent="0.2">
      <c r="B8" s="14" t="s">
        <v>22</v>
      </c>
      <c r="C8" s="15"/>
      <c r="D8" s="24"/>
      <c r="E8" s="24"/>
      <c r="F8" s="24"/>
      <c r="G8" s="24"/>
      <c r="H8" s="26"/>
    </row>
    <row r="9" spans="2:12" x14ac:dyDescent="0.2">
      <c r="B9" s="14" t="s">
        <v>26</v>
      </c>
      <c r="C9" s="15"/>
      <c r="D9" s="24"/>
      <c r="E9" s="24"/>
      <c r="F9" s="24"/>
      <c r="G9" s="24"/>
      <c r="H9" s="26"/>
    </row>
    <row r="10" spans="2:12" x14ac:dyDescent="0.2">
      <c r="B10" s="14" t="s">
        <v>23</v>
      </c>
      <c r="C10" s="15"/>
      <c r="D10" s="24"/>
      <c r="E10" s="24"/>
      <c r="F10" s="24"/>
      <c r="G10" s="24"/>
      <c r="H10" s="26"/>
    </row>
    <row r="11" spans="2:12" x14ac:dyDescent="0.2">
      <c r="B11" s="14" t="s">
        <v>93</v>
      </c>
      <c r="C11" s="15"/>
      <c r="D11" s="24"/>
      <c r="E11" s="24"/>
      <c r="F11" s="24"/>
      <c r="G11" s="24"/>
      <c r="H11" s="26"/>
    </row>
    <row r="12" spans="2:12" x14ac:dyDescent="0.2">
      <c r="B12" s="14" t="s">
        <v>31</v>
      </c>
      <c r="C12" s="15"/>
      <c r="D12" s="24"/>
      <c r="E12" s="24"/>
      <c r="F12" s="24"/>
      <c r="G12" s="24"/>
      <c r="H12" s="26"/>
    </row>
    <row r="13" spans="2:12" x14ac:dyDescent="0.2">
      <c r="B13" s="14" t="s">
        <v>30</v>
      </c>
      <c r="C13" s="15"/>
      <c r="D13" s="24"/>
      <c r="E13" s="24"/>
      <c r="F13" s="24"/>
      <c r="G13" s="24"/>
      <c r="H13" s="26"/>
    </row>
    <row r="14" spans="2:12" x14ac:dyDescent="0.2">
      <c r="B14" s="14" t="s">
        <v>29</v>
      </c>
      <c r="C14" s="15"/>
      <c r="D14" s="24"/>
      <c r="E14" s="24"/>
      <c r="F14" s="24" t="s">
        <v>94</v>
      </c>
      <c r="G14" s="24"/>
      <c r="H14" s="26"/>
    </row>
    <row r="15" spans="2:12" x14ac:dyDescent="0.2">
      <c r="B15" s="14" t="s">
        <v>32</v>
      </c>
      <c r="C15" s="15"/>
      <c r="D15" s="24"/>
      <c r="E15" s="24"/>
      <c r="F15" s="24"/>
      <c r="G15" s="24"/>
      <c r="H15" s="26"/>
    </row>
    <row r="16" spans="2:12" x14ac:dyDescent="0.2">
      <c r="B16" s="14"/>
      <c r="C16" s="15"/>
      <c r="D16" s="24"/>
      <c r="E16" s="24"/>
      <c r="F16" s="24"/>
      <c r="G16" s="24"/>
      <c r="H16" s="26"/>
    </row>
    <row r="17" spans="2:8" x14ac:dyDescent="0.2">
      <c r="B17" s="20"/>
      <c r="C17" s="21"/>
      <c r="D17" s="22"/>
      <c r="E17" s="22"/>
      <c r="F17" s="22"/>
      <c r="G17" s="22" t="s">
        <v>115</v>
      </c>
      <c r="H17" s="23"/>
    </row>
    <row r="18" spans="2:8" x14ac:dyDescent="0.2">
      <c r="B18" s="14"/>
      <c r="C18" s="15" t="s">
        <v>107</v>
      </c>
      <c r="D18" s="24" t="s">
        <v>108</v>
      </c>
      <c r="E18" s="24"/>
      <c r="F18" s="24"/>
      <c r="G18" s="24"/>
      <c r="H18" s="16"/>
    </row>
    <row r="19" spans="2:8" x14ac:dyDescent="0.2">
      <c r="B19" s="14"/>
      <c r="C19" s="15" t="s">
        <v>122</v>
      </c>
      <c r="D19" s="24" t="s">
        <v>123</v>
      </c>
      <c r="E19" s="24"/>
      <c r="F19" s="24" t="s">
        <v>124</v>
      </c>
      <c r="G19" s="24" t="s">
        <v>125</v>
      </c>
      <c r="H19" s="16"/>
    </row>
    <row r="20" spans="2:8" x14ac:dyDescent="0.2">
      <c r="B20" s="14" t="s">
        <v>109</v>
      </c>
      <c r="C20" s="15"/>
      <c r="D20" s="24" t="s">
        <v>137</v>
      </c>
      <c r="E20" s="24"/>
      <c r="F20" s="24" t="s">
        <v>110</v>
      </c>
      <c r="G20" s="24" t="s">
        <v>125</v>
      </c>
      <c r="H20" s="16"/>
    </row>
    <row r="21" spans="2:8" x14ac:dyDescent="0.2">
      <c r="B21" s="14"/>
      <c r="C21" s="15" t="s">
        <v>111</v>
      </c>
      <c r="D21" s="24" t="s">
        <v>113</v>
      </c>
      <c r="E21" s="24"/>
      <c r="F21" s="24" t="s">
        <v>112</v>
      </c>
      <c r="G21" s="27" t="s">
        <v>121</v>
      </c>
      <c r="H21" s="16"/>
    </row>
    <row r="22" spans="2:8" x14ac:dyDescent="0.2">
      <c r="B22" s="14"/>
      <c r="C22" s="15" t="s">
        <v>98</v>
      </c>
      <c r="D22" s="24" t="s">
        <v>82</v>
      </c>
      <c r="E22" s="24"/>
      <c r="F22" s="24"/>
      <c r="G22" s="24" t="s">
        <v>125</v>
      </c>
      <c r="H22" s="16"/>
    </row>
    <row r="23" spans="2:8" x14ac:dyDescent="0.2">
      <c r="B23" s="14"/>
      <c r="C23" s="15" t="s">
        <v>97</v>
      </c>
      <c r="D23" s="24" t="s">
        <v>51</v>
      </c>
      <c r="E23" s="24"/>
      <c r="F23" s="24"/>
      <c r="G23" s="24"/>
      <c r="H23" s="16"/>
    </row>
    <row r="24" spans="2:8" x14ac:dyDescent="0.2">
      <c r="B24" s="14" t="s">
        <v>95</v>
      </c>
      <c r="C24" s="15"/>
      <c r="D24" s="24" t="s">
        <v>99</v>
      </c>
      <c r="E24" s="24"/>
      <c r="F24" s="24" t="s">
        <v>96</v>
      </c>
      <c r="G24" s="24"/>
      <c r="H24" s="16"/>
    </row>
    <row r="25" spans="2:8" x14ac:dyDescent="0.2">
      <c r="B25" s="14" t="s">
        <v>101</v>
      </c>
      <c r="C25" s="15"/>
      <c r="D25" s="27" t="s">
        <v>51</v>
      </c>
      <c r="E25" s="24"/>
      <c r="F25" s="24" t="s">
        <v>100</v>
      </c>
      <c r="G25" s="24"/>
      <c r="H25" s="16"/>
    </row>
    <row r="26" spans="2:8" x14ac:dyDescent="0.2">
      <c r="B26" s="14" t="s">
        <v>102</v>
      </c>
      <c r="C26" s="15"/>
      <c r="D26" s="27" t="s">
        <v>103</v>
      </c>
      <c r="E26" s="24"/>
      <c r="F26" s="24"/>
      <c r="G26" s="24"/>
      <c r="H26" s="16"/>
    </row>
    <row r="27" spans="2:8" x14ac:dyDescent="0.2">
      <c r="B27" s="14"/>
      <c r="C27" s="15" t="s">
        <v>104</v>
      </c>
      <c r="D27" s="27" t="s">
        <v>106</v>
      </c>
      <c r="E27" s="24"/>
      <c r="F27" s="24"/>
      <c r="G27" s="24"/>
      <c r="H27" s="16"/>
    </row>
    <row r="28" spans="2:8" x14ac:dyDescent="0.2">
      <c r="B28" s="14"/>
      <c r="C28" s="15" t="s">
        <v>126</v>
      </c>
      <c r="D28" s="27" t="s">
        <v>129</v>
      </c>
      <c r="E28" s="24"/>
      <c r="F28" s="24"/>
      <c r="G28" s="24"/>
      <c r="H28" s="16"/>
    </row>
    <row r="29" spans="2:8" x14ac:dyDescent="0.2">
      <c r="B29" s="14"/>
      <c r="C29" s="15" t="s">
        <v>127</v>
      </c>
      <c r="D29" s="27" t="s">
        <v>128</v>
      </c>
      <c r="E29" s="24"/>
      <c r="F29" s="24"/>
      <c r="G29" s="24"/>
      <c r="H29" s="16"/>
    </row>
    <row r="30" spans="2:8" x14ac:dyDescent="0.2">
      <c r="B30" s="14" t="s">
        <v>105</v>
      </c>
      <c r="C30" s="15"/>
      <c r="D30" s="27" t="s">
        <v>132</v>
      </c>
      <c r="E30" s="24"/>
      <c r="F30" s="24" t="s">
        <v>131</v>
      </c>
      <c r="G30" s="24" t="s">
        <v>121</v>
      </c>
      <c r="H30" s="16"/>
    </row>
    <row r="31" spans="2:8" x14ac:dyDescent="0.2">
      <c r="B31" s="14" t="s">
        <v>116</v>
      </c>
      <c r="C31" s="15"/>
      <c r="D31" s="24" t="s">
        <v>136</v>
      </c>
      <c r="E31" s="24" t="s">
        <v>142</v>
      </c>
      <c r="F31" s="24" t="s">
        <v>119</v>
      </c>
      <c r="G31" s="24" t="s">
        <v>120</v>
      </c>
      <c r="H31" s="16"/>
    </row>
    <row r="32" spans="2:8" x14ac:dyDescent="0.2">
      <c r="B32" s="14" t="s">
        <v>117</v>
      </c>
      <c r="C32" s="15"/>
      <c r="D32" s="24" t="s">
        <v>136</v>
      </c>
      <c r="E32" s="24"/>
      <c r="F32" s="24" t="s">
        <v>118</v>
      </c>
      <c r="G32" s="24" t="s">
        <v>120</v>
      </c>
      <c r="H32" s="16"/>
    </row>
    <row r="33" spans="2:8" x14ac:dyDescent="0.2">
      <c r="B33" s="14" t="s">
        <v>130</v>
      </c>
      <c r="C33" s="15"/>
      <c r="D33" s="24" t="s">
        <v>135</v>
      </c>
      <c r="E33" s="24"/>
      <c r="F33" s="24" t="s">
        <v>112</v>
      </c>
      <c r="G33" s="24" t="s">
        <v>120</v>
      </c>
      <c r="H33" s="16"/>
    </row>
    <row r="34" spans="2:8" x14ac:dyDescent="0.2">
      <c r="B34" s="14" t="s">
        <v>133</v>
      </c>
      <c r="C34" s="15"/>
      <c r="D34" s="24" t="s">
        <v>134</v>
      </c>
      <c r="E34" s="24"/>
      <c r="F34" s="24"/>
      <c r="G34" s="24"/>
      <c r="H34" s="16"/>
    </row>
    <row r="35" spans="2:8" x14ac:dyDescent="0.2">
      <c r="B35" s="14" t="s">
        <v>138</v>
      </c>
      <c r="C35" s="15"/>
      <c r="D35" s="24" t="s">
        <v>82</v>
      </c>
      <c r="E35" s="24"/>
      <c r="F35" s="24" t="s">
        <v>139</v>
      </c>
      <c r="G35" s="24"/>
      <c r="H35" s="16"/>
    </row>
    <row r="36" spans="2:8" x14ac:dyDescent="0.2">
      <c r="B36" s="17"/>
      <c r="C36" s="18"/>
      <c r="D36" s="28"/>
      <c r="E36" s="28"/>
      <c r="F36" s="28"/>
      <c r="G36" s="28"/>
      <c r="H36" s="19"/>
    </row>
    <row r="39" spans="2:8" x14ac:dyDescent="0.2">
      <c r="B39" t="s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70"/>
  <sheetViews>
    <sheetView tabSelected="1" workbookViewId="0">
      <pane xSplit="2" ySplit="2" topLeftCell="Y15" activePane="bottomRight" state="frozen"/>
      <selection pane="topRight" activeCell="C1" sqref="C1"/>
      <selection pane="bottomLeft" activeCell="A3" sqref="A3"/>
      <selection pane="bottomRight" activeCell="AE46" sqref="AE46"/>
    </sheetView>
  </sheetViews>
  <sheetFormatPr defaultRowHeight="12.75" x14ac:dyDescent="0.2"/>
  <cols>
    <col min="1" max="1" width="5" bestFit="1" customWidth="1"/>
    <col min="2" max="2" width="18.140625" bestFit="1" customWidth="1"/>
    <col min="3" max="33" width="9.140625" style="2"/>
    <col min="45" max="45" width="10.7109375" customWidth="1"/>
  </cols>
  <sheetData>
    <row r="1" spans="1:42" x14ac:dyDescent="0.2">
      <c r="A1" s="7" t="s">
        <v>6</v>
      </c>
    </row>
    <row r="2" spans="1:42" x14ac:dyDescent="0.2">
      <c r="C2" s="2" t="s">
        <v>152</v>
      </c>
      <c r="D2" s="2" t="s">
        <v>153</v>
      </c>
      <c r="E2" s="2" t="s">
        <v>154</v>
      </c>
      <c r="F2" s="2" t="s">
        <v>155</v>
      </c>
      <c r="G2" s="2" t="s">
        <v>147</v>
      </c>
      <c r="H2" s="2" t="s">
        <v>148</v>
      </c>
      <c r="I2" s="2" t="s">
        <v>149</v>
      </c>
      <c r="J2" s="2" t="s">
        <v>150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143</v>
      </c>
      <c r="X2" s="2" t="s">
        <v>144</v>
      </c>
      <c r="Y2" s="2" t="s">
        <v>145</v>
      </c>
      <c r="Z2" s="2" t="s">
        <v>146</v>
      </c>
      <c r="AB2" s="2">
        <v>2011</v>
      </c>
      <c r="AC2" s="2">
        <v>2012</v>
      </c>
      <c r="AD2" s="2">
        <v>2013</v>
      </c>
      <c r="AE2" s="2">
        <v>2014</v>
      </c>
      <c r="AF2" s="2">
        <f>+AE2+1</f>
        <v>2015</v>
      </c>
      <c r="AG2" s="2">
        <f t="shared" ref="AG2:AN2" si="0">+AF2+1</f>
        <v>2016</v>
      </c>
      <c r="AH2" s="2">
        <f t="shared" si="0"/>
        <v>2017</v>
      </c>
      <c r="AI2" s="2">
        <f t="shared" si="0"/>
        <v>2018</v>
      </c>
      <c r="AJ2" s="2">
        <f t="shared" si="0"/>
        <v>2019</v>
      </c>
      <c r="AK2" s="2">
        <f t="shared" si="0"/>
        <v>2020</v>
      </c>
      <c r="AL2" s="2">
        <f t="shared" si="0"/>
        <v>2021</v>
      </c>
      <c r="AM2" s="2">
        <f t="shared" si="0"/>
        <v>2022</v>
      </c>
      <c r="AN2" s="2">
        <f t="shared" si="0"/>
        <v>2023</v>
      </c>
      <c r="AO2" s="2">
        <f>+AN2+1</f>
        <v>2024</v>
      </c>
      <c r="AP2" s="2">
        <f t="shared" ref="AP2" si="1">+AO2+1</f>
        <v>2025</v>
      </c>
    </row>
    <row r="3" spans="1:42" x14ac:dyDescent="0.2">
      <c r="B3" t="s">
        <v>46</v>
      </c>
      <c r="C3" s="4">
        <f t="shared" ref="C3:G3" si="2">C6+C7</f>
        <v>0</v>
      </c>
      <c r="D3" s="4">
        <f t="shared" si="2"/>
        <v>0</v>
      </c>
      <c r="E3" s="4">
        <f t="shared" si="2"/>
        <v>0</v>
      </c>
      <c r="F3" s="4">
        <f t="shared" si="2"/>
        <v>0</v>
      </c>
      <c r="G3" s="4">
        <f t="shared" ref="G3:K3" si="3">G6+G7</f>
        <v>0</v>
      </c>
      <c r="H3" s="4">
        <f t="shared" si="3"/>
        <v>0</v>
      </c>
      <c r="I3" s="4">
        <f t="shared" si="3"/>
        <v>0</v>
      </c>
      <c r="J3" s="4">
        <f t="shared" si="3"/>
        <v>139.435</v>
      </c>
      <c r="K3" s="4">
        <f>K6+K7</f>
        <v>2274</v>
      </c>
      <c r="L3" s="4">
        <f>L6+L7</f>
        <v>3481</v>
      </c>
      <c r="M3" s="4">
        <f>M6+M7</f>
        <v>2816</v>
      </c>
      <c r="N3" s="4">
        <f t="shared" ref="N3:S3" si="4">N6+N7</f>
        <v>3839</v>
      </c>
      <c r="O3" s="4">
        <f t="shared" si="4"/>
        <v>4551</v>
      </c>
      <c r="P3" s="4">
        <f t="shared" si="4"/>
        <v>4899</v>
      </c>
      <c r="Q3" s="4">
        <f t="shared" si="4"/>
        <v>4798</v>
      </c>
      <c r="R3" s="4">
        <f t="shared" si="4"/>
        <v>4892</v>
      </c>
      <c r="S3" s="4">
        <f t="shared" si="4"/>
        <v>4294</v>
      </c>
      <c r="T3" s="4">
        <f>T6+T7+T16</f>
        <v>3986</v>
      </c>
      <c r="U3" s="4">
        <f t="shared" ref="U3:V3" si="5">U6+U7</f>
        <v>3529.8</v>
      </c>
      <c r="V3" s="4">
        <f t="shared" si="5"/>
        <v>3176.82</v>
      </c>
      <c r="W3" s="4"/>
      <c r="X3" s="4"/>
      <c r="Y3" s="4"/>
      <c r="Z3" s="4"/>
      <c r="AC3" s="4">
        <f>SUM(C3:F3)</f>
        <v>0</v>
      </c>
      <c r="AD3" s="4">
        <f>SUM(G3:J3)</f>
        <v>139.435</v>
      </c>
      <c r="AE3" s="4">
        <f t="shared" ref="AE3:AP3" si="6">AE6+AE7</f>
        <v>12410</v>
      </c>
      <c r="AF3" s="4">
        <f t="shared" si="6"/>
        <v>19140</v>
      </c>
      <c r="AG3" s="4">
        <f t="shared" si="6"/>
        <v>14922.62</v>
      </c>
      <c r="AH3" s="4">
        <f t="shared" si="6"/>
        <v>10445.833999999999</v>
      </c>
      <c r="AI3" s="4">
        <f t="shared" si="6"/>
        <v>8356.6671999999999</v>
      </c>
      <c r="AJ3" s="4">
        <f t="shared" si="6"/>
        <v>6685.3337600000013</v>
      </c>
      <c r="AK3" s="4">
        <f t="shared" si="6"/>
        <v>5348.2670080000007</v>
      </c>
      <c r="AL3" s="4">
        <f t="shared" si="6"/>
        <v>4278.6136064000011</v>
      </c>
      <c r="AM3" s="4">
        <f t="shared" si="6"/>
        <v>3422.8908851200008</v>
      </c>
      <c r="AN3" s="4">
        <f t="shared" si="6"/>
        <v>2738.3127080960007</v>
      </c>
      <c r="AO3" s="4">
        <f t="shared" si="6"/>
        <v>2190.6501664768007</v>
      </c>
      <c r="AP3" s="4">
        <f t="shared" si="6"/>
        <v>1752.5201331814405</v>
      </c>
    </row>
    <row r="4" spans="1:42" x14ac:dyDescent="0.2">
      <c r="B4" t="s">
        <v>51</v>
      </c>
      <c r="C4" s="4">
        <f t="shared" ref="C4:G4" si="7">SUM(C8:C15)</f>
        <v>1925.806</v>
      </c>
      <c r="D4" s="4">
        <f t="shared" si="7"/>
        <v>2012.2830000000004</v>
      </c>
      <c r="E4" s="4">
        <f t="shared" si="7"/>
        <v>2035.8330000000003</v>
      </c>
      <c r="F4" s="4">
        <f t="shared" si="7"/>
        <v>2167.8679999999999</v>
      </c>
      <c r="G4" s="4">
        <f t="shared" ref="G4:K4" si="8">SUM(G8:G15)</f>
        <v>2061.0779999999995</v>
      </c>
      <c r="H4" s="4">
        <f t="shared" si="8"/>
        <v>2312.2470000000003</v>
      </c>
      <c r="I4" s="4">
        <f t="shared" si="8"/>
        <v>2326.7269999999994</v>
      </c>
      <c r="J4" s="4">
        <f t="shared" si="8"/>
        <v>2500.3919999999994</v>
      </c>
      <c r="K4" s="4">
        <f>SUM(K8:K15)</f>
        <v>2217</v>
      </c>
      <c r="L4" s="4">
        <f t="shared" ref="L4:V4" si="9">SUM(L8:L15)</f>
        <v>2506</v>
      </c>
      <c r="M4" s="4">
        <f t="shared" si="9"/>
        <v>2704</v>
      </c>
      <c r="N4" s="4">
        <f t="shared" si="9"/>
        <v>2866</v>
      </c>
      <c r="O4" s="4">
        <f t="shared" si="9"/>
        <v>2415</v>
      </c>
      <c r="P4" s="4">
        <f t="shared" si="9"/>
        <v>2716</v>
      </c>
      <c r="Q4" s="4">
        <f t="shared" si="9"/>
        <v>2889</v>
      </c>
      <c r="R4" s="4">
        <f t="shared" si="9"/>
        <v>2978</v>
      </c>
      <c r="S4" s="4">
        <f t="shared" si="9"/>
        <v>2861</v>
      </c>
      <c r="T4" s="4">
        <f t="shared" si="9"/>
        <v>3001</v>
      </c>
      <c r="U4" s="4">
        <f t="shared" si="9"/>
        <v>3314.58</v>
      </c>
      <c r="V4" s="4">
        <f t="shared" si="9"/>
        <v>3388.94</v>
      </c>
      <c r="W4" s="4"/>
      <c r="X4" s="4"/>
      <c r="Y4" s="4"/>
      <c r="Z4" s="4"/>
      <c r="AC4" s="4">
        <f t="shared" ref="AC4:AC25" si="10">SUM(C4:F4)</f>
        <v>8141.7900000000009</v>
      </c>
      <c r="AD4" s="4">
        <f t="shared" ref="AD4:AD25" si="11">SUM(G4:J4)</f>
        <v>9200.4439999999995</v>
      </c>
      <c r="AE4" s="4">
        <f t="shared" ref="AE4:AP4" si="12">SUM(AE8:AE15)</f>
        <v>10293</v>
      </c>
      <c r="AF4" s="4">
        <f t="shared" si="12"/>
        <v>10998</v>
      </c>
      <c r="AG4" s="4">
        <f t="shared" si="12"/>
        <v>12565.519999999999</v>
      </c>
      <c r="AH4" s="4">
        <f t="shared" si="12"/>
        <v>13039.853999999999</v>
      </c>
      <c r="AI4" s="4">
        <f t="shared" si="12"/>
        <v>13416.372299999999</v>
      </c>
      <c r="AJ4" s="4">
        <f t="shared" si="12"/>
        <v>13945.592535</v>
      </c>
      <c r="AK4" s="4">
        <f t="shared" si="12"/>
        <v>14522.366168250001</v>
      </c>
      <c r="AL4" s="4">
        <f t="shared" si="12"/>
        <v>14935.054137712501</v>
      </c>
      <c r="AM4" s="4">
        <f t="shared" si="12"/>
        <v>14988.322598636252</v>
      </c>
      <c r="AN4" s="4">
        <f t="shared" si="12"/>
        <v>15091.784355263815</v>
      </c>
      <c r="AO4" s="4">
        <f t="shared" si="12"/>
        <v>15248.215414684997</v>
      </c>
      <c r="AP4" s="4">
        <f t="shared" si="12"/>
        <v>15460.781550822623</v>
      </c>
    </row>
    <row r="5" spans="1:42" x14ac:dyDescent="0.2">
      <c r="AC5" s="4"/>
      <c r="AD5" s="4"/>
    </row>
    <row r="6" spans="1:42" s="3" customFormat="1" x14ac:dyDescent="0.2">
      <c r="B6" s="3" t="s">
        <v>20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20</v>
      </c>
      <c r="N6" s="4">
        <v>2107</v>
      </c>
      <c r="O6" s="4">
        <v>3579</v>
      </c>
      <c r="P6" s="4">
        <v>3608</v>
      </c>
      <c r="Q6" s="4">
        <v>3332</v>
      </c>
      <c r="R6" s="4">
        <v>3345</v>
      </c>
      <c r="S6" s="4">
        <v>3017</v>
      </c>
      <c r="T6" s="4">
        <v>2564</v>
      </c>
      <c r="U6" s="4">
        <f>+T6*0.9</f>
        <v>2307.6</v>
      </c>
      <c r="V6" s="4">
        <f>+U6*0.9</f>
        <v>2076.84</v>
      </c>
      <c r="W6" s="4"/>
      <c r="X6" s="4"/>
      <c r="Y6" s="4"/>
      <c r="Z6" s="4"/>
      <c r="AA6" s="4"/>
      <c r="AB6" s="4"/>
      <c r="AC6" s="4"/>
      <c r="AD6" s="4"/>
      <c r="AE6" s="4">
        <f t="shared" ref="AE6:AE30" si="13">SUM(K6:N6)</f>
        <v>2127</v>
      </c>
      <c r="AF6" s="4">
        <f t="shared" ref="AF6:AF25" si="14">SUM(O6:R6)</f>
        <v>13864</v>
      </c>
      <c r="AG6" s="4">
        <f>SUM(S6:V6)</f>
        <v>9965.44</v>
      </c>
      <c r="AH6" s="3">
        <f>+AG6*0.7</f>
        <v>6975.808</v>
      </c>
      <c r="AI6" s="3">
        <f t="shared" ref="AI6:AP6" si="15">+AH6*0.8</f>
        <v>5580.6464000000005</v>
      </c>
      <c r="AJ6" s="3">
        <f t="shared" si="15"/>
        <v>4464.5171200000004</v>
      </c>
      <c r="AK6" s="3">
        <f t="shared" si="15"/>
        <v>3571.6136960000003</v>
      </c>
      <c r="AL6" s="3">
        <f t="shared" si="15"/>
        <v>2857.2909568000005</v>
      </c>
      <c r="AM6" s="3">
        <f t="shared" si="15"/>
        <v>2285.8327654400005</v>
      </c>
      <c r="AN6" s="3">
        <f t="shared" si="15"/>
        <v>1828.6662123520005</v>
      </c>
      <c r="AO6" s="3">
        <f t="shared" si="15"/>
        <v>1462.9329698816005</v>
      </c>
      <c r="AP6" s="3">
        <f t="shared" si="15"/>
        <v>1170.3463759052804</v>
      </c>
    </row>
    <row r="7" spans="1:42" s="3" customFormat="1" x14ac:dyDescent="0.2">
      <c r="B7" s="3" t="s">
        <v>21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139.435</v>
      </c>
      <c r="K7" s="4">
        <v>2274</v>
      </c>
      <c r="L7" s="4">
        <v>3481</v>
      </c>
      <c r="M7" s="4">
        <v>2796</v>
      </c>
      <c r="N7" s="4">
        <v>1732</v>
      </c>
      <c r="O7" s="4">
        <v>972</v>
      </c>
      <c r="P7" s="4">
        <v>1291</v>
      </c>
      <c r="Q7" s="4">
        <v>1466</v>
      </c>
      <c r="R7" s="4">
        <v>1547</v>
      </c>
      <c r="S7" s="4">
        <v>1277</v>
      </c>
      <c r="T7" s="4">
        <v>1358</v>
      </c>
      <c r="U7" s="4">
        <f>+T7*0.9</f>
        <v>1222.2</v>
      </c>
      <c r="V7" s="4">
        <f>+U7*0.9</f>
        <v>1099.98</v>
      </c>
      <c r="W7" s="4"/>
      <c r="X7" s="4"/>
      <c r="Y7" s="4"/>
      <c r="Z7" s="4"/>
      <c r="AA7" s="4"/>
      <c r="AB7" s="4"/>
      <c r="AC7" s="4"/>
      <c r="AD7" s="4">
        <f t="shared" si="11"/>
        <v>139.435</v>
      </c>
      <c r="AE7" s="4">
        <f t="shared" si="13"/>
        <v>10283</v>
      </c>
      <c r="AF7" s="4">
        <f t="shared" si="14"/>
        <v>5276</v>
      </c>
      <c r="AG7" s="4">
        <f>SUM(S7:V7)</f>
        <v>4957.18</v>
      </c>
      <c r="AH7" s="3">
        <f>+AG7*0.7</f>
        <v>3470.0259999999998</v>
      </c>
      <c r="AI7" s="3">
        <f t="shared" ref="AI7:AP7" si="16">+AH7*0.8</f>
        <v>2776.0208000000002</v>
      </c>
      <c r="AJ7" s="3">
        <f t="shared" si="16"/>
        <v>2220.8166400000005</v>
      </c>
      <c r="AK7" s="3">
        <f t="shared" si="16"/>
        <v>1776.6533120000004</v>
      </c>
      <c r="AL7" s="3">
        <f t="shared" si="16"/>
        <v>1421.3226496000004</v>
      </c>
      <c r="AM7" s="3">
        <f t="shared" si="16"/>
        <v>1137.0581196800003</v>
      </c>
      <c r="AN7" s="3">
        <f t="shared" si="16"/>
        <v>909.64649574400028</v>
      </c>
      <c r="AO7" s="3">
        <f t="shared" si="16"/>
        <v>727.71719659520022</v>
      </c>
      <c r="AP7" s="3">
        <f t="shared" si="16"/>
        <v>582.17375727616025</v>
      </c>
    </row>
    <row r="8" spans="1:42" s="3" customFormat="1" x14ac:dyDescent="0.2">
      <c r="B8" s="3" t="s">
        <v>22</v>
      </c>
      <c r="C8" s="4">
        <v>758.26300000000003</v>
      </c>
      <c r="D8" s="4">
        <v>785.93299999999999</v>
      </c>
      <c r="E8" s="4">
        <v>804.19</v>
      </c>
      <c r="F8" s="4">
        <v>832.72400000000005</v>
      </c>
      <c r="G8" s="4">
        <v>700.24199999999996</v>
      </c>
      <c r="H8" s="4">
        <v>807.779</v>
      </c>
      <c r="I8" s="4">
        <v>813.65200000000004</v>
      </c>
      <c r="J8" s="4">
        <v>814.09799999999996</v>
      </c>
      <c r="K8" s="4">
        <v>760</v>
      </c>
      <c r="L8" s="4">
        <v>806</v>
      </c>
      <c r="M8" s="4">
        <v>877</v>
      </c>
      <c r="N8" s="4">
        <v>897</v>
      </c>
      <c r="O8" s="4">
        <v>771</v>
      </c>
      <c r="P8" s="4">
        <v>849</v>
      </c>
      <c r="Q8" s="4">
        <v>903</v>
      </c>
      <c r="R8" s="4">
        <v>936</v>
      </c>
      <c r="S8" s="4">
        <v>898</v>
      </c>
      <c r="T8" s="4">
        <v>942</v>
      </c>
      <c r="U8" s="4">
        <f t="shared" ref="U8:V8" si="17">+Q8*1.05</f>
        <v>948.15000000000009</v>
      </c>
      <c r="V8" s="4">
        <f t="shared" si="17"/>
        <v>982.80000000000007</v>
      </c>
      <c r="W8" s="4"/>
      <c r="X8" s="4"/>
      <c r="Y8" s="4"/>
      <c r="Z8" s="4"/>
      <c r="AA8" s="4"/>
      <c r="AB8" s="4"/>
      <c r="AC8" s="4">
        <f t="shared" si="10"/>
        <v>3181.11</v>
      </c>
      <c r="AD8" s="4">
        <f t="shared" si="11"/>
        <v>3135.7709999999997</v>
      </c>
      <c r="AE8" s="4">
        <f t="shared" si="13"/>
        <v>3340</v>
      </c>
      <c r="AF8" s="4">
        <f t="shared" si="14"/>
        <v>3459</v>
      </c>
      <c r="AG8" s="4">
        <f t="shared" ref="AG8:AG25" si="18">SUM(S8:V8)</f>
        <v>3770.9500000000003</v>
      </c>
      <c r="AH8" s="3">
        <f>+AG8*0.95</f>
        <v>3582.4025000000001</v>
      </c>
      <c r="AI8" s="3">
        <f t="shared" ref="AI8:AP8" si="19">+AH8*0.95</f>
        <v>3403.2823749999998</v>
      </c>
      <c r="AJ8" s="3">
        <f t="shared" si="19"/>
        <v>3233.1182562499998</v>
      </c>
      <c r="AK8" s="3">
        <f t="shared" si="19"/>
        <v>3071.4623434374998</v>
      </c>
      <c r="AL8" s="3">
        <f t="shared" si="19"/>
        <v>2917.8892262656245</v>
      </c>
      <c r="AM8" s="3">
        <f t="shared" si="19"/>
        <v>2771.9947649523433</v>
      </c>
      <c r="AN8" s="3">
        <f t="shared" si="19"/>
        <v>2633.3950267047262</v>
      </c>
      <c r="AO8" s="3">
        <f t="shared" si="19"/>
        <v>2501.7252753694897</v>
      </c>
      <c r="AP8" s="3">
        <f t="shared" si="19"/>
        <v>2376.6390116010152</v>
      </c>
    </row>
    <row r="9" spans="1:42" s="3" customFormat="1" x14ac:dyDescent="0.2">
      <c r="B9" s="3" t="s">
        <v>23</v>
      </c>
      <c r="C9" s="4">
        <v>887.596</v>
      </c>
      <c r="D9" s="4">
        <v>904.02300000000002</v>
      </c>
      <c r="E9" s="4">
        <v>865.37800000000004</v>
      </c>
      <c r="F9" s="4">
        <v>917.48599999999999</v>
      </c>
      <c r="G9" s="4">
        <v>877.07299999999998</v>
      </c>
      <c r="H9" s="4">
        <v>938.10799999999995</v>
      </c>
      <c r="I9" s="4">
        <v>899.66899999999998</v>
      </c>
      <c r="J9" s="4">
        <v>933.64599999999996</v>
      </c>
      <c r="K9" s="4">
        <v>780</v>
      </c>
      <c r="L9" s="4">
        <v>870</v>
      </c>
      <c r="M9" s="4">
        <v>895</v>
      </c>
      <c r="N9" s="4">
        <v>925</v>
      </c>
      <c r="O9" s="4">
        <v>734</v>
      </c>
      <c r="P9" s="4">
        <v>782</v>
      </c>
      <c r="Q9" s="4">
        <v>818</v>
      </c>
      <c r="R9" s="4">
        <v>800</v>
      </c>
      <c r="S9" s="4">
        <v>675</v>
      </c>
      <c r="T9" s="4">
        <v>673</v>
      </c>
      <c r="U9" s="4">
        <f t="shared" ref="U9:V9" si="20">+Q9*0.9</f>
        <v>736.2</v>
      </c>
      <c r="V9" s="4">
        <f t="shared" si="20"/>
        <v>720</v>
      </c>
      <c r="W9" s="4"/>
      <c r="X9" s="4"/>
      <c r="Y9" s="4"/>
      <c r="Z9" s="4"/>
      <c r="AA9" s="4"/>
      <c r="AB9" s="4"/>
      <c r="AC9" s="4">
        <f t="shared" si="10"/>
        <v>3574.4830000000002</v>
      </c>
      <c r="AD9" s="4">
        <f t="shared" si="11"/>
        <v>3648.4960000000001</v>
      </c>
      <c r="AE9" s="4">
        <f t="shared" si="13"/>
        <v>3470</v>
      </c>
      <c r="AF9" s="4">
        <f t="shared" si="14"/>
        <v>3134</v>
      </c>
      <c r="AG9" s="4">
        <f t="shared" si="18"/>
        <v>2804.2</v>
      </c>
      <c r="AH9" s="3">
        <f t="shared" ref="AH9:AP9" si="21">+AG9*0.95</f>
        <v>2663.99</v>
      </c>
      <c r="AI9" s="3">
        <f t="shared" si="21"/>
        <v>2530.7904999999996</v>
      </c>
      <c r="AJ9" s="3">
        <f t="shared" si="21"/>
        <v>2404.2509749999995</v>
      </c>
      <c r="AK9" s="3">
        <f t="shared" si="21"/>
        <v>2284.0384262499992</v>
      </c>
      <c r="AL9" s="3">
        <f t="shared" si="21"/>
        <v>2169.8365049374993</v>
      </c>
      <c r="AM9" s="3">
        <f t="shared" si="21"/>
        <v>2061.3446796906242</v>
      </c>
      <c r="AN9" s="3">
        <f t="shared" si="21"/>
        <v>1958.2774457060927</v>
      </c>
      <c r="AO9" s="3">
        <f t="shared" si="21"/>
        <v>1860.363573420788</v>
      </c>
      <c r="AP9" s="3">
        <f t="shared" si="21"/>
        <v>1767.3453947497485</v>
      </c>
    </row>
    <row r="10" spans="1:42" s="3" customFormat="1" x14ac:dyDescent="0.2">
      <c r="B10" s="3" t="s">
        <v>24</v>
      </c>
      <c r="C10" s="4">
        <v>0</v>
      </c>
      <c r="D10" s="4">
        <v>0</v>
      </c>
      <c r="E10" s="4">
        <v>17.510999999999999</v>
      </c>
      <c r="F10" s="4">
        <v>40.024999999999999</v>
      </c>
      <c r="G10" s="4">
        <v>92.147999999999996</v>
      </c>
      <c r="H10" s="4">
        <v>99.394000000000005</v>
      </c>
      <c r="I10" s="4">
        <v>143.953</v>
      </c>
      <c r="J10" s="4">
        <v>203.761</v>
      </c>
      <c r="K10" s="4">
        <v>215</v>
      </c>
      <c r="L10" s="4">
        <v>270</v>
      </c>
      <c r="M10" s="4">
        <v>327</v>
      </c>
      <c r="N10" s="4">
        <v>385</v>
      </c>
      <c r="O10" s="4">
        <v>356</v>
      </c>
      <c r="P10" s="4">
        <v>447</v>
      </c>
      <c r="Q10" s="4">
        <v>511</v>
      </c>
      <c r="R10" s="4">
        <v>511</v>
      </c>
      <c r="S10" s="4">
        <v>477</v>
      </c>
      <c r="T10" s="4">
        <v>429</v>
      </c>
      <c r="U10" s="4">
        <f>+Q10*1.2</f>
        <v>613.19999999999993</v>
      </c>
      <c r="V10" s="4">
        <f>+R10*1.2</f>
        <v>613.19999999999993</v>
      </c>
      <c r="W10" s="4"/>
      <c r="X10" s="4"/>
      <c r="Y10" s="4"/>
      <c r="Z10" s="4"/>
      <c r="AA10" s="4"/>
      <c r="AB10" s="4"/>
      <c r="AC10" s="4">
        <f t="shared" si="10"/>
        <v>57.536000000000001</v>
      </c>
      <c r="AD10" s="4">
        <f t="shared" si="11"/>
        <v>539.25599999999997</v>
      </c>
      <c r="AE10" s="4">
        <f t="shared" si="13"/>
        <v>1197</v>
      </c>
      <c r="AF10" s="4">
        <f t="shared" si="14"/>
        <v>1825</v>
      </c>
      <c r="AG10" s="4">
        <f t="shared" si="18"/>
        <v>2132.3999999999996</v>
      </c>
      <c r="AH10" s="3">
        <f>+AG10*1.1</f>
        <v>2345.64</v>
      </c>
      <c r="AI10" s="3">
        <f t="shared" ref="AI10:AL10" si="22">+AH10*1.1</f>
        <v>2580.2040000000002</v>
      </c>
      <c r="AJ10" s="3">
        <f t="shared" si="22"/>
        <v>2838.2244000000005</v>
      </c>
      <c r="AK10" s="3">
        <f t="shared" si="22"/>
        <v>3122.0468400000009</v>
      </c>
      <c r="AL10" s="3">
        <f t="shared" si="22"/>
        <v>3434.2515240000012</v>
      </c>
      <c r="AM10" s="3">
        <f>+AL10</f>
        <v>3434.2515240000012</v>
      </c>
      <c r="AN10" s="3">
        <f t="shared" ref="AN10:AP10" si="23">+AM10</f>
        <v>3434.2515240000012</v>
      </c>
      <c r="AO10" s="3">
        <f t="shared" si="23"/>
        <v>3434.2515240000012</v>
      </c>
      <c r="AP10" s="3">
        <f t="shared" si="23"/>
        <v>3434.2515240000012</v>
      </c>
    </row>
    <row r="11" spans="1:42" s="3" customFormat="1" x14ac:dyDescent="0.2">
      <c r="B11" s="3" t="s">
        <v>25</v>
      </c>
      <c r="C11" s="4">
        <v>52.18</v>
      </c>
      <c r="D11" s="4">
        <v>72.909000000000006</v>
      </c>
      <c r="E11" s="4">
        <v>99.296999999999997</v>
      </c>
      <c r="F11" s="4">
        <v>117.81399999999999</v>
      </c>
      <c r="G11" s="4">
        <v>148.18899999999999</v>
      </c>
      <c r="H11" s="4">
        <v>188.68299999999999</v>
      </c>
      <c r="I11" s="4">
        <v>210.73599999999999</v>
      </c>
      <c r="J11" s="4">
        <v>261.84399999999999</v>
      </c>
      <c r="K11" s="4">
        <v>251</v>
      </c>
      <c r="L11" s="4">
        <v>299</v>
      </c>
      <c r="M11" s="4">
        <v>330</v>
      </c>
      <c r="N11" s="4">
        <v>348</v>
      </c>
      <c r="O11" s="4">
        <v>320</v>
      </c>
      <c r="P11" s="4">
        <v>367</v>
      </c>
      <c r="Q11" s="4">
        <v>360</v>
      </c>
      <c r="R11" s="4">
        <v>380</v>
      </c>
      <c r="S11" s="4">
        <v>381</v>
      </c>
      <c r="T11" s="4">
        <v>368</v>
      </c>
      <c r="U11" s="4">
        <f t="shared" ref="U11:V11" si="24">+Q11*1.1</f>
        <v>396.00000000000006</v>
      </c>
      <c r="V11" s="4">
        <f t="shared" si="24"/>
        <v>418.00000000000006</v>
      </c>
      <c r="W11" s="4"/>
      <c r="X11" s="4"/>
      <c r="Y11" s="4"/>
      <c r="Z11" s="4"/>
      <c r="AA11" s="4"/>
      <c r="AB11" s="4"/>
      <c r="AC11" s="4">
        <f t="shared" si="10"/>
        <v>342.2</v>
      </c>
      <c r="AD11" s="4">
        <f t="shared" si="11"/>
        <v>809.452</v>
      </c>
      <c r="AE11" s="4">
        <f t="shared" si="13"/>
        <v>1228</v>
      </c>
      <c r="AF11" s="4">
        <f t="shared" si="14"/>
        <v>1427</v>
      </c>
      <c r="AG11" s="4">
        <f t="shared" si="18"/>
        <v>1563</v>
      </c>
      <c r="AH11" s="3">
        <f>+AG11*1.05</f>
        <v>1641.15</v>
      </c>
      <c r="AI11" s="3">
        <f t="shared" ref="AI11:AL11" si="25">+AH11*1.05</f>
        <v>1723.2075000000002</v>
      </c>
      <c r="AJ11" s="3">
        <f t="shared" si="25"/>
        <v>1809.3678750000004</v>
      </c>
      <c r="AK11" s="3">
        <f t="shared" si="25"/>
        <v>1899.8362687500005</v>
      </c>
      <c r="AL11" s="3">
        <f t="shared" si="25"/>
        <v>1994.8280821875005</v>
      </c>
      <c r="AM11" s="3">
        <f t="shared" ref="AM11:AP11" si="26">+AL11</f>
        <v>1994.8280821875005</v>
      </c>
      <c r="AN11" s="3">
        <f t="shared" si="26"/>
        <v>1994.8280821875005</v>
      </c>
      <c r="AO11" s="3">
        <f t="shared" si="26"/>
        <v>1994.8280821875005</v>
      </c>
      <c r="AP11" s="3">
        <f t="shared" si="26"/>
        <v>1994.8280821875005</v>
      </c>
    </row>
    <row r="12" spans="1:42" s="3" customFormat="1" x14ac:dyDescent="0.2">
      <c r="B12" s="3" t="s">
        <v>26</v>
      </c>
      <c r="C12" s="4">
        <v>191.69300000000001</v>
      </c>
      <c r="D12" s="4">
        <v>215.41399999999999</v>
      </c>
      <c r="E12" s="4">
        <v>214.90899999999999</v>
      </c>
      <c r="F12" s="4">
        <v>226.68100000000001</v>
      </c>
      <c r="G12" s="4">
        <v>210.33199999999999</v>
      </c>
      <c r="H12" s="4">
        <v>250.18799999999999</v>
      </c>
      <c r="I12" s="4">
        <v>231.55500000000001</v>
      </c>
      <c r="J12" s="4">
        <v>266.89400000000001</v>
      </c>
      <c r="K12" s="4">
        <v>211</v>
      </c>
      <c r="L12" s="4">
        <v>261</v>
      </c>
      <c r="M12" s="4">
        <v>275</v>
      </c>
      <c r="N12" s="4">
        <v>311</v>
      </c>
      <c r="O12" s="4">
        <v>234</v>
      </c>
      <c r="P12" s="4">
        <v>271</v>
      </c>
      <c r="Q12" s="4">
        <v>297</v>
      </c>
      <c r="R12" s="4">
        <v>306</v>
      </c>
      <c r="S12" s="4">
        <v>272</v>
      </c>
      <c r="T12" s="4">
        <v>287</v>
      </c>
      <c r="U12" s="4">
        <f t="shared" ref="U12:V12" si="27">+Q12*0.99</f>
        <v>294.02999999999997</v>
      </c>
      <c r="V12" s="4">
        <f t="shared" si="27"/>
        <v>302.94</v>
      </c>
      <c r="W12" s="4"/>
      <c r="X12" s="4"/>
      <c r="Y12" s="4"/>
      <c r="Z12" s="4"/>
      <c r="AA12" s="4"/>
      <c r="AB12" s="4"/>
      <c r="AC12" s="4">
        <f t="shared" si="10"/>
        <v>848.697</v>
      </c>
      <c r="AD12" s="4">
        <f t="shared" si="11"/>
        <v>958.96900000000005</v>
      </c>
      <c r="AE12" s="4">
        <f t="shared" si="13"/>
        <v>1058</v>
      </c>
      <c r="AF12" s="4">
        <f t="shared" si="14"/>
        <v>1108</v>
      </c>
      <c r="AG12" s="4">
        <f t="shared" si="18"/>
        <v>1155.97</v>
      </c>
      <c r="AH12" s="3">
        <f>+AG12*0.95</f>
        <v>1098.1714999999999</v>
      </c>
      <c r="AI12" s="3">
        <f t="shared" ref="AI12:AP12" si="28">+AH12*0.95</f>
        <v>1043.2629249999998</v>
      </c>
      <c r="AJ12" s="3">
        <f t="shared" si="28"/>
        <v>991.0997787499997</v>
      </c>
      <c r="AK12" s="3">
        <f t="shared" si="28"/>
        <v>941.54478981249963</v>
      </c>
      <c r="AL12" s="3">
        <f t="shared" si="28"/>
        <v>894.46755032187457</v>
      </c>
      <c r="AM12" s="3">
        <f t="shared" si="28"/>
        <v>849.74417280578075</v>
      </c>
      <c r="AN12" s="3">
        <f t="shared" si="28"/>
        <v>807.25696416549169</v>
      </c>
      <c r="AO12" s="3">
        <f t="shared" si="28"/>
        <v>766.89411595721708</v>
      </c>
      <c r="AP12" s="3">
        <f t="shared" si="28"/>
        <v>728.54941015935617</v>
      </c>
    </row>
    <row r="13" spans="1:42" s="3" customFormat="1" x14ac:dyDescent="0.2">
      <c r="B13" s="3" t="s">
        <v>156</v>
      </c>
      <c r="C13" s="4">
        <v>29.297000000000001</v>
      </c>
      <c r="D13" s="4">
        <v>26.190999999999999</v>
      </c>
      <c r="E13" s="4">
        <v>27.318999999999999</v>
      </c>
      <c r="F13" s="4">
        <v>25.507999999999999</v>
      </c>
      <c r="G13" s="4">
        <v>26.422999999999998</v>
      </c>
      <c r="H13" s="4">
        <v>21.456</v>
      </c>
      <c r="I13" s="4">
        <v>20.315999999999999</v>
      </c>
      <c r="J13" s="4">
        <v>12.9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>
        <f t="shared" si="10"/>
        <v>108.315</v>
      </c>
      <c r="AD13" s="4">
        <f t="shared" si="11"/>
        <v>81.094999999999999</v>
      </c>
      <c r="AE13" s="4"/>
      <c r="AF13" s="4"/>
      <c r="AG13" s="4"/>
    </row>
    <row r="14" spans="1:42" s="3" customFormat="1" x14ac:dyDescent="0.2">
      <c r="B14" s="3" t="s">
        <v>93</v>
      </c>
      <c r="C14" s="4">
        <v>6.7770000000000001</v>
      </c>
      <c r="D14" s="4">
        <v>7.8129999999999997</v>
      </c>
      <c r="E14" s="4">
        <v>7.2290000000000001</v>
      </c>
      <c r="F14" s="4">
        <v>7.63</v>
      </c>
      <c r="G14" s="4">
        <v>6.6710000000000003</v>
      </c>
      <c r="H14" s="4">
        <v>6.6390000000000002</v>
      </c>
      <c r="I14" s="4">
        <v>6.8460000000000001</v>
      </c>
      <c r="J14" s="4">
        <v>7.2489999999999997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>
        <f t="shared" si="10"/>
        <v>29.448999999999998</v>
      </c>
      <c r="AD14" s="4">
        <f t="shared" si="11"/>
        <v>27.404999999999998</v>
      </c>
      <c r="AE14" s="4"/>
      <c r="AF14" s="4"/>
      <c r="AG14" s="4"/>
    </row>
    <row r="15" spans="1:42" s="3" customFormat="1" x14ac:dyDescent="0.2">
      <c r="B15" s="3" t="s">
        <v>27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45</v>
      </c>
      <c r="S15" s="4">
        <v>158</v>
      </c>
      <c r="T15" s="4">
        <v>302</v>
      </c>
      <c r="U15" s="4">
        <f t="shared" ref="U15:V15" si="29">+T15+25</f>
        <v>327</v>
      </c>
      <c r="V15" s="4">
        <f t="shared" si="29"/>
        <v>352</v>
      </c>
      <c r="W15" s="4"/>
      <c r="X15" s="4"/>
      <c r="Y15" s="4"/>
      <c r="Z15" s="4"/>
      <c r="AA15" s="4"/>
      <c r="AB15" s="4"/>
      <c r="AC15" s="4"/>
      <c r="AD15" s="4"/>
      <c r="AE15" s="4">
        <f t="shared" si="13"/>
        <v>0</v>
      </c>
      <c r="AF15" s="4">
        <f t="shared" si="14"/>
        <v>45</v>
      </c>
      <c r="AG15" s="4">
        <f>SUM(S15:V15)</f>
        <v>1139</v>
      </c>
      <c r="AH15" s="3">
        <f>+AG15*1.5</f>
        <v>1708.5</v>
      </c>
      <c r="AI15" s="3">
        <f>+AH15*1.25</f>
        <v>2135.625</v>
      </c>
      <c r="AJ15" s="3">
        <f>+AI15*1.25</f>
        <v>2669.53125</v>
      </c>
      <c r="AK15" s="3">
        <f>+AJ15*1.2</f>
        <v>3203.4375</v>
      </c>
      <c r="AL15" s="3">
        <f>+AK15*1.1</f>
        <v>3523.7812500000005</v>
      </c>
      <c r="AM15" s="3">
        <f t="shared" ref="AM15:AP15" si="30">+AL15*1.1</f>
        <v>3876.1593750000006</v>
      </c>
      <c r="AN15" s="3">
        <f t="shared" si="30"/>
        <v>4263.7753125000008</v>
      </c>
      <c r="AO15" s="3">
        <f t="shared" si="30"/>
        <v>4690.152843750001</v>
      </c>
      <c r="AP15" s="3">
        <f t="shared" si="30"/>
        <v>5159.1681281250012</v>
      </c>
    </row>
    <row r="16" spans="1:42" s="3" customFormat="1" x14ac:dyDescent="0.2">
      <c r="B16" s="3" t="s">
        <v>77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/>
      <c r="L16" s="4"/>
      <c r="M16" s="4"/>
      <c r="N16" s="4"/>
      <c r="O16" s="4"/>
      <c r="P16" s="4"/>
      <c r="Q16" s="4"/>
      <c r="R16" s="4"/>
      <c r="S16" s="4"/>
      <c r="T16" s="4">
        <v>64</v>
      </c>
      <c r="U16" s="4">
        <f>+T16+5</f>
        <v>69</v>
      </c>
      <c r="V16" s="4">
        <f t="shared" ref="V16:V18" si="31">+U16+5</f>
        <v>74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>
        <f t="shared" ref="AG16:AG18" si="32">SUM(S16:V16)</f>
        <v>207</v>
      </c>
      <c r="AH16" s="3">
        <f>+AG16*0.99</f>
        <v>204.93</v>
      </c>
      <c r="AI16" s="3">
        <f t="shared" ref="AI16:AP16" si="33">+AH16*0.99</f>
        <v>202.88070000000002</v>
      </c>
      <c r="AJ16" s="3">
        <f t="shared" si="33"/>
        <v>200.85189300000002</v>
      </c>
      <c r="AK16" s="3">
        <f t="shared" si="33"/>
        <v>198.84337407000001</v>
      </c>
      <c r="AL16" s="3">
        <f t="shared" si="33"/>
        <v>196.85494032930001</v>
      </c>
      <c r="AM16" s="3">
        <f t="shared" si="33"/>
        <v>194.88639092600701</v>
      </c>
      <c r="AN16" s="3">
        <f t="shared" si="33"/>
        <v>192.93752701674694</v>
      </c>
      <c r="AO16" s="3">
        <f t="shared" si="33"/>
        <v>191.00815174657947</v>
      </c>
      <c r="AP16" s="3">
        <f t="shared" si="33"/>
        <v>189.09807022911369</v>
      </c>
    </row>
    <row r="17" spans="2:42" s="3" customFormat="1" x14ac:dyDescent="0.2">
      <c r="B17" s="3" t="s">
        <v>78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/>
      <c r="L17" s="4"/>
      <c r="M17" s="4"/>
      <c r="N17" s="4"/>
      <c r="O17" s="4"/>
      <c r="P17" s="4"/>
      <c r="Q17" s="4"/>
      <c r="R17" s="4"/>
      <c r="S17" s="4"/>
      <c r="T17" s="4">
        <v>61</v>
      </c>
      <c r="U17" s="4">
        <f t="shared" ref="U17" si="34">+T17+5</f>
        <v>66</v>
      </c>
      <c r="V17" s="4">
        <f t="shared" si="31"/>
        <v>71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>
        <f t="shared" si="32"/>
        <v>198</v>
      </c>
      <c r="AH17" s="3">
        <f t="shared" ref="AH17:AP17" si="35">+AG17*0.99</f>
        <v>196.02</v>
      </c>
      <c r="AI17" s="3">
        <f t="shared" si="35"/>
        <v>194.0598</v>
      </c>
      <c r="AJ17" s="3">
        <f t="shared" si="35"/>
        <v>192.119202</v>
      </c>
      <c r="AK17" s="3">
        <f t="shared" si="35"/>
        <v>190.19800997999999</v>
      </c>
      <c r="AL17" s="3">
        <f t="shared" si="35"/>
        <v>188.2960298802</v>
      </c>
      <c r="AM17" s="3">
        <f t="shared" si="35"/>
        <v>186.41306958139799</v>
      </c>
      <c r="AN17" s="3">
        <f t="shared" si="35"/>
        <v>184.54893888558402</v>
      </c>
      <c r="AO17" s="3">
        <f t="shared" si="35"/>
        <v>182.70344949672818</v>
      </c>
      <c r="AP17" s="3">
        <f t="shared" si="35"/>
        <v>180.8764150017609</v>
      </c>
    </row>
    <row r="18" spans="2:42" s="3" customFormat="1" x14ac:dyDescent="0.2">
      <c r="B18" s="3" t="s">
        <v>79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/>
      <c r="L18" s="4"/>
      <c r="M18" s="4"/>
      <c r="N18" s="4"/>
      <c r="O18" s="4"/>
      <c r="P18" s="4"/>
      <c r="Q18" s="4"/>
      <c r="R18" s="4"/>
      <c r="S18" s="4"/>
      <c r="T18" s="4">
        <v>58</v>
      </c>
      <c r="U18" s="4">
        <f t="shared" ref="U18" si="36">+T18+5</f>
        <v>63</v>
      </c>
      <c r="V18" s="4">
        <f t="shared" si="31"/>
        <v>68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>
        <f t="shared" si="32"/>
        <v>189</v>
      </c>
      <c r="AH18" s="3">
        <f t="shared" ref="AH18:AP18" si="37">+AG18*0.99</f>
        <v>187.10999999999999</v>
      </c>
      <c r="AI18" s="3">
        <f t="shared" si="37"/>
        <v>185.23889999999997</v>
      </c>
      <c r="AJ18" s="3">
        <f t="shared" si="37"/>
        <v>183.38651099999998</v>
      </c>
      <c r="AK18" s="3">
        <f t="shared" si="37"/>
        <v>181.55264588999998</v>
      </c>
      <c r="AL18" s="3">
        <f t="shared" si="37"/>
        <v>179.73711943109998</v>
      </c>
      <c r="AM18" s="3">
        <f t="shared" si="37"/>
        <v>177.93974823678897</v>
      </c>
      <c r="AN18" s="3">
        <f t="shared" si="37"/>
        <v>176.16035075442107</v>
      </c>
      <c r="AO18" s="3">
        <f t="shared" si="37"/>
        <v>174.39874724687687</v>
      </c>
      <c r="AP18" s="3">
        <f t="shared" si="37"/>
        <v>172.65475977440809</v>
      </c>
    </row>
    <row r="19" spans="2:42" s="3" customFormat="1" x14ac:dyDescent="0.2">
      <c r="B19" s="3" t="s">
        <v>28</v>
      </c>
      <c r="C19" s="4"/>
      <c r="D19" s="4"/>
      <c r="E19" s="4"/>
      <c r="F19" s="4"/>
      <c r="G19" s="4"/>
      <c r="H19" s="4"/>
      <c r="I19" s="4"/>
      <c r="J19" s="4"/>
      <c r="K19" s="4">
        <v>18</v>
      </c>
      <c r="L19" s="4">
        <v>25</v>
      </c>
      <c r="M19" s="4">
        <v>24</v>
      </c>
      <c r="N19" s="4">
        <v>21</v>
      </c>
      <c r="O19" s="4">
        <v>22</v>
      </c>
      <c r="P19" s="4">
        <v>16</v>
      </c>
      <c r="Q19" s="4">
        <v>15</v>
      </c>
      <c r="R19" s="4">
        <v>16</v>
      </c>
      <c r="S19" s="4">
        <v>28</v>
      </c>
      <c r="T19" s="4">
        <v>20</v>
      </c>
      <c r="U19" s="4">
        <f t="shared" ref="U19:V21" si="38">+Q19</f>
        <v>15</v>
      </c>
      <c r="V19" s="4">
        <f t="shared" si="38"/>
        <v>16</v>
      </c>
      <c r="W19" s="4"/>
      <c r="X19" s="4"/>
      <c r="Y19" s="4"/>
      <c r="Z19" s="4"/>
      <c r="AA19" s="4"/>
      <c r="AB19" s="4"/>
      <c r="AC19" s="4"/>
      <c r="AD19" s="4"/>
      <c r="AE19" s="4">
        <f t="shared" si="13"/>
        <v>88</v>
      </c>
      <c r="AF19" s="4">
        <f t="shared" si="14"/>
        <v>69</v>
      </c>
      <c r="AG19" s="4">
        <f t="shared" si="18"/>
        <v>79</v>
      </c>
      <c r="AH19" s="3">
        <f>+AG19</f>
        <v>79</v>
      </c>
      <c r="AI19" s="3">
        <f t="shared" ref="AI19:AP19" si="39">+AH19</f>
        <v>79</v>
      </c>
      <c r="AJ19" s="3">
        <f t="shared" si="39"/>
        <v>79</v>
      </c>
      <c r="AK19" s="3">
        <f t="shared" si="39"/>
        <v>79</v>
      </c>
      <c r="AL19" s="3">
        <f t="shared" si="39"/>
        <v>79</v>
      </c>
      <c r="AM19" s="3">
        <f t="shared" si="39"/>
        <v>79</v>
      </c>
      <c r="AN19" s="3">
        <f t="shared" si="39"/>
        <v>79</v>
      </c>
      <c r="AO19" s="3">
        <f t="shared" si="39"/>
        <v>79</v>
      </c>
      <c r="AP19" s="3">
        <f t="shared" si="39"/>
        <v>79</v>
      </c>
    </row>
    <row r="20" spans="2:42" s="3" customFormat="1" x14ac:dyDescent="0.2">
      <c r="B20" s="3" t="s">
        <v>29</v>
      </c>
      <c r="C20" s="4">
        <v>87.287999999999997</v>
      </c>
      <c r="D20" s="4">
        <v>101.634</v>
      </c>
      <c r="E20" s="4">
        <v>105.054</v>
      </c>
      <c r="F20" s="4">
        <v>116.078</v>
      </c>
      <c r="G20" s="4">
        <v>118.107</v>
      </c>
      <c r="H20" s="4">
        <v>128.25700000000001</v>
      </c>
      <c r="I20" s="4">
        <v>135.072</v>
      </c>
      <c r="J20" s="4">
        <v>138.53</v>
      </c>
      <c r="K20" s="4">
        <v>123</v>
      </c>
      <c r="L20" s="4">
        <v>145</v>
      </c>
      <c r="M20" s="4">
        <v>146</v>
      </c>
      <c r="N20" s="4">
        <v>181</v>
      </c>
      <c r="O20" s="4">
        <v>151</v>
      </c>
      <c r="P20" s="4">
        <v>176</v>
      </c>
      <c r="Q20" s="4">
        <v>181</v>
      </c>
      <c r="R20" s="4">
        <v>192</v>
      </c>
      <c r="S20" s="4">
        <v>175</v>
      </c>
      <c r="T20" s="4">
        <v>203</v>
      </c>
      <c r="U20" s="4">
        <f t="shared" si="38"/>
        <v>181</v>
      </c>
      <c r="V20" s="4">
        <f t="shared" si="38"/>
        <v>192</v>
      </c>
      <c r="W20" s="4"/>
      <c r="X20" s="4"/>
      <c r="Y20" s="4"/>
      <c r="Z20" s="4"/>
      <c r="AA20" s="4"/>
      <c r="AB20" s="4"/>
      <c r="AC20" s="4">
        <f t="shared" si="10"/>
        <v>410.05399999999997</v>
      </c>
      <c r="AD20" s="4">
        <f t="shared" si="11"/>
        <v>519.96600000000001</v>
      </c>
      <c r="AE20" s="4">
        <f t="shared" si="13"/>
        <v>595</v>
      </c>
      <c r="AF20" s="4">
        <f t="shared" si="14"/>
        <v>700</v>
      </c>
      <c r="AG20" s="4">
        <f t="shared" si="18"/>
        <v>751</v>
      </c>
      <c r="AH20" s="3">
        <f>+AG20*0.9</f>
        <v>675.9</v>
      </c>
      <c r="AI20" s="3">
        <f t="shared" ref="AI20:AP20" si="40">+AH20*0.9</f>
        <v>608.30999999999995</v>
      </c>
      <c r="AJ20" s="3">
        <f t="shared" si="40"/>
        <v>547.47899999999993</v>
      </c>
      <c r="AK20" s="3">
        <f t="shared" si="40"/>
        <v>492.73109999999997</v>
      </c>
      <c r="AL20" s="3">
        <f t="shared" si="40"/>
        <v>443.45799</v>
      </c>
      <c r="AM20" s="3">
        <f t="shared" si="40"/>
        <v>399.112191</v>
      </c>
      <c r="AN20" s="3">
        <f t="shared" si="40"/>
        <v>359.20097190000001</v>
      </c>
      <c r="AO20" s="3">
        <f t="shared" si="40"/>
        <v>323.28087471000003</v>
      </c>
      <c r="AP20" s="3">
        <f t="shared" si="40"/>
        <v>290.95278723900003</v>
      </c>
    </row>
    <row r="21" spans="2:42" s="3" customFormat="1" x14ac:dyDescent="0.2">
      <c r="B21" s="3" t="s">
        <v>30</v>
      </c>
      <c r="C21" s="4">
        <v>83.200999999999993</v>
      </c>
      <c r="D21" s="4">
        <v>95.555000000000007</v>
      </c>
      <c r="E21" s="4">
        <v>95.066000000000003</v>
      </c>
      <c r="F21" s="4">
        <v>99.126999999999995</v>
      </c>
      <c r="G21" s="4">
        <v>96.286000000000001</v>
      </c>
      <c r="H21" s="4">
        <v>106.59699999999999</v>
      </c>
      <c r="I21" s="4">
        <v>115.815</v>
      </c>
      <c r="J21" s="4">
        <v>129.92599999999999</v>
      </c>
      <c r="K21" s="4">
        <v>111</v>
      </c>
      <c r="L21" s="4">
        <v>123</v>
      </c>
      <c r="M21" s="4">
        <v>132</v>
      </c>
      <c r="N21" s="4">
        <v>144</v>
      </c>
      <c r="O21" s="4">
        <v>117</v>
      </c>
      <c r="P21" s="4">
        <v>141</v>
      </c>
      <c r="Q21" s="4">
        <v>161</v>
      </c>
      <c r="R21" s="4">
        <v>169</v>
      </c>
      <c r="S21" s="4">
        <v>144</v>
      </c>
      <c r="T21" s="4">
        <v>153</v>
      </c>
      <c r="U21" s="4">
        <f t="shared" si="38"/>
        <v>161</v>
      </c>
      <c r="V21" s="4">
        <f t="shared" si="38"/>
        <v>169</v>
      </c>
      <c r="W21" s="4"/>
      <c r="X21" s="4"/>
      <c r="Y21" s="4"/>
      <c r="Z21" s="4"/>
      <c r="AA21" s="4"/>
      <c r="AB21" s="4"/>
      <c r="AC21" s="4">
        <f t="shared" si="10"/>
        <v>372.94900000000001</v>
      </c>
      <c r="AD21" s="4">
        <f t="shared" si="11"/>
        <v>448.62399999999997</v>
      </c>
      <c r="AE21" s="4">
        <f t="shared" si="13"/>
        <v>510</v>
      </c>
      <c r="AF21" s="4">
        <f t="shared" si="14"/>
        <v>588</v>
      </c>
      <c r="AG21" s="4">
        <f t="shared" si="18"/>
        <v>627</v>
      </c>
      <c r="AH21" s="3">
        <f t="shared" ref="AH21:AP21" si="41">+AG21*0.9</f>
        <v>564.30000000000007</v>
      </c>
      <c r="AI21" s="3">
        <f t="shared" si="41"/>
        <v>507.87000000000006</v>
      </c>
      <c r="AJ21" s="3">
        <f t="shared" si="41"/>
        <v>457.08300000000008</v>
      </c>
      <c r="AK21" s="3">
        <f t="shared" si="41"/>
        <v>411.37470000000008</v>
      </c>
      <c r="AL21" s="3">
        <f t="shared" si="41"/>
        <v>370.23723000000007</v>
      </c>
      <c r="AM21" s="3">
        <f t="shared" si="41"/>
        <v>333.21350700000005</v>
      </c>
      <c r="AN21" s="3">
        <f t="shared" si="41"/>
        <v>299.89215630000007</v>
      </c>
      <c r="AO21" s="3">
        <f t="shared" si="41"/>
        <v>269.90294067000008</v>
      </c>
      <c r="AP21" s="3">
        <f t="shared" si="41"/>
        <v>242.91264660300007</v>
      </c>
    </row>
    <row r="22" spans="2:42" s="3" customFormat="1" x14ac:dyDescent="0.2">
      <c r="B22" s="3" t="s">
        <v>31</v>
      </c>
      <c r="C22" s="4">
        <v>84.763999999999996</v>
      </c>
      <c r="D22" s="4">
        <v>83.653000000000006</v>
      </c>
      <c r="E22" s="4">
        <v>87.447999999999993</v>
      </c>
      <c r="F22" s="4">
        <v>90.781000000000006</v>
      </c>
      <c r="G22" s="4">
        <v>85.275000000000006</v>
      </c>
      <c r="H22" s="4">
        <v>75.137</v>
      </c>
      <c r="I22" s="4">
        <v>97.811999999999998</v>
      </c>
      <c r="J22" s="4">
        <v>93.602999999999994</v>
      </c>
      <c r="K22" s="4">
        <v>92</v>
      </c>
      <c r="L22" s="4">
        <v>94</v>
      </c>
      <c r="M22" s="4">
        <v>98</v>
      </c>
      <c r="N22" s="4">
        <v>104</v>
      </c>
      <c r="O22" s="4">
        <v>85</v>
      </c>
      <c r="P22" s="4">
        <v>103</v>
      </c>
      <c r="Q22" s="4">
        <v>88</v>
      </c>
      <c r="R22" s="4">
        <v>74</v>
      </c>
      <c r="S22" s="4">
        <v>86</v>
      </c>
      <c r="T22" s="4">
        <v>85</v>
      </c>
      <c r="U22" s="4">
        <f t="shared" ref="U22" si="42">+Q22</f>
        <v>88</v>
      </c>
      <c r="V22" s="4">
        <f t="shared" ref="V22" si="43">+R22</f>
        <v>74</v>
      </c>
      <c r="W22" s="4"/>
      <c r="X22" s="4"/>
      <c r="Y22" s="4"/>
      <c r="Z22" s="4"/>
      <c r="AA22" s="4"/>
      <c r="AB22" s="4"/>
      <c r="AC22" s="4">
        <f t="shared" si="10"/>
        <v>346.64600000000002</v>
      </c>
      <c r="AD22" s="4">
        <f t="shared" si="11"/>
        <v>351.827</v>
      </c>
      <c r="AE22" s="4">
        <f t="shared" si="13"/>
        <v>388</v>
      </c>
      <c r="AF22" s="4">
        <f t="shared" si="14"/>
        <v>350</v>
      </c>
      <c r="AG22" s="4">
        <f t="shared" si="18"/>
        <v>333</v>
      </c>
      <c r="AH22" s="3">
        <f t="shared" ref="AH22:AP22" si="44">+AG22*0.9</f>
        <v>299.7</v>
      </c>
      <c r="AI22" s="3">
        <f t="shared" si="44"/>
        <v>269.73</v>
      </c>
      <c r="AJ22" s="3">
        <f t="shared" si="44"/>
        <v>242.75700000000003</v>
      </c>
      <c r="AK22" s="3">
        <f t="shared" si="44"/>
        <v>218.48130000000003</v>
      </c>
      <c r="AL22" s="3">
        <f t="shared" si="44"/>
        <v>196.63317000000004</v>
      </c>
      <c r="AM22" s="3">
        <f t="shared" si="44"/>
        <v>176.96985300000003</v>
      </c>
      <c r="AN22" s="3">
        <f t="shared" si="44"/>
        <v>159.27286770000003</v>
      </c>
      <c r="AO22" s="3">
        <f t="shared" si="44"/>
        <v>143.34558093000004</v>
      </c>
      <c r="AP22" s="3">
        <f t="shared" si="44"/>
        <v>129.01102283700004</v>
      </c>
    </row>
    <row r="23" spans="2:42" s="3" customFormat="1" x14ac:dyDescent="0.2">
      <c r="B23" s="3" t="s">
        <v>32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6</v>
      </c>
      <c r="N23" s="4">
        <v>17</v>
      </c>
      <c r="O23" s="4">
        <v>26</v>
      </c>
      <c r="P23" s="4">
        <v>30</v>
      </c>
      <c r="Q23" s="4">
        <v>36</v>
      </c>
      <c r="R23" s="4">
        <v>40</v>
      </c>
      <c r="S23" s="4">
        <v>49</v>
      </c>
      <c r="T23" s="4">
        <v>41</v>
      </c>
      <c r="U23" s="4">
        <f t="shared" ref="U23:V23" si="45">+T23+1</f>
        <v>42</v>
      </c>
      <c r="V23" s="4">
        <f t="shared" si="45"/>
        <v>43</v>
      </c>
      <c r="W23" s="4"/>
      <c r="X23" s="4"/>
      <c r="Y23" s="4"/>
      <c r="Z23" s="4"/>
      <c r="AA23" s="4"/>
      <c r="AB23" s="4"/>
      <c r="AC23" s="4"/>
      <c r="AD23" s="4"/>
      <c r="AE23" s="4">
        <f t="shared" si="13"/>
        <v>23</v>
      </c>
      <c r="AF23" s="4">
        <f t="shared" si="14"/>
        <v>132</v>
      </c>
      <c r="AG23" s="4">
        <f t="shared" si="18"/>
        <v>175</v>
      </c>
      <c r="AH23" s="3">
        <f t="shared" ref="AH23:AP23" si="46">+AG23*0.9</f>
        <v>157.5</v>
      </c>
      <c r="AI23" s="3">
        <f t="shared" si="46"/>
        <v>141.75</v>
      </c>
      <c r="AJ23" s="3">
        <f t="shared" si="46"/>
        <v>127.575</v>
      </c>
      <c r="AK23" s="3">
        <f t="shared" si="46"/>
        <v>114.81750000000001</v>
      </c>
      <c r="AL23" s="3">
        <f t="shared" si="46"/>
        <v>103.33575</v>
      </c>
      <c r="AM23" s="3">
        <f t="shared" si="46"/>
        <v>93.002175000000008</v>
      </c>
      <c r="AN23" s="3">
        <f t="shared" si="46"/>
        <v>83.701957500000006</v>
      </c>
      <c r="AO23" s="3">
        <f t="shared" si="46"/>
        <v>75.331761750000013</v>
      </c>
      <c r="AP23" s="3">
        <f t="shared" si="46"/>
        <v>67.798585575000018</v>
      </c>
    </row>
    <row r="24" spans="2:42" s="3" customFormat="1" x14ac:dyDescent="0.2">
      <c r="B24" s="3" t="s">
        <v>33</v>
      </c>
      <c r="C24" s="4">
        <v>27.283000000000001</v>
      </c>
      <c r="D24" s="4">
        <v>28.114999999999998</v>
      </c>
      <c r="E24" s="4">
        <v>34.576999999999998</v>
      </c>
      <c r="F24" s="4">
        <v>36.957000000000001</v>
      </c>
      <c r="G24" s="4">
        <v>32.822000000000003</v>
      </c>
      <c r="H24" s="4">
        <v>35.046999999999997</v>
      </c>
      <c r="I24" s="4">
        <v>34.225999999999999</v>
      </c>
      <c r="J24" s="4">
        <v>41.304000000000002</v>
      </c>
      <c r="K24" s="4">
        <v>36</v>
      </c>
      <c r="L24" s="4">
        <v>39</v>
      </c>
      <c r="M24" s="4">
        <v>42</v>
      </c>
      <c r="N24" s="4">
        <v>50</v>
      </c>
      <c r="O24" s="4">
        <v>38</v>
      </c>
      <c r="P24" s="4">
        <v>45</v>
      </c>
      <c r="Q24" s="4">
        <v>43</v>
      </c>
      <c r="R24" s="4">
        <v>48</v>
      </c>
      <c r="S24" s="4">
        <v>44</v>
      </c>
      <c r="T24" s="4">
        <v>43</v>
      </c>
      <c r="U24" s="4">
        <f t="shared" ref="U24:V24" si="47">+T24</f>
        <v>43</v>
      </c>
      <c r="V24" s="4">
        <f t="shared" si="47"/>
        <v>43</v>
      </c>
      <c r="W24" s="4"/>
      <c r="X24" s="4"/>
      <c r="Y24" s="4"/>
      <c r="Z24" s="4"/>
      <c r="AA24" s="4"/>
      <c r="AB24" s="4"/>
      <c r="AC24" s="4">
        <f t="shared" si="10"/>
        <v>126.93199999999999</v>
      </c>
      <c r="AD24" s="4">
        <f t="shared" si="11"/>
        <v>143.399</v>
      </c>
      <c r="AE24" s="4">
        <f t="shared" si="13"/>
        <v>167</v>
      </c>
      <c r="AF24" s="4">
        <f t="shared" si="14"/>
        <v>174</v>
      </c>
      <c r="AG24" s="4">
        <f t="shared" si="18"/>
        <v>173</v>
      </c>
      <c r="AH24" s="3">
        <f t="shared" ref="AH24:AP24" si="48">+AG24*0.9</f>
        <v>155.70000000000002</v>
      </c>
      <c r="AI24" s="3">
        <f t="shared" si="48"/>
        <v>140.13000000000002</v>
      </c>
      <c r="AJ24" s="3">
        <f t="shared" si="48"/>
        <v>126.11700000000002</v>
      </c>
      <c r="AK24" s="3">
        <f t="shared" si="48"/>
        <v>113.50530000000002</v>
      </c>
      <c r="AL24" s="3">
        <f t="shared" si="48"/>
        <v>102.15477000000001</v>
      </c>
      <c r="AM24" s="3">
        <f t="shared" si="48"/>
        <v>91.939293000000021</v>
      </c>
      <c r="AN24" s="3">
        <f t="shared" si="48"/>
        <v>82.745363700000027</v>
      </c>
      <c r="AO24" s="3">
        <f t="shared" si="48"/>
        <v>74.47082733000002</v>
      </c>
      <c r="AP24" s="3">
        <f t="shared" si="48"/>
        <v>67.023744597000018</v>
      </c>
    </row>
    <row r="25" spans="2:42" s="3" customFormat="1" x14ac:dyDescent="0.2">
      <c r="B25" s="3" t="s">
        <v>34</v>
      </c>
      <c r="C25" s="4">
        <v>74.106999999999999</v>
      </c>
      <c r="D25" s="4">
        <v>83.945999999999998</v>
      </c>
      <c r="E25" s="4">
        <v>68.619</v>
      </c>
      <c r="F25" s="4">
        <v>77.474000000000004</v>
      </c>
      <c r="G25" s="4">
        <v>138.06700000000001</v>
      </c>
      <c r="H25" s="4">
        <v>110.10899999999999</v>
      </c>
      <c r="I25" s="4">
        <v>73.180999999999997</v>
      </c>
      <c r="J25" s="4">
        <v>76.635999999999996</v>
      </c>
      <c r="K25" s="4">
        <v>128</v>
      </c>
      <c r="L25" s="4">
        <v>122</v>
      </c>
      <c r="M25" s="4">
        <v>74</v>
      </c>
      <c r="N25" s="4">
        <v>92</v>
      </c>
      <c r="O25" s="4">
        <v>189</v>
      </c>
      <c r="P25" s="4">
        <v>118</v>
      </c>
      <c r="Q25" s="4">
        <v>84</v>
      </c>
      <c r="R25" s="4">
        <v>97</v>
      </c>
      <c r="S25" s="4">
        <v>113</v>
      </c>
      <c r="T25" s="4">
        <v>125</v>
      </c>
      <c r="U25" s="4">
        <f t="shared" ref="U25:V25" si="49">+T25</f>
        <v>125</v>
      </c>
      <c r="V25" s="4">
        <f t="shared" si="49"/>
        <v>125</v>
      </c>
      <c r="W25" s="4"/>
      <c r="X25" s="4"/>
      <c r="Y25" s="4"/>
      <c r="Z25" s="4"/>
      <c r="AA25" s="4"/>
      <c r="AB25" s="4"/>
      <c r="AC25" s="4">
        <f t="shared" si="10"/>
        <v>304.14600000000002</v>
      </c>
      <c r="AD25" s="4">
        <f t="shared" si="11"/>
        <v>397.99299999999994</v>
      </c>
      <c r="AE25" s="4">
        <f t="shared" si="13"/>
        <v>416</v>
      </c>
      <c r="AF25" s="4">
        <f t="shared" si="14"/>
        <v>488</v>
      </c>
      <c r="AG25" s="4">
        <f t="shared" si="18"/>
        <v>488</v>
      </c>
      <c r="AH25" s="3">
        <f t="shared" ref="AH25:AP25" si="50">+AG25*0.9</f>
        <v>439.2</v>
      </c>
      <c r="AI25" s="3">
        <f t="shared" si="50"/>
        <v>395.28</v>
      </c>
      <c r="AJ25" s="3">
        <f t="shared" si="50"/>
        <v>355.75200000000001</v>
      </c>
      <c r="AK25" s="3">
        <f t="shared" si="50"/>
        <v>320.17680000000001</v>
      </c>
      <c r="AL25" s="3">
        <f t="shared" si="50"/>
        <v>288.15912000000003</v>
      </c>
      <c r="AM25" s="3">
        <f t="shared" si="50"/>
        <v>259.34320800000006</v>
      </c>
      <c r="AN25" s="3">
        <f t="shared" si="50"/>
        <v>233.40888720000007</v>
      </c>
      <c r="AO25" s="3">
        <f t="shared" si="50"/>
        <v>210.06799848000006</v>
      </c>
      <c r="AP25" s="3">
        <f t="shared" si="50"/>
        <v>189.06119863200004</v>
      </c>
    </row>
    <row r="26" spans="2:42" s="5" customFormat="1" x14ac:dyDescent="0.2">
      <c r="B26" s="5" t="s">
        <v>7</v>
      </c>
      <c r="C26" s="6">
        <f t="shared" ref="C26:D26" si="51">SUM(C6:C25)</f>
        <v>2282.4490000000001</v>
      </c>
      <c r="D26" s="6">
        <f t="shared" ref="C26:I26" si="52">SUM(D6:D25)</f>
        <v>2405.1859999999997</v>
      </c>
      <c r="E26" s="6">
        <f t="shared" si="52"/>
        <v>2426.5970000000002</v>
      </c>
      <c r="F26" s="6">
        <f t="shared" si="52"/>
        <v>2588.2849999999999</v>
      </c>
      <c r="G26" s="6">
        <f t="shared" ref="G26:H26" si="53">SUM(G6:G25)</f>
        <v>2531.6349999999998</v>
      </c>
      <c r="H26" s="6">
        <f t="shared" si="52"/>
        <v>2767.3940000000007</v>
      </c>
      <c r="I26" s="6">
        <f t="shared" ref="F26:K26" si="54">SUM(I6:I25)</f>
        <v>2782.8329999999996</v>
      </c>
      <c r="J26" s="6">
        <f t="shared" si="54"/>
        <v>3119.826</v>
      </c>
      <c r="K26" s="6">
        <f t="shared" ref="K26:R26" si="55">SUM(K6:K25)</f>
        <v>4999</v>
      </c>
      <c r="L26" s="6">
        <f t="shared" si="55"/>
        <v>6535</v>
      </c>
      <c r="M26" s="6">
        <f t="shared" si="55"/>
        <v>6042</v>
      </c>
      <c r="N26" s="6">
        <f t="shared" si="55"/>
        <v>7314</v>
      </c>
      <c r="O26" s="6">
        <f t="shared" si="55"/>
        <v>7594</v>
      </c>
      <c r="P26" s="6">
        <f t="shared" si="55"/>
        <v>8244</v>
      </c>
      <c r="Q26" s="6">
        <f t="shared" si="55"/>
        <v>8295</v>
      </c>
      <c r="R26" s="6">
        <f t="shared" si="55"/>
        <v>8506</v>
      </c>
      <c r="S26" s="6">
        <f>SUM(S6:S25)</f>
        <v>7794</v>
      </c>
      <c r="T26" s="6">
        <f>SUM(T6:T25)</f>
        <v>7776</v>
      </c>
      <c r="U26" s="6">
        <f t="shared" ref="U26" si="56">SUM(U6:U24)</f>
        <v>7572.38</v>
      </c>
      <c r="V26" s="6">
        <f t="shared" ref="V26" si="57">SUM(V6:V24)</f>
        <v>7315.7599999999993</v>
      </c>
      <c r="W26" s="6"/>
      <c r="X26" s="6"/>
      <c r="Y26" s="6"/>
      <c r="Z26" s="6"/>
      <c r="AA26" s="6"/>
      <c r="AB26" s="6"/>
      <c r="AC26" s="6">
        <f t="shared" ref="AC26:AF26" si="58">SUM(AC6:AC24)</f>
        <v>9398.371000000001</v>
      </c>
      <c r="AD26" s="6">
        <f t="shared" si="58"/>
        <v>10803.695</v>
      </c>
      <c r="AE26" s="6">
        <f t="shared" si="58"/>
        <v>24474</v>
      </c>
      <c r="AF26" s="6">
        <f t="shared" si="58"/>
        <v>32151</v>
      </c>
      <c r="AG26" s="6">
        <f t="shared" ref="AG26" si="59">SUM(AG6:AG24)</f>
        <v>30220.14</v>
      </c>
      <c r="AH26" s="6">
        <f t="shared" ref="AH26" si="60">SUM(AH6:AH24)</f>
        <v>26005.848000000002</v>
      </c>
      <c r="AI26" s="6">
        <f t="shared" ref="AI26" si="61">SUM(AI6:AI24)</f>
        <v>24102.008900000001</v>
      </c>
      <c r="AJ26" s="6">
        <f t="shared" ref="AJ26" si="62">SUM(AJ6:AJ24)</f>
        <v>22787.294901000001</v>
      </c>
      <c r="AK26" s="6">
        <f t="shared" ref="AK26" si="63">SUM(AK6:AK24)</f>
        <v>21871.137106189999</v>
      </c>
      <c r="AL26" s="6">
        <f t="shared" ref="AL26" si="64">SUM(AL6:AL24)</f>
        <v>21073.374743753102</v>
      </c>
      <c r="AM26" s="6">
        <f t="shared" ref="AM26" si="65">SUM(AM6:AM24)</f>
        <v>20143.689711500447</v>
      </c>
      <c r="AN26" s="6">
        <f t="shared" ref="AN26" si="66">SUM(AN6:AN24)</f>
        <v>19447.557197116574</v>
      </c>
      <c r="AO26" s="6">
        <f t="shared" ref="AO26" si="67">SUM(AO6:AO24)</f>
        <v>18952.30791504198</v>
      </c>
      <c r="AP26" s="6">
        <f t="shared" ref="AP26" si="68">SUM(AP6:AP24)</f>
        <v>18632.629715860341</v>
      </c>
    </row>
    <row r="27" spans="2:42" s="3" customFormat="1" x14ac:dyDescent="0.2">
      <c r="B27" s="3" t="s">
        <v>35</v>
      </c>
      <c r="C27" s="4">
        <v>580.93100000000004</v>
      </c>
      <c r="D27" s="4">
        <v>617.34500000000003</v>
      </c>
      <c r="E27" s="4">
        <v>597.26900000000001</v>
      </c>
      <c r="F27" s="4">
        <v>675.81799999999998</v>
      </c>
      <c r="G27" s="4">
        <v>634.44799999999998</v>
      </c>
      <c r="H27" s="4">
        <v>684.66300000000001</v>
      </c>
      <c r="I27" s="4">
        <v>681.86800000000005</v>
      </c>
      <c r="J27" s="4">
        <v>857.52300000000002</v>
      </c>
      <c r="K27" s="4">
        <v>813</v>
      </c>
      <c r="L27" s="4">
        <v>925</v>
      </c>
      <c r="M27" s="4">
        <v>987</v>
      </c>
      <c r="N27" s="4">
        <f>1063-218</f>
        <v>845</v>
      </c>
      <c r="O27" s="4">
        <v>882</v>
      </c>
      <c r="P27" s="4">
        <v>998</v>
      </c>
      <c r="Q27" s="4">
        <v>1064</v>
      </c>
      <c r="R27" s="4">
        <f>1062-206</f>
        <v>856</v>
      </c>
      <c r="S27" s="4">
        <f>1193-210</f>
        <v>983</v>
      </c>
      <c r="T27" s="4">
        <v>653</v>
      </c>
      <c r="U27" s="4">
        <f t="shared" ref="U27:V27" si="69">+U26-U28</f>
        <v>984.40940000000046</v>
      </c>
      <c r="V27" s="4">
        <f t="shared" si="69"/>
        <v>951.04879999999957</v>
      </c>
      <c r="W27" s="4"/>
      <c r="X27" s="4"/>
      <c r="Y27" s="4"/>
      <c r="Z27" s="4"/>
      <c r="AA27" s="4"/>
      <c r="AB27" s="4"/>
      <c r="AC27" s="4">
        <f t="shared" ref="AC27" si="70">SUM(C27:F27)</f>
        <v>2471.3630000000003</v>
      </c>
      <c r="AD27" s="4">
        <f t="shared" ref="AD27" si="71">SUM(G27:J27)</f>
        <v>2858.502</v>
      </c>
      <c r="AE27" s="4">
        <f t="shared" si="13"/>
        <v>3570</v>
      </c>
      <c r="AF27" s="4">
        <f>SUM(O27:R27)</f>
        <v>3800</v>
      </c>
      <c r="AG27" s="4">
        <f t="shared" ref="AG27" si="72">SUM(S27:V27)</f>
        <v>3571.4582</v>
      </c>
      <c r="AH27" s="3">
        <f>+AH26-AH28</f>
        <v>3380.7602399999996</v>
      </c>
      <c r="AI27" s="3">
        <f t="shared" ref="AI27:AP27" si="73">+AI26-AI28</f>
        <v>3133.2611570000008</v>
      </c>
      <c r="AJ27" s="3">
        <f t="shared" si="73"/>
        <v>2962.348337129999</v>
      </c>
      <c r="AK27" s="3">
        <f t="shared" si="73"/>
        <v>2843.2478238047006</v>
      </c>
      <c r="AL27" s="3">
        <f t="shared" si="73"/>
        <v>2739.5387166879045</v>
      </c>
      <c r="AM27" s="3">
        <f t="shared" si="73"/>
        <v>2618.6796624950584</v>
      </c>
      <c r="AN27" s="3">
        <f t="shared" si="73"/>
        <v>2528.1824356251564</v>
      </c>
      <c r="AO27" s="3">
        <f t="shared" si="73"/>
        <v>2463.8000289554584</v>
      </c>
      <c r="AP27" s="3">
        <f t="shared" si="73"/>
        <v>2422.2418630618449</v>
      </c>
    </row>
    <row r="28" spans="2:42" s="3" customFormat="1" x14ac:dyDescent="0.2">
      <c r="B28" s="3" t="s">
        <v>36</v>
      </c>
      <c r="C28" s="4">
        <f t="shared" ref="C28:D28" si="74">+C26-C27</f>
        <v>1701.518</v>
      </c>
      <c r="D28" s="4">
        <f t="shared" si="74"/>
        <v>1787.8409999999997</v>
      </c>
      <c r="E28" s="4">
        <f t="shared" ref="E28:G28" si="75">+E26-E27</f>
        <v>1829.3280000000002</v>
      </c>
      <c r="F28" s="4">
        <f t="shared" si="75"/>
        <v>1912.4669999999999</v>
      </c>
      <c r="G28" s="4">
        <f t="shared" si="75"/>
        <v>1897.1869999999999</v>
      </c>
      <c r="H28" s="4">
        <f t="shared" ref="G28:H28" si="76">+H26-H27</f>
        <v>2082.7310000000007</v>
      </c>
      <c r="I28" s="4">
        <f t="shared" ref="I28:J28" si="77">+I26-I27</f>
        <v>2100.9649999999997</v>
      </c>
      <c r="J28" s="4">
        <f t="shared" si="77"/>
        <v>2262.3029999999999</v>
      </c>
      <c r="K28" s="4">
        <f t="shared" ref="K28:S28" si="78">+K26-K27</f>
        <v>4186</v>
      </c>
      <c r="L28" s="4">
        <f t="shared" si="78"/>
        <v>5610</v>
      </c>
      <c r="M28" s="4">
        <f t="shared" si="78"/>
        <v>5055</v>
      </c>
      <c r="N28" s="4">
        <f t="shared" si="78"/>
        <v>6469</v>
      </c>
      <c r="O28" s="4">
        <f t="shared" si="78"/>
        <v>6712</v>
      </c>
      <c r="P28" s="4">
        <f t="shared" si="78"/>
        <v>7246</v>
      </c>
      <c r="Q28" s="4">
        <f t="shared" si="78"/>
        <v>7231</v>
      </c>
      <c r="R28" s="4">
        <f t="shared" si="78"/>
        <v>7650</v>
      </c>
      <c r="S28" s="4">
        <f t="shared" si="78"/>
        <v>6811</v>
      </c>
      <c r="T28" s="4">
        <f>+T26-T27</f>
        <v>7123</v>
      </c>
      <c r="U28" s="4">
        <f t="shared" ref="U28:V28" si="79">+U26*0.87</f>
        <v>6587.9705999999996</v>
      </c>
      <c r="V28" s="4">
        <f t="shared" si="79"/>
        <v>6364.7111999999997</v>
      </c>
      <c r="W28" s="4"/>
      <c r="X28" s="4"/>
      <c r="Y28" s="4"/>
      <c r="Z28" s="4"/>
      <c r="AA28" s="4"/>
      <c r="AB28" s="4"/>
      <c r="AC28" s="4">
        <f>+AC26-AC27</f>
        <v>6927.0080000000007</v>
      </c>
      <c r="AD28" s="4">
        <f t="shared" ref="AD28:AG28" si="80">+AD26-AD27</f>
        <v>7945.1929999999993</v>
      </c>
      <c r="AE28" s="4">
        <f t="shared" si="80"/>
        <v>20904</v>
      </c>
      <c r="AF28" s="4">
        <f t="shared" si="80"/>
        <v>28351</v>
      </c>
      <c r="AG28" s="4">
        <f t="shared" si="80"/>
        <v>26648.681799999998</v>
      </c>
      <c r="AH28" s="3">
        <f>+AH26*0.87</f>
        <v>22625.087760000002</v>
      </c>
      <c r="AI28" s="3">
        <f t="shared" ref="AI28:AP28" si="81">+AI26*0.87</f>
        <v>20968.747743</v>
      </c>
      <c r="AJ28" s="3">
        <f t="shared" si="81"/>
        <v>19824.946563870002</v>
      </c>
      <c r="AK28" s="3">
        <f t="shared" si="81"/>
        <v>19027.889282385298</v>
      </c>
      <c r="AL28" s="3">
        <f t="shared" si="81"/>
        <v>18333.836027065197</v>
      </c>
      <c r="AM28" s="3">
        <f t="shared" si="81"/>
        <v>17525.010049005388</v>
      </c>
      <c r="AN28" s="3">
        <f t="shared" si="81"/>
        <v>16919.374761491417</v>
      </c>
      <c r="AO28" s="3">
        <f t="shared" si="81"/>
        <v>16488.507886086521</v>
      </c>
      <c r="AP28" s="3">
        <f t="shared" si="81"/>
        <v>16210.387852798496</v>
      </c>
    </row>
    <row r="29" spans="2:42" s="3" customFormat="1" x14ac:dyDescent="0.2">
      <c r="B29" s="3" t="s">
        <v>38</v>
      </c>
      <c r="C29" s="4">
        <v>458.21100000000001</v>
      </c>
      <c r="D29" s="4">
        <v>396.24400000000003</v>
      </c>
      <c r="E29" s="4">
        <v>465.83100000000002</v>
      </c>
      <c r="F29" s="4">
        <v>439.65899999999999</v>
      </c>
      <c r="G29" s="4">
        <v>497.63200000000001</v>
      </c>
      <c r="H29" s="4">
        <v>523.90200000000004</v>
      </c>
      <c r="I29" s="4">
        <v>546.24400000000003</v>
      </c>
      <c r="J29" s="4">
        <v>551.97799999999995</v>
      </c>
      <c r="K29" s="4">
        <v>595</v>
      </c>
      <c r="L29" s="4">
        <v>584</v>
      </c>
      <c r="M29" s="4">
        <v>630</v>
      </c>
      <c r="N29" s="4">
        <f>1045-85</f>
        <v>960</v>
      </c>
      <c r="O29" s="4">
        <v>696</v>
      </c>
      <c r="P29" s="4">
        <v>818</v>
      </c>
      <c r="Q29" s="4">
        <v>743</v>
      </c>
      <c r="R29" s="4">
        <v>757</v>
      </c>
      <c r="S29" s="4">
        <f>1265-368-114</f>
        <v>783</v>
      </c>
      <c r="T29" s="4">
        <v>1040</v>
      </c>
      <c r="U29" s="4">
        <f t="shared" ref="U29:U30" si="82">+Q29</f>
        <v>743</v>
      </c>
      <c r="V29" s="4">
        <f t="shared" ref="V29:V30" si="83">+R29</f>
        <v>757</v>
      </c>
      <c r="W29" s="4"/>
      <c r="X29" s="4"/>
      <c r="Y29" s="4"/>
      <c r="Z29" s="4"/>
      <c r="AA29" s="4"/>
      <c r="AB29" s="4"/>
      <c r="AC29" s="4">
        <f t="shared" ref="AC29:AC30" si="84">SUM(C29:F29)</f>
        <v>1759.9450000000002</v>
      </c>
      <c r="AD29" s="4">
        <f t="shared" ref="AD29:AD30" si="85">SUM(G29:J29)</f>
        <v>2119.7560000000003</v>
      </c>
      <c r="AE29" s="4">
        <f t="shared" si="13"/>
        <v>2769</v>
      </c>
      <c r="AF29" s="4">
        <f>SUM(O29:R29)</f>
        <v>3014</v>
      </c>
      <c r="AG29" s="4">
        <f t="shared" ref="AG29:AG30" si="86">SUM(S29:V29)</f>
        <v>3323</v>
      </c>
    </row>
    <row r="30" spans="2:42" s="3" customFormat="1" x14ac:dyDescent="0.2">
      <c r="B30" s="3" t="s">
        <v>37</v>
      </c>
      <c r="C30" s="4">
        <v>443.12099999999998</v>
      </c>
      <c r="D30" s="4">
        <v>332.505</v>
      </c>
      <c r="E30" s="4">
        <v>319.58300000000003</v>
      </c>
      <c r="F30" s="4">
        <v>365.82499999999999</v>
      </c>
      <c r="G30" s="4">
        <v>374.29599999999999</v>
      </c>
      <c r="H30" s="4">
        <v>404.99099999999999</v>
      </c>
      <c r="I30" s="4">
        <v>406.86</v>
      </c>
      <c r="J30" s="4">
        <v>513.28399999999999</v>
      </c>
      <c r="K30" s="4">
        <v>548</v>
      </c>
      <c r="L30" s="4">
        <v>614</v>
      </c>
      <c r="M30" s="4">
        <v>945</v>
      </c>
      <c r="N30" s="4">
        <f>876-15</f>
        <v>861</v>
      </c>
      <c r="O30" s="4">
        <v>645</v>
      </c>
      <c r="P30" s="4">
        <v>812</v>
      </c>
      <c r="Q30" s="4">
        <v>903</v>
      </c>
      <c r="R30" s="4">
        <v>1066</v>
      </c>
      <c r="S30" s="4">
        <v>685</v>
      </c>
      <c r="T30" s="4">
        <v>838</v>
      </c>
      <c r="U30" s="4">
        <f t="shared" si="82"/>
        <v>903</v>
      </c>
      <c r="V30" s="4">
        <f t="shared" si="83"/>
        <v>1066</v>
      </c>
      <c r="W30" s="4"/>
      <c r="X30" s="4"/>
      <c r="Y30" s="4"/>
      <c r="Z30" s="4"/>
      <c r="AA30" s="4"/>
      <c r="AB30" s="4"/>
      <c r="AC30" s="4">
        <f t="shared" si="84"/>
        <v>1461.0340000000001</v>
      </c>
      <c r="AD30" s="4">
        <f t="shared" si="85"/>
        <v>1699.431</v>
      </c>
      <c r="AE30" s="4">
        <f t="shared" si="13"/>
        <v>2968</v>
      </c>
      <c r="AF30" s="4">
        <f>SUM(O30:R30)</f>
        <v>3426</v>
      </c>
      <c r="AG30" s="4">
        <f t="shared" si="86"/>
        <v>3492</v>
      </c>
      <c r="AH30" s="3">
        <f>+AG30*0.97</f>
        <v>3387.24</v>
      </c>
      <c r="AI30" s="3">
        <f t="shared" ref="AI30:AP30" si="87">+AH30*0.97</f>
        <v>3285.6227999999996</v>
      </c>
      <c r="AJ30" s="3">
        <f t="shared" si="87"/>
        <v>3187.0541159999993</v>
      </c>
      <c r="AK30" s="3">
        <f t="shared" si="87"/>
        <v>3091.4424925199992</v>
      </c>
      <c r="AL30" s="3">
        <f t="shared" si="87"/>
        <v>2998.699217744399</v>
      </c>
      <c r="AM30" s="3">
        <f t="shared" si="87"/>
        <v>2908.7382412120669</v>
      </c>
      <c r="AN30" s="3">
        <f t="shared" si="87"/>
        <v>2821.4760939757048</v>
      </c>
      <c r="AO30" s="3">
        <f t="shared" si="87"/>
        <v>2736.8318111564336</v>
      </c>
      <c r="AP30" s="3">
        <f t="shared" si="87"/>
        <v>2654.7268568217405</v>
      </c>
    </row>
    <row r="31" spans="2:42" s="3" customFormat="1" x14ac:dyDescent="0.2">
      <c r="B31" s="3" t="s">
        <v>39</v>
      </c>
      <c r="C31" s="4">
        <f t="shared" ref="C31:D31" si="88">+C30+C29</f>
        <v>901.33199999999999</v>
      </c>
      <c r="D31" s="4">
        <f t="shared" si="88"/>
        <v>728.74900000000002</v>
      </c>
      <c r="E31" s="4">
        <f t="shared" ref="E31:G31" si="89">+E30+E29</f>
        <v>785.41399999999999</v>
      </c>
      <c r="F31" s="4">
        <f t="shared" si="89"/>
        <v>805.48399999999992</v>
      </c>
      <c r="G31" s="4">
        <f t="shared" si="89"/>
        <v>871.928</v>
      </c>
      <c r="H31" s="4">
        <f t="shared" ref="G31:H31" si="90">+H30+H29</f>
        <v>928.89300000000003</v>
      </c>
      <c r="I31" s="4">
        <f t="shared" ref="I31:J31" si="91">+I30+I29</f>
        <v>953.10400000000004</v>
      </c>
      <c r="J31" s="4">
        <f t="shared" si="91"/>
        <v>1065.2619999999999</v>
      </c>
      <c r="K31" s="4">
        <f t="shared" ref="K31:S31" si="92">+K30+K29</f>
        <v>1143</v>
      </c>
      <c r="L31" s="4">
        <f t="shared" si="92"/>
        <v>1198</v>
      </c>
      <c r="M31" s="4">
        <f t="shared" si="92"/>
        <v>1575</v>
      </c>
      <c r="N31" s="4">
        <f t="shared" si="92"/>
        <v>1821</v>
      </c>
      <c r="O31" s="4">
        <f t="shared" si="92"/>
        <v>1341</v>
      </c>
      <c r="P31" s="4">
        <f t="shared" si="92"/>
        <v>1630</v>
      </c>
      <c r="Q31" s="4">
        <f t="shared" si="92"/>
        <v>1646</v>
      </c>
      <c r="R31" s="4">
        <f t="shared" si="92"/>
        <v>1823</v>
      </c>
      <c r="S31" s="4">
        <f t="shared" si="92"/>
        <v>1468</v>
      </c>
      <c r="T31" s="4">
        <f t="shared" ref="T31:V31" si="93">+T30+T29</f>
        <v>1878</v>
      </c>
      <c r="U31" s="4">
        <f t="shared" si="93"/>
        <v>1646</v>
      </c>
      <c r="V31" s="4">
        <f t="shared" si="93"/>
        <v>1823</v>
      </c>
      <c r="W31" s="4"/>
      <c r="X31" s="4"/>
      <c r="Y31" s="4"/>
      <c r="Z31" s="4"/>
      <c r="AA31" s="4"/>
      <c r="AB31" s="4"/>
      <c r="AC31" s="4">
        <f t="shared" ref="AC31:AE31" si="94">+AC30+AC29</f>
        <v>3220.9790000000003</v>
      </c>
      <c r="AD31" s="4">
        <f t="shared" si="94"/>
        <v>3819.1870000000004</v>
      </c>
      <c r="AE31" s="4">
        <f t="shared" ref="AE31:AF31" si="95">+AE30+AE29</f>
        <v>5737</v>
      </c>
      <c r="AF31" s="4">
        <f t="shared" si="95"/>
        <v>6440</v>
      </c>
      <c r="AG31" s="4">
        <f t="shared" ref="AG31" si="96">+AG30+AG29</f>
        <v>6815</v>
      </c>
      <c r="AH31" s="4">
        <f t="shared" ref="AH31" si="97">+AH30+AH29</f>
        <v>3387.24</v>
      </c>
      <c r="AI31" s="4">
        <f t="shared" ref="AI31" si="98">+AI30+AI29</f>
        <v>3285.6227999999996</v>
      </c>
      <c r="AJ31" s="4">
        <f t="shared" ref="AJ31" si="99">+AJ30+AJ29</f>
        <v>3187.0541159999993</v>
      </c>
      <c r="AK31" s="4">
        <f t="shared" ref="AK31" si="100">+AK30+AK29</f>
        <v>3091.4424925199992</v>
      </c>
      <c r="AL31" s="4">
        <f t="shared" ref="AL31" si="101">+AL30+AL29</f>
        <v>2998.699217744399</v>
      </c>
      <c r="AM31" s="4">
        <f t="shared" ref="AM31" si="102">+AM30+AM29</f>
        <v>2908.7382412120669</v>
      </c>
      <c r="AN31" s="4">
        <f t="shared" ref="AN31" si="103">+AN30+AN29</f>
        <v>2821.4760939757048</v>
      </c>
      <c r="AO31" s="4">
        <f t="shared" ref="AO31" si="104">+AO30+AO29</f>
        <v>2736.8318111564336</v>
      </c>
      <c r="AP31" s="4">
        <f t="shared" ref="AP31" si="105">+AP30+AP29</f>
        <v>2654.7268568217405</v>
      </c>
    </row>
    <row r="32" spans="2:42" s="3" customFormat="1" x14ac:dyDescent="0.2">
      <c r="B32" s="3" t="s">
        <v>40</v>
      </c>
      <c r="C32" s="4">
        <f t="shared" ref="C32:D32" si="106">+C28-C31</f>
        <v>800.18600000000004</v>
      </c>
      <c r="D32" s="4">
        <f t="shared" si="106"/>
        <v>1059.0919999999996</v>
      </c>
      <c r="E32" s="4">
        <f t="shared" ref="E32:G32" si="107">+E28-E31</f>
        <v>1043.9140000000002</v>
      </c>
      <c r="F32" s="4">
        <f t="shared" si="107"/>
        <v>1106.9829999999999</v>
      </c>
      <c r="G32" s="4">
        <f t="shared" si="107"/>
        <v>1025.259</v>
      </c>
      <c r="H32" s="4">
        <f t="shared" ref="G32:H32" si="108">+H28-H31</f>
        <v>1153.8380000000006</v>
      </c>
      <c r="I32" s="4">
        <f t="shared" ref="I32:J32" si="109">+I28-I31</f>
        <v>1147.8609999999996</v>
      </c>
      <c r="J32" s="4">
        <f t="shared" si="109"/>
        <v>1197.0409999999999</v>
      </c>
      <c r="K32" s="4">
        <f t="shared" ref="K32:S32" si="110">+K28-K31</f>
        <v>3043</v>
      </c>
      <c r="L32" s="4">
        <f t="shared" si="110"/>
        <v>4412</v>
      </c>
      <c r="M32" s="4">
        <f t="shared" si="110"/>
        <v>3480</v>
      </c>
      <c r="N32" s="4">
        <f t="shared" si="110"/>
        <v>4648</v>
      </c>
      <c r="O32" s="4">
        <f t="shared" si="110"/>
        <v>5371</v>
      </c>
      <c r="P32" s="4">
        <f t="shared" si="110"/>
        <v>5616</v>
      </c>
      <c r="Q32" s="4">
        <f t="shared" si="110"/>
        <v>5585</v>
      </c>
      <c r="R32" s="4">
        <f t="shared" si="110"/>
        <v>5827</v>
      </c>
      <c r="S32" s="4">
        <f t="shared" si="110"/>
        <v>5343</v>
      </c>
      <c r="T32" s="4">
        <f t="shared" ref="T32:V32" si="111">+T28-T31</f>
        <v>5245</v>
      </c>
      <c r="U32" s="4">
        <f t="shared" si="111"/>
        <v>4941.9705999999996</v>
      </c>
      <c r="V32" s="4">
        <f t="shared" si="111"/>
        <v>4541.7111999999997</v>
      </c>
      <c r="W32" s="4"/>
      <c r="X32" s="4"/>
      <c r="Y32" s="4"/>
      <c r="Z32" s="4"/>
      <c r="AA32" s="4"/>
      <c r="AB32" s="4"/>
      <c r="AC32" s="4">
        <f t="shared" ref="AC32:AE32" si="112">+AC28-AC31</f>
        <v>3706.0290000000005</v>
      </c>
      <c r="AD32" s="4">
        <f t="shared" si="112"/>
        <v>4126.0059999999994</v>
      </c>
      <c r="AE32" s="4">
        <f t="shared" ref="AE32:AF32" si="113">+AE28-AE31</f>
        <v>15167</v>
      </c>
      <c r="AF32" s="4">
        <f t="shared" si="113"/>
        <v>21911</v>
      </c>
      <c r="AG32" s="4">
        <f t="shared" ref="AG32" si="114">+AG28-AG31</f>
        <v>19833.681799999998</v>
      </c>
      <c r="AH32" s="4">
        <f t="shared" ref="AH32" si="115">+AH28-AH31</f>
        <v>19237.847760000004</v>
      </c>
      <c r="AI32" s="4">
        <f t="shared" ref="AI32" si="116">+AI28-AI31</f>
        <v>17683.124942999999</v>
      </c>
      <c r="AJ32" s="4">
        <f t="shared" ref="AJ32" si="117">+AJ28-AJ31</f>
        <v>16637.892447870003</v>
      </c>
      <c r="AK32" s="4">
        <f t="shared" ref="AK32" si="118">+AK28-AK31</f>
        <v>15936.446789865298</v>
      </c>
      <c r="AL32" s="4">
        <f t="shared" ref="AL32" si="119">+AL28-AL31</f>
        <v>15335.136809320798</v>
      </c>
      <c r="AM32" s="4">
        <f t="shared" ref="AM32" si="120">+AM28-AM31</f>
        <v>14616.27180779332</v>
      </c>
      <c r="AN32" s="4">
        <f t="shared" ref="AN32" si="121">+AN28-AN31</f>
        <v>14097.898667515712</v>
      </c>
      <c r="AO32" s="4">
        <f t="shared" ref="AO32" si="122">+AO28-AO31</f>
        <v>13751.676074930088</v>
      </c>
      <c r="AP32" s="4">
        <f t="shared" ref="AP32" si="123">+AP28-AP31</f>
        <v>13555.660995976756</v>
      </c>
    </row>
    <row r="33" spans="2:74" s="3" customFormat="1" x14ac:dyDescent="0.2">
      <c r="B33" s="3" t="s">
        <v>41</v>
      </c>
      <c r="C33" s="4">
        <f t="shared" ref="C33:D33" si="124">-97.27-34.085</f>
        <v>-131.35499999999999</v>
      </c>
      <c r="D33" s="4">
        <f>-88.418-1.075</f>
        <v>-89.493000000000009</v>
      </c>
      <c r="E33" s="4">
        <f>-89.322-3.505</f>
        <v>-92.826999999999998</v>
      </c>
      <c r="F33" s="4">
        <f>-85.906+1.386</f>
        <v>-84.52000000000001</v>
      </c>
      <c r="G33" s="4">
        <f t="shared" ref="G33:H33" si="125">-81.787-3.324</f>
        <v>-85.111000000000004</v>
      </c>
      <c r="H33" s="4">
        <f>-78.008-0.231</f>
        <v>-78.23899999999999</v>
      </c>
      <c r="I33" s="4">
        <f>-73.949+5.777</f>
        <v>-68.171999999999997</v>
      </c>
      <c r="J33" s="4">
        <f>-73.15-11.108</f>
        <v>-84.25800000000001</v>
      </c>
      <c r="K33" s="4">
        <f>-76-18</f>
        <v>-94</v>
      </c>
      <c r="L33" s="4">
        <f>-102-4</f>
        <v>-106</v>
      </c>
      <c r="M33" s="4">
        <f>-104-5</f>
        <v>-109</v>
      </c>
      <c r="N33" s="4">
        <f>-130+30</f>
        <v>-100</v>
      </c>
      <c r="O33" s="4">
        <f>-153+21</f>
        <v>-132</v>
      </c>
      <c r="P33" s="4">
        <f>-140+35</f>
        <v>-105</v>
      </c>
      <c r="Q33" s="4">
        <f>-165+52</f>
        <v>-113</v>
      </c>
      <c r="R33" s="4">
        <f>-230+46</f>
        <v>-184</v>
      </c>
      <c r="S33" s="4">
        <f>-230+81</f>
        <v>-149</v>
      </c>
      <c r="T33" s="4">
        <f>-227+88</f>
        <v>-139</v>
      </c>
      <c r="U33" s="4">
        <f t="shared" ref="U33:V33" si="126">+T33</f>
        <v>-139</v>
      </c>
      <c r="V33" s="4">
        <f t="shared" si="126"/>
        <v>-139</v>
      </c>
      <c r="W33" s="4"/>
      <c r="X33" s="4"/>
      <c r="Y33" s="4"/>
      <c r="Z33" s="4"/>
      <c r="AA33" s="4"/>
      <c r="AB33" s="4"/>
      <c r="AC33" s="4">
        <f t="shared" ref="AC33" si="127">SUM(C33:F33)</f>
        <v>-398.19500000000005</v>
      </c>
      <c r="AD33" s="4">
        <f t="shared" ref="AD33" si="128">SUM(G33:J33)</f>
        <v>-315.77999999999997</v>
      </c>
      <c r="AE33" s="4">
        <f t="shared" ref="AE33" si="129">SUM(K33:N33)</f>
        <v>-409</v>
      </c>
      <c r="AF33" s="4">
        <f>SUM(O33:R33)</f>
        <v>-534</v>
      </c>
      <c r="AG33" s="4">
        <f t="shared" ref="AG33" si="130">SUM(S33:V33)</f>
        <v>-566</v>
      </c>
      <c r="AH33" s="3">
        <f>+AG49*$AS$45</f>
        <v>200.75318152</v>
      </c>
      <c r="AI33" s="3">
        <f t="shared" ref="AI33:AP33" si="131">+AH49*$AS$45</f>
        <v>519.54623696092813</v>
      </c>
      <c r="AJ33" s="3">
        <f t="shared" si="131"/>
        <v>818.07004431228722</v>
      </c>
      <c r="AK33" s="3">
        <f t="shared" si="131"/>
        <v>1104.3478291840768</v>
      </c>
      <c r="AL33" s="3">
        <f t="shared" si="131"/>
        <v>1383.8168609364864</v>
      </c>
      <c r="AM33" s="3">
        <f t="shared" si="131"/>
        <v>1658.0077011287058</v>
      </c>
      <c r="AN33" s="3">
        <f t="shared" si="131"/>
        <v>1924.9058850750273</v>
      </c>
      <c r="AO33" s="3">
        <f t="shared" si="131"/>
        <v>2187.6798797375154</v>
      </c>
      <c r="AP33" s="3">
        <f t="shared" si="131"/>
        <v>2449.0853173940641</v>
      </c>
    </row>
    <row r="34" spans="2:74" s="3" customFormat="1" x14ac:dyDescent="0.2">
      <c r="B34" s="3" t="s">
        <v>42</v>
      </c>
      <c r="C34" s="4">
        <f t="shared" ref="C34:D34" si="132">+C32+C33</f>
        <v>668.83100000000002</v>
      </c>
      <c r="D34" s="4">
        <f t="shared" si="132"/>
        <v>969.59899999999959</v>
      </c>
      <c r="E34" s="4">
        <f t="shared" ref="E34:G34" si="133">+E32+E33</f>
        <v>951.08700000000022</v>
      </c>
      <c r="F34" s="4">
        <f t="shared" si="133"/>
        <v>1022.463</v>
      </c>
      <c r="G34" s="4">
        <f t="shared" si="133"/>
        <v>940.14800000000002</v>
      </c>
      <c r="H34" s="4">
        <f t="shared" ref="G34:H34" si="134">+H32+H33</f>
        <v>1075.5990000000006</v>
      </c>
      <c r="I34" s="4">
        <f t="shared" ref="I34:J34" si="135">+I32+I33</f>
        <v>1079.6889999999996</v>
      </c>
      <c r="J34" s="4">
        <f t="shared" si="135"/>
        <v>1112.7829999999999</v>
      </c>
      <c r="K34" s="4">
        <f t="shared" ref="K34:S34" si="136">+K32+K33</f>
        <v>2949</v>
      </c>
      <c r="L34" s="4">
        <f t="shared" si="136"/>
        <v>4306</v>
      </c>
      <c r="M34" s="4">
        <f t="shared" si="136"/>
        <v>3371</v>
      </c>
      <c r="N34" s="4">
        <f t="shared" si="136"/>
        <v>4548</v>
      </c>
      <c r="O34" s="4">
        <f t="shared" si="136"/>
        <v>5239</v>
      </c>
      <c r="P34" s="4">
        <f t="shared" si="136"/>
        <v>5511</v>
      </c>
      <c r="Q34" s="4">
        <f t="shared" si="136"/>
        <v>5472</v>
      </c>
      <c r="R34" s="4">
        <f t="shared" si="136"/>
        <v>5643</v>
      </c>
      <c r="S34" s="4">
        <f t="shared" si="136"/>
        <v>5194</v>
      </c>
      <c r="T34" s="4">
        <f t="shared" ref="T34:V34" si="137">+T32+T33</f>
        <v>5106</v>
      </c>
      <c r="U34" s="4">
        <f t="shared" si="137"/>
        <v>4802.9705999999996</v>
      </c>
      <c r="V34" s="4">
        <f t="shared" si="137"/>
        <v>4402.7111999999997</v>
      </c>
      <c r="W34" s="4"/>
      <c r="X34" s="4"/>
      <c r="Y34" s="4"/>
      <c r="Z34" s="4"/>
      <c r="AA34" s="4"/>
      <c r="AB34" s="4"/>
      <c r="AC34" s="4">
        <f t="shared" ref="AC34:AF34" si="138">+AC32+AC33</f>
        <v>3307.8340000000003</v>
      </c>
      <c r="AD34" s="4">
        <f t="shared" si="138"/>
        <v>3810.2259999999997</v>
      </c>
      <c r="AE34" s="4">
        <f t="shared" si="138"/>
        <v>14758</v>
      </c>
      <c r="AF34" s="4">
        <f t="shared" si="138"/>
        <v>21377</v>
      </c>
      <c r="AG34" s="4">
        <f t="shared" ref="AG34" si="139">+AG32+AG33</f>
        <v>19267.681799999998</v>
      </c>
      <c r="AH34" s="4">
        <f t="shared" ref="AH34" si="140">+AH32+AH33</f>
        <v>19438.600941520002</v>
      </c>
      <c r="AI34" s="4">
        <f t="shared" ref="AI34" si="141">+AI32+AI33</f>
        <v>18202.671179960926</v>
      </c>
      <c r="AJ34" s="4">
        <f t="shared" ref="AJ34" si="142">+AJ32+AJ33</f>
        <v>17455.962492182291</v>
      </c>
      <c r="AK34" s="4">
        <f t="shared" ref="AK34" si="143">+AK32+AK33</f>
        <v>17040.794619049375</v>
      </c>
      <c r="AL34" s="4">
        <f t="shared" ref="AL34" si="144">+AL32+AL33</f>
        <v>16718.953670257284</v>
      </c>
      <c r="AM34" s="4">
        <f t="shared" ref="AM34" si="145">+AM32+AM33</f>
        <v>16274.279508922027</v>
      </c>
      <c r="AN34" s="4">
        <f t="shared" ref="AN34" si="146">+AN32+AN33</f>
        <v>16022.80455259074</v>
      </c>
      <c r="AO34" s="4">
        <f t="shared" ref="AO34" si="147">+AO32+AO33</f>
        <v>15939.355954667604</v>
      </c>
      <c r="AP34" s="4">
        <f t="shared" ref="AP34" si="148">+AP32+AP33</f>
        <v>16004.746313370819</v>
      </c>
    </row>
    <row r="35" spans="2:74" s="3" customFormat="1" x14ac:dyDescent="0.2">
      <c r="B35" s="3" t="s">
        <v>43</v>
      </c>
      <c r="C35" s="4">
        <f t="shared" ref="C35:D35" si="149">231.3-4.425</f>
        <v>226.875</v>
      </c>
      <c r="D35" s="4">
        <f>263.525-5.49</f>
        <v>258.03499999999997</v>
      </c>
      <c r="E35" s="4">
        <f>280.052-4.47</f>
        <v>275.58199999999999</v>
      </c>
      <c r="F35" s="4">
        <f>263.504-3.582</f>
        <v>259.92200000000003</v>
      </c>
      <c r="G35" s="4">
        <f t="shared" ref="G35:H35" si="150">222.438-4.476</f>
        <v>217.96199999999999</v>
      </c>
      <c r="H35" s="4">
        <f>307.981-4.987</f>
        <v>302.99399999999997</v>
      </c>
      <c r="I35" s="4">
        <f>294.473-3.39</f>
        <v>291.08300000000003</v>
      </c>
      <c r="J35" s="4">
        <f>326.041-4.669</f>
        <v>321.37200000000001</v>
      </c>
      <c r="K35" s="4">
        <f>726-4</f>
        <v>722</v>
      </c>
      <c r="L35" s="4">
        <f>656-6</f>
        <v>650</v>
      </c>
      <c r="M35" s="4">
        <f>647-7</f>
        <v>640</v>
      </c>
      <c r="N35" s="4">
        <f>768-25</f>
        <v>743</v>
      </c>
      <c r="O35" s="4">
        <f>907-1</f>
        <v>906</v>
      </c>
      <c r="P35" s="4">
        <f>1014+5</f>
        <v>1019</v>
      </c>
      <c r="Q35" s="4">
        <f>880-8</f>
        <v>872</v>
      </c>
      <c r="R35" s="4">
        <f>752+2</f>
        <v>754</v>
      </c>
      <c r="S35" s="4">
        <f>935+1</f>
        <v>936</v>
      </c>
      <c r="T35" s="4">
        <f>902+32</f>
        <v>934</v>
      </c>
      <c r="U35" s="4">
        <f t="shared" ref="U35:V35" si="151">+U34*0.18</f>
        <v>864.53470799999991</v>
      </c>
      <c r="V35" s="4">
        <f t="shared" si="151"/>
        <v>792.4880159999999</v>
      </c>
      <c r="W35" s="4"/>
      <c r="X35" s="4"/>
      <c r="Y35" s="4"/>
      <c r="Z35" s="4"/>
      <c r="AA35" s="4"/>
      <c r="AB35" s="4"/>
      <c r="AC35" s="4">
        <f t="shared" ref="AC35" si="152">SUM(C35:F35)</f>
        <v>1020.414</v>
      </c>
      <c r="AD35" s="4">
        <f t="shared" ref="AD35" si="153">SUM(G35:J35)</f>
        <v>1133.4110000000001</v>
      </c>
      <c r="AE35" s="4">
        <f t="shared" ref="AE35" si="154">SUM(K35:N35)</f>
        <v>2755</v>
      </c>
      <c r="AF35" s="4">
        <f>SUM(O35:R35)</f>
        <v>3551</v>
      </c>
      <c r="AG35" s="4">
        <f t="shared" ref="AG35" si="155">SUM(S35:V35)</f>
        <v>3527.0227239999999</v>
      </c>
      <c r="AH35" s="3">
        <f>+AH34*0.18</f>
        <v>3498.9481694736005</v>
      </c>
      <c r="AI35" s="3">
        <f t="shared" ref="AI35:AP35" si="156">+AI34*0.18</f>
        <v>3276.4808123929665</v>
      </c>
      <c r="AJ35" s="3">
        <f t="shared" si="156"/>
        <v>3142.073248592812</v>
      </c>
      <c r="AK35" s="3">
        <f t="shared" si="156"/>
        <v>3067.3430314288876</v>
      </c>
      <c r="AL35" s="3">
        <f t="shared" si="156"/>
        <v>3009.4116606463112</v>
      </c>
      <c r="AM35" s="3">
        <f t="shared" si="156"/>
        <v>2929.3703116059646</v>
      </c>
      <c r="AN35" s="3">
        <f t="shared" si="156"/>
        <v>2884.1048194663331</v>
      </c>
      <c r="AO35" s="3">
        <f t="shared" si="156"/>
        <v>2869.0840718401687</v>
      </c>
      <c r="AP35" s="3">
        <f t="shared" si="156"/>
        <v>2880.8543364067473</v>
      </c>
    </row>
    <row r="36" spans="2:74" s="3" customFormat="1" x14ac:dyDescent="0.2">
      <c r="B36" s="3" t="s">
        <v>44</v>
      </c>
      <c r="C36" s="4">
        <f t="shared" ref="C36:D36" si="157">+C34-C35</f>
        <v>441.95600000000002</v>
      </c>
      <c r="D36" s="4">
        <f t="shared" si="157"/>
        <v>711.56399999999962</v>
      </c>
      <c r="E36" s="4">
        <f t="shared" ref="E36:G36" si="158">+E34-E35</f>
        <v>675.50500000000022</v>
      </c>
      <c r="F36" s="4">
        <f t="shared" si="158"/>
        <v>762.54099999999994</v>
      </c>
      <c r="G36" s="4">
        <f t="shared" si="158"/>
        <v>722.18600000000004</v>
      </c>
      <c r="H36" s="4">
        <f t="shared" ref="G36:H36" si="159">+H34-H35</f>
        <v>772.6050000000007</v>
      </c>
      <c r="I36" s="4">
        <f t="shared" ref="I36:J36" si="160">+I34-I35</f>
        <v>788.60599999999954</v>
      </c>
      <c r="J36" s="4">
        <f t="shared" si="160"/>
        <v>791.41099999999983</v>
      </c>
      <c r="K36" s="4">
        <f t="shared" ref="K36:S36" si="161">+K34-K35</f>
        <v>2227</v>
      </c>
      <c r="L36" s="4">
        <f t="shared" si="161"/>
        <v>3656</v>
      </c>
      <c r="M36" s="4">
        <f t="shared" si="161"/>
        <v>2731</v>
      </c>
      <c r="N36" s="4">
        <f t="shared" si="161"/>
        <v>3805</v>
      </c>
      <c r="O36" s="4">
        <f t="shared" si="161"/>
        <v>4333</v>
      </c>
      <c r="P36" s="4">
        <f t="shared" si="161"/>
        <v>4492</v>
      </c>
      <c r="Q36" s="4">
        <f t="shared" si="161"/>
        <v>4600</v>
      </c>
      <c r="R36" s="4">
        <f t="shared" si="161"/>
        <v>4889</v>
      </c>
      <c r="S36" s="4">
        <f t="shared" si="161"/>
        <v>4258</v>
      </c>
      <c r="T36" s="4">
        <f t="shared" ref="T36:V36" si="162">+T34-T35</f>
        <v>4172</v>
      </c>
      <c r="U36" s="4">
        <f t="shared" si="162"/>
        <v>3938.4358919999995</v>
      </c>
      <c r="V36" s="4">
        <f t="shared" si="162"/>
        <v>3610.2231839999999</v>
      </c>
      <c r="W36" s="4"/>
      <c r="X36" s="4"/>
      <c r="Y36" s="4"/>
      <c r="Z36" s="4"/>
      <c r="AA36" s="4"/>
      <c r="AB36" s="4"/>
      <c r="AC36" s="4">
        <f t="shared" ref="AC36:AF36" si="163">+AC34-AC35</f>
        <v>2287.42</v>
      </c>
      <c r="AD36" s="4">
        <f t="shared" si="163"/>
        <v>2676.8149999999996</v>
      </c>
      <c r="AE36" s="4">
        <f t="shared" si="163"/>
        <v>12003</v>
      </c>
      <c r="AF36" s="4">
        <f t="shared" si="163"/>
        <v>17826</v>
      </c>
      <c r="AG36" s="4">
        <f t="shared" ref="AG36" si="164">+AG34-AG35</f>
        <v>15740.659075999998</v>
      </c>
      <c r="AH36" s="4">
        <f t="shared" ref="AH36" si="165">+AH34-AH35</f>
        <v>15939.652772046402</v>
      </c>
      <c r="AI36" s="4">
        <f t="shared" ref="AI36" si="166">+AI34-AI35</f>
        <v>14926.190367567959</v>
      </c>
      <c r="AJ36" s="4">
        <f t="shared" ref="AJ36" si="167">+AJ34-AJ35</f>
        <v>14313.889243589478</v>
      </c>
      <c r="AK36" s="4">
        <f t="shared" ref="AK36" si="168">+AK34-AK35</f>
        <v>13973.451587620488</v>
      </c>
      <c r="AL36" s="4">
        <f t="shared" ref="AL36" si="169">+AL34-AL35</f>
        <v>13709.542009610974</v>
      </c>
      <c r="AM36" s="4">
        <f t="shared" ref="AM36" si="170">+AM34-AM35</f>
        <v>13344.909197316063</v>
      </c>
      <c r="AN36" s="4">
        <f t="shared" ref="AN36" si="171">+AN34-AN35</f>
        <v>13138.699733124407</v>
      </c>
      <c r="AO36" s="4">
        <f t="shared" ref="AO36" si="172">+AO34-AO35</f>
        <v>13070.271882827436</v>
      </c>
      <c r="AP36" s="4">
        <f t="shared" ref="AP36" si="173">+AP34-AP35</f>
        <v>13123.891976964071</v>
      </c>
      <c r="AQ36" s="3">
        <f>+AP36*(1+$AS$46)</f>
        <v>12730.175217655149</v>
      </c>
      <c r="AR36" s="3">
        <f t="shared" ref="AR36:BV36" si="174">+AQ36*(1+$AS$46)</f>
        <v>12348.269961125494</v>
      </c>
      <c r="AS36" s="3">
        <f t="shared" si="174"/>
        <v>11977.821862291728</v>
      </c>
      <c r="AT36" s="3">
        <f t="shared" si="174"/>
        <v>11618.487206422977</v>
      </c>
      <c r="AU36" s="3">
        <f t="shared" si="174"/>
        <v>11269.932590230286</v>
      </c>
      <c r="AV36" s="3">
        <f t="shared" si="174"/>
        <v>10931.834612523377</v>
      </c>
      <c r="AW36" s="3">
        <f t="shared" si="174"/>
        <v>10603.879574147675</v>
      </c>
      <c r="AX36" s="3">
        <f t="shared" si="174"/>
        <v>10285.763186923245</v>
      </c>
      <c r="AY36" s="3">
        <f t="shared" si="174"/>
        <v>9977.1902913155463</v>
      </c>
      <c r="AZ36" s="3">
        <f t="shared" si="174"/>
        <v>9677.8745825760798</v>
      </c>
      <c r="BA36" s="3">
        <f t="shared" si="174"/>
        <v>9387.5383450987974</v>
      </c>
      <c r="BB36" s="3">
        <f t="shared" si="174"/>
        <v>9105.9121947458334</v>
      </c>
      <c r="BC36" s="3">
        <f t="shared" si="174"/>
        <v>8832.734828903458</v>
      </c>
      <c r="BD36" s="3">
        <f t="shared" si="174"/>
        <v>8567.7527840363546</v>
      </c>
      <c r="BE36" s="3">
        <f t="shared" si="174"/>
        <v>8310.7202005152631</v>
      </c>
      <c r="BF36" s="3">
        <f t="shared" si="174"/>
        <v>8061.3985944998049</v>
      </c>
      <c r="BG36" s="3">
        <f t="shared" si="174"/>
        <v>7819.5566366648109</v>
      </c>
      <c r="BH36" s="3">
        <f t="shared" si="174"/>
        <v>7584.9699375648661</v>
      </c>
      <c r="BI36" s="3">
        <f t="shared" si="174"/>
        <v>7357.4208394379202</v>
      </c>
      <c r="BJ36" s="3">
        <f t="shared" si="174"/>
        <v>7136.6982142547822</v>
      </c>
      <c r="BK36" s="3">
        <f t="shared" si="174"/>
        <v>6922.5972678271382</v>
      </c>
      <c r="BL36" s="3">
        <f t="shared" si="174"/>
        <v>6714.9193497923243</v>
      </c>
      <c r="BM36" s="3">
        <f t="shared" si="174"/>
        <v>6513.4717692985541</v>
      </c>
      <c r="BN36" s="3">
        <f t="shared" si="174"/>
        <v>6318.0676162195978</v>
      </c>
      <c r="BO36" s="3">
        <f t="shared" si="174"/>
        <v>6128.5255877330101</v>
      </c>
      <c r="BP36" s="3">
        <f t="shared" si="174"/>
        <v>5944.6698201010195</v>
      </c>
      <c r="BQ36" s="3">
        <f t="shared" si="174"/>
        <v>5766.3297254979889</v>
      </c>
      <c r="BR36" s="3">
        <f t="shared" si="174"/>
        <v>5593.3398337330491</v>
      </c>
      <c r="BS36" s="3">
        <f t="shared" si="174"/>
        <v>5425.5396387210576</v>
      </c>
      <c r="BT36" s="3">
        <f t="shared" si="174"/>
        <v>5262.7734495594259</v>
      </c>
      <c r="BU36" s="3">
        <f t="shared" si="174"/>
        <v>5104.8902460726431</v>
      </c>
      <c r="BV36" s="3">
        <f t="shared" si="174"/>
        <v>4951.7435386904635</v>
      </c>
    </row>
    <row r="37" spans="2:74" x14ac:dyDescent="0.2">
      <c r="B37" s="3" t="s">
        <v>45</v>
      </c>
      <c r="C37" s="8">
        <f t="shared" ref="C37:D37" si="175">C36/C38</f>
        <v>0.28425702480614573</v>
      </c>
      <c r="D37" s="8">
        <f t="shared" si="175"/>
        <v>0.4558350608451438</v>
      </c>
      <c r="E37" s="8">
        <f t="shared" ref="E37:G37" si="176">E36/E38</f>
        <v>0.426291549708193</v>
      </c>
      <c r="F37" s="8">
        <f t="shared" si="176"/>
        <v>0.46583348554833132</v>
      </c>
      <c r="G37" s="8">
        <f t="shared" si="176"/>
        <v>0.43372971544568967</v>
      </c>
      <c r="H37" s="8">
        <f t="shared" ref="G37:H37" si="177">H36/H38</f>
        <v>0.45592793953889421</v>
      </c>
      <c r="I37" s="8">
        <f t="shared" ref="I37:J37" si="178">I36/I38</f>
        <v>0.46610729488420671</v>
      </c>
      <c r="J37" s="8">
        <f t="shared" si="178"/>
        <v>0.46712631004856525</v>
      </c>
      <c r="K37" s="8">
        <f t="shared" ref="K37:S37" si="179">K36/K38</f>
        <v>1.325595238095238</v>
      </c>
      <c r="L37" s="8">
        <f t="shared" si="179"/>
        <v>2.1971153846153846</v>
      </c>
      <c r="M37" s="8">
        <f t="shared" si="179"/>
        <v>1.6682956627978009</v>
      </c>
      <c r="N37" s="8">
        <f t="shared" si="179"/>
        <v>2.3825923606762678</v>
      </c>
      <c r="O37" s="8">
        <f t="shared" si="179"/>
        <v>2.761631612492033</v>
      </c>
      <c r="P37" s="8">
        <f t="shared" si="179"/>
        <v>2.9168831168831169</v>
      </c>
      <c r="Q37" s="8">
        <f t="shared" si="179"/>
        <v>3.0605455755156354</v>
      </c>
      <c r="R37" s="8">
        <f t="shared" si="179"/>
        <v>3.3213315217391304</v>
      </c>
      <c r="S37" s="8">
        <f t="shared" si="179"/>
        <v>3.0155807365439093</v>
      </c>
      <c r="T37" s="8">
        <f t="shared" ref="T37:V37" si="180">T36/T38</f>
        <v>3.0789667896678967</v>
      </c>
      <c r="U37" s="8">
        <f t="shared" si="180"/>
        <v>2.906594754243542</v>
      </c>
      <c r="V37" s="8">
        <f t="shared" si="180"/>
        <v>2.6643713535055351</v>
      </c>
      <c r="W37" s="8"/>
      <c r="X37" s="8"/>
      <c r="Y37" s="8"/>
      <c r="Z37" s="8"/>
      <c r="AC37" s="8">
        <f t="shared" ref="AC37:AF37" si="181">AC36/AC38</f>
        <v>1.443774078536167</v>
      </c>
      <c r="AD37" s="8">
        <f t="shared" si="181"/>
        <v>1.5872608326401805</v>
      </c>
      <c r="AE37" s="8">
        <f t="shared" si="181"/>
        <v>7.2988750380054732</v>
      </c>
      <c r="AF37" s="8">
        <f t="shared" si="181"/>
        <v>11.719921104536489</v>
      </c>
      <c r="AG37" s="8">
        <f t="shared" ref="AG37" si="182">AG36/AG38</f>
        <v>11.495825507394558</v>
      </c>
      <c r="AH37" s="8">
        <f t="shared" ref="AH37" si="183">AH36/AH38</f>
        <v>11.641155940877416</v>
      </c>
      <c r="AI37" s="8">
        <f t="shared" ref="AI37" si="184">AI36/AI38</f>
        <v>10.900997164555749</v>
      </c>
      <c r="AJ37" s="8">
        <f t="shared" ref="AJ37" si="185">AJ36/AJ38</f>
        <v>10.453817231031206</v>
      </c>
      <c r="AK37" s="8">
        <f t="shared" ref="AK37" si="186">AK36/AK38</f>
        <v>10.205186479912717</v>
      </c>
      <c r="AL37" s="8">
        <f t="shared" ref="AL37" si="187">AL36/AL38</f>
        <v>10.012446236706937</v>
      </c>
      <c r="AM37" s="8">
        <f t="shared" ref="AM37" si="188">AM36/AM38</f>
        <v>9.7461451139792317</v>
      </c>
      <c r="AN37" s="8">
        <f t="shared" ref="AN37" si="189">AN36/AN38</f>
        <v>9.5955448114839559</v>
      </c>
      <c r="AO37" s="8">
        <f t="shared" ref="AO37" si="190">AO36/AO38</f>
        <v>9.545570117091426</v>
      </c>
      <c r="AP37" s="8">
        <f t="shared" ref="AP37" si="191">AP36/AP38</f>
        <v>9.5847303099974948</v>
      </c>
    </row>
    <row r="38" spans="2:74" s="3" customFormat="1" x14ac:dyDescent="0.2">
      <c r="B38" s="3" t="s">
        <v>1</v>
      </c>
      <c r="C38" s="4">
        <v>1554.7760000000001</v>
      </c>
      <c r="D38" s="4">
        <v>1561.0119999999999</v>
      </c>
      <c r="E38" s="4">
        <v>1584.6079999999999</v>
      </c>
      <c r="F38" s="4">
        <v>1636.9390000000001</v>
      </c>
      <c r="G38" s="4">
        <v>1665.06</v>
      </c>
      <c r="H38" s="4">
        <v>1694.577</v>
      </c>
      <c r="I38" s="4">
        <v>1691.8979999999999</v>
      </c>
      <c r="J38" s="4">
        <v>1694.212</v>
      </c>
      <c r="K38" s="4">
        <v>1680</v>
      </c>
      <c r="L38" s="4">
        <v>1664</v>
      </c>
      <c r="M38" s="4">
        <v>1637</v>
      </c>
      <c r="N38" s="4">
        <v>1597</v>
      </c>
      <c r="O38" s="4">
        <v>1569</v>
      </c>
      <c r="P38" s="4">
        <v>1540</v>
      </c>
      <c r="Q38" s="4">
        <v>1503</v>
      </c>
      <c r="R38" s="4">
        <v>1472</v>
      </c>
      <c r="S38" s="4">
        <v>1412</v>
      </c>
      <c r="T38" s="4">
        <v>1355</v>
      </c>
      <c r="U38" s="4">
        <f t="shared" ref="U38:V38" si="192">+T38</f>
        <v>1355</v>
      </c>
      <c r="V38" s="4">
        <f t="shared" si="192"/>
        <v>1355</v>
      </c>
      <c r="W38" s="4"/>
      <c r="X38" s="4"/>
      <c r="Y38" s="4"/>
      <c r="Z38" s="4"/>
      <c r="AA38" s="4"/>
      <c r="AB38" s="4"/>
      <c r="AC38" s="4">
        <f>AVERAGE(C38:F38)</f>
        <v>1584.33375</v>
      </c>
      <c r="AD38" s="4">
        <f>AVERAGE(G38:J38)</f>
        <v>1686.4367499999998</v>
      </c>
      <c r="AE38" s="4">
        <f>AVERAGE(K38:N38)</f>
        <v>1644.5</v>
      </c>
      <c r="AF38" s="4">
        <f>AVERAGE(O38:R38)</f>
        <v>1521</v>
      </c>
      <c r="AG38" s="4">
        <f>AVERAGE(S38:V38)</f>
        <v>1369.25</v>
      </c>
      <c r="AH38" s="3">
        <f>+AG38</f>
        <v>1369.25</v>
      </c>
      <c r="AI38" s="3">
        <f t="shared" ref="AI38:AP38" si="193">+AH38</f>
        <v>1369.25</v>
      </c>
      <c r="AJ38" s="3">
        <f t="shared" si="193"/>
        <v>1369.25</v>
      </c>
      <c r="AK38" s="3">
        <f t="shared" si="193"/>
        <v>1369.25</v>
      </c>
      <c r="AL38" s="3">
        <f t="shared" si="193"/>
        <v>1369.25</v>
      </c>
      <c r="AM38" s="3">
        <f t="shared" si="193"/>
        <v>1369.25</v>
      </c>
      <c r="AN38" s="3">
        <f t="shared" si="193"/>
        <v>1369.25</v>
      </c>
      <c r="AO38" s="3">
        <f t="shared" si="193"/>
        <v>1369.25</v>
      </c>
      <c r="AP38" s="3">
        <f t="shared" si="193"/>
        <v>1369.25</v>
      </c>
    </row>
    <row r="40" spans="2:74" s="12" customFormat="1" x14ac:dyDescent="0.2">
      <c r="B40" s="5" t="s">
        <v>47</v>
      </c>
      <c r="C40" s="10"/>
      <c r="D40" s="10"/>
      <c r="E40" s="10"/>
      <c r="F40" s="10"/>
      <c r="G40" s="11">
        <f t="shared" ref="G40" si="194">G26/C26-1</f>
        <v>0.10917483807962403</v>
      </c>
      <c r="H40" s="11">
        <f>H26/D26-1</f>
        <v>0.15059459018969878</v>
      </c>
      <c r="I40" s="11">
        <f t="shared" ref="H40:K40" si="195">I26/E26-1</f>
        <v>0.14680476403786846</v>
      </c>
      <c r="J40" s="11">
        <f t="shared" si="195"/>
        <v>0.20536416971083171</v>
      </c>
      <c r="K40" s="11">
        <f t="shared" si="195"/>
        <v>0.97461324401029392</v>
      </c>
      <c r="L40" s="11">
        <f>L26/H26-1</f>
        <v>1.361427393425005</v>
      </c>
      <c r="M40" s="11">
        <f>M26/I26-1</f>
        <v>1.1711687334453775</v>
      </c>
      <c r="N40" s="11">
        <f>N26/J26-1</f>
        <v>1.3443615124689647</v>
      </c>
      <c r="O40" s="11">
        <f t="shared" ref="N40:O40" si="196">O26/K26-1</f>
        <v>0.51910382076415273</v>
      </c>
      <c r="P40" s="11">
        <f t="shared" ref="P40" si="197">P26/L26-1</f>
        <v>0.26151491966335128</v>
      </c>
      <c r="Q40" s="11">
        <f t="shared" ref="Q40" si="198">Q26/M26-1</f>
        <v>0.37288977159880843</v>
      </c>
      <c r="R40" s="11">
        <f t="shared" ref="R40" si="199">R26/N26-1</f>
        <v>0.16297511621547711</v>
      </c>
      <c r="S40" s="11">
        <f>S26/O26-1</f>
        <v>2.6336581511719803E-2</v>
      </c>
      <c r="T40" s="11">
        <f>T26/P26-1</f>
        <v>-5.6768558951965087E-2</v>
      </c>
      <c r="U40" s="11">
        <f t="shared" ref="U40:V40" si="200">U26/Q26-1</f>
        <v>-8.7115129596142205E-2</v>
      </c>
      <c r="V40" s="11">
        <f t="shared" si="200"/>
        <v>-0.1399294615565484</v>
      </c>
      <c r="W40" s="11"/>
      <c r="X40" s="11"/>
      <c r="Y40" s="11"/>
      <c r="Z40" s="11"/>
      <c r="AA40" s="10"/>
      <c r="AB40" s="10"/>
      <c r="AC40" s="10"/>
      <c r="AD40" s="11">
        <f t="shared" ref="AD40" si="201">AD26/AC26-1</f>
        <v>0.14952846615652837</v>
      </c>
      <c r="AE40" s="11">
        <f t="shared" ref="AE40" si="202">AE26/AD26-1</f>
        <v>1.2653360725196334</v>
      </c>
      <c r="AF40" s="11">
        <f t="shared" ref="AF40" si="203">AF26/AE26-1</f>
        <v>0.31367982348614865</v>
      </c>
      <c r="AG40" s="11">
        <f>AG26/AF26-1</f>
        <v>-6.0055985816926394E-2</v>
      </c>
      <c r="AH40" s="11">
        <f t="shared" ref="AH40:AP40" si="204">AH26/AG26-1</f>
        <v>-0.13945309320208299</v>
      </c>
      <c r="AI40" s="11">
        <f t="shared" si="204"/>
        <v>-7.3208114574844885E-2</v>
      </c>
      <c r="AJ40" s="11">
        <f t="shared" si="204"/>
        <v>-5.4547901150264644E-2</v>
      </c>
      <c r="AK40" s="11">
        <f t="shared" si="204"/>
        <v>-4.0204763171331814E-2</v>
      </c>
      <c r="AL40" s="11">
        <f t="shared" si="204"/>
        <v>-3.6475577770079148E-2</v>
      </c>
      <c r="AM40" s="11">
        <f t="shared" si="204"/>
        <v>-4.4116570960151869E-2</v>
      </c>
      <c r="AN40" s="11">
        <f t="shared" si="204"/>
        <v>-3.4558341810956184E-2</v>
      </c>
      <c r="AO40" s="11">
        <f t="shared" si="204"/>
        <v>-2.5465886386390135E-2</v>
      </c>
      <c r="AP40" s="11">
        <f t="shared" si="204"/>
        <v>-1.6867507673190452E-2</v>
      </c>
    </row>
    <row r="41" spans="2:74" x14ac:dyDescent="0.2">
      <c r="B41" s="3" t="s">
        <v>48</v>
      </c>
      <c r="G41" s="9"/>
      <c r="H41" s="9"/>
      <c r="I41" s="9"/>
      <c r="J41" s="9"/>
      <c r="K41" s="9"/>
      <c r="L41" s="9"/>
      <c r="M41" s="9"/>
      <c r="N41" s="9">
        <f t="shared" ref="M41:O41" si="205">N3/J3-1</f>
        <v>26.532542044680316</v>
      </c>
      <c r="O41" s="9">
        <f t="shared" si="205"/>
        <v>1.0013192612137205</v>
      </c>
      <c r="P41" s="9">
        <f t="shared" ref="P41:R41" si="206">P3/L3-1</f>
        <v>0.40735420856075844</v>
      </c>
      <c r="Q41" s="9">
        <f t="shared" si="206"/>
        <v>0.70383522727272729</v>
      </c>
      <c r="R41" s="9">
        <f t="shared" si="206"/>
        <v>0.27429017973430581</v>
      </c>
      <c r="S41" s="9">
        <f>S3/O3-1</f>
        <v>-5.6471105251593046E-2</v>
      </c>
      <c r="T41" s="9">
        <f>T3/P3-1</f>
        <v>-0.18636456419677483</v>
      </c>
      <c r="U41" s="9">
        <f t="shared" ref="U41:V41" si="207">U3/Q3-1</f>
        <v>-0.26431846602751141</v>
      </c>
      <c r="V41" s="9">
        <f t="shared" si="207"/>
        <v>-0.35060915780866719</v>
      </c>
      <c r="W41" s="9"/>
      <c r="X41" s="9"/>
      <c r="Y41" s="9"/>
      <c r="Z41" s="9"/>
      <c r="AD41" s="9"/>
      <c r="AE41" s="9"/>
      <c r="AF41" s="9">
        <f>AF3/AE3-1</f>
        <v>0.5423045930701047</v>
      </c>
      <c r="AG41" s="9">
        <f>AG3/AF3-1</f>
        <v>-0.22034378265412746</v>
      </c>
      <c r="AH41" s="9">
        <f t="shared" ref="AH41:AP41" si="208">AH3/AG3-1</f>
        <v>-0.30000000000000016</v>
      </c>
      <c r="AI41" s="9">
        <f t="shared" si="208"/>
        <v>-0.19999999999999996</v>
      </c>
      <c r="AJ41" s="9">
        <f t="shared" si="208"/>
        <v>-0.19999999999999984</v>
      </c>
      <c r="AK41" s="9">
        <f t="shared" si="208"/>
        <v>-0.20000000000000007</v>
      </c>
      <c r="AL41" s="9">
        <f t="shared" si="208"/>
        <v>-0.19999999999999984</v>
      </c>
      <c r="AM41" s="9">
        <f t="shared" si="208"/>
        <v>-0.20000000000000007</v>
      </c>
      <c r="AN41" s="9">
        <f t="shared" si="208"/>
        <v>-0.19999999999999996</v>
      </c>
      <c r="AO41" s="9">
        <f t="shared" si="208"/>
        <v>-0.19999999999999996</v>
      </c>
      <c r="AP41" s="9">
        <f t="shared" si="208"/>
        <v>-0.19999999999999996</v>
      </c>
    </row>
    <row r="42" spans="2:74" x14ac:dyDescent="0.2">
      <c r="B42" s="3" t="s">
        <v>52</v>
      </c>
      <c r="G42" s="9">
        <f t="shared" ref="G42" si="209">G4/C4-1</f>
        <v>7.0241758515654951E-2</v>
      </c>
      <c r="H42" s="9">
        <f t="shared" ref="H42" si="210">H4/D4-1</f>
        <v>0.14906650804086685</v>
      </c>
      <c r="I42" s="9">
        <f t="shared" ref="I42" si="211">I4/E4-1</f>
        <v>0.14288696567940451</v>
      </c>
      <c r="J42" s="9">
        <f t="shared" ref="J42" si="212">J4/F4-1</f>
        <v>0.15338756787774876</v>
      </c>
      <c r="K42" s="9">
        <f t="shared" ref="K42" si="213">K4/G4-1</f>
        <v>7.5650703175716982E-2</v>
      </c>
      <c r="L42" s="9">
        <f t="shared" ref="L42:O42" si="214">L4/H4-1</f>
        <v>8.3794248624822432E-2</v>
      </c>
      <c r="M42" s="9">
        <f t="shared" si="214"/>
        <v>0.16214751451287612</v>
      </c>
      <c r="N42" s="9">
        <f t="shared" si="214"/>
        <v>0.14622027266124693</v>
      </c>
      <c r="O42" s="9">
        <f t="shared" si="214"/>
        <v>8.9309878213802429E-2</v>
      </c>
      <c r="P42" s="9">
        <f t="shared" ref="P42" si="215">P4/L4-1</f>
        <v>8.3798882681564324E-2</v>
      </c>
      <c r="Q42" s="9">
        <f t="shared" ref="Q42" si="216">Q4/M4-1</f>
        <v>6.841715976331364E-2</v>
      </c>
      <c r="R42" s="9">
        <f t="shared" ref="R42:S42" si="217">R4/N4-1</f>
        <v>3.9078855547801883E-2</v>
      </c>
      <c r="S42" s="9">
        <f t="shared" si="217"/>
        <v>0.18467908902691521</v>
      </c>
      <c r="T42" s="9">
        <f t="shared" ref="T42" si="218">T4/P4-1</f>
        <v>0.10493372606774676</v>
      </c>
      <c r="U42" s="9">
        <f t="shared" ref="U42" si="219">U4/Q4-1</f>
        <v>0.1473104880581515</v>
      </c>
      <c r="V42" s="9">
        <f t="shared" ref="V42" si="220">V4/R4-1</f>
        <v>0.13799194089993283</v>
      </c>
      <c r="W42" s="9"/>
      <c r="X42" s="9"/>
      <c r="Y42" s="9"/>
      <c r="Z42" s="9"/>
      <c r="AD42" s="9">
        <f t="shared" ref="AD42:AF42" si="221">AD4/AC4-1</f>
        <v>0.13002718075509168</v>
      </c>
      <c r="AE42" s="9">
        <f t="shared" si="221"/>
        <v>0.11875035596108185</v>
      </c>
      <c r="AF42" s="9">
        <f>AF4/AE4-1</f>
        <v>6.8493150684931559E-2</v>
      </c>
      <c r="AG42" s="9">
        <f t="shared" ref="AG42:AP42" si="222">AG4/AF4-1</f>
        <v>0.14252773231496629</v>
      </c>
      <c r="AH42" s="9">
        <f t="shared" si="222"/>
        <v>3.7748855598495057E-2</v>
      </c>
      <c r="AI42" s="9">
        <f t="shared" si="222"/>
        <v>2.8874426048021595E-2</v>
      </c>
      <c r="AJ42" s="9">
        <f t="shared" si="222"/>
        <v>3.9445851916318775E-2</v>
      </c>
      <c r="AK42" s="9">
        <f t="shared" si="222"/>
        <v>4.1358847377939822E-2</v>
      </c>
      <c r="AL42" s="9">
        <f t="shared" si="222"/>
        <v>2.8417405585375866E-2</v>
      </c>
      <c r="AM42" s="9">
        <f t="shared" si="222"/>
        <v>3.5666734403889677E-3</v>
      </c>
      <c r="AN42" s="9">
        <f t="shared" si="222"/>
        <v>6.9028242451210087E-3</v>
      </c>
      <c r="AO42" s="9">
        <f t="shared" si="222"/>
        <v>1.0365312393734394E-2</v>
      </c>
      <c r="AP42" s="9">
        <f t="shared" si="222"/>
        <v>1.394039435807759E-2</v>
      </c>
    </row>
    <row r="43" spans="2:74" x14ac:dyDescent="0.2">
      <c r="B43" s="3" t="s">
        <v>20</v>
      </c>
      <c r="O43" s="9"/>
      <c r="P43" s="9"/>
      <c r="Q43" s="9"/>
      <c r="R43" s="9">
        <f t="shared" ref="Q43:S43" si="223">R6/N6-1</f>
        <v>0.58756525866160425</v>
      </c>
      <c r="S43" s="9">
        <f t="shared" si="223"/>
        <v>-0.15702710254260965</v>
      </c>
      <c r="T43" s="9">
        <f>T6/P6-1</f>
        <v>-0.28935698447893565</v>
      </c>
      <c r="U43" s="9">
        <f t="shared" ref="U43:V43" si="224">U6/Q6-1</f>
        <v>-0.30744297719087643</v>
      </c>
      <c r="V43" s="9">
        <f t="shared" si="224"/>
        <v>-0.37912107623318381</v>
      </c>
      <c r="W43" s="9"/>
      <c r="X43" s="9"/>
      <c r="Y43" s="9"/>
      <c r="Z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</row>
    <row r="44" spans="2:74" x14ac:dyDescent="0.2">
      <c r="B44" s="3" t="s">
        <v>44</v>
      </c>
      <c r="G44" s="9">
        <f t="shared" ref="G44:K44" si="225">G36/C36-1</f>
        <v>0.63406764474291566</v>
      </c>
      <c r="H44" s="9">
        <f t="shared" si="225"/>
        <v>8.5784272391522309E-2</v>
      </c>
      <c r="I44" s="9">
        <f t="shared" si="225"/>
        <v>0.16743177326592584</v>
      </c>
      <c r="J44" s="9">
        <f t="shared" si="225"/>
        <v>3.7860259317203715E-2</v>
      </c>
      <c r="K44" s="9">
        <f t="shared" si="225"/>
        <v>2.0836931206088183</v>
      </c>
      <c r="L44" s="9">
        <f>L36/H36-1</f>
        <v>3.7320428938461392</v>
      </c>
      <c r="M44" s="9">
        <f t="shared" ref="L44:S44" si="226">M36/I36-1</f>
        <v>2.4630728145613925</v>
      </c>
      <c r="N44" s="9">
        <f t="shared" si="226"/>
        <v>3.8078684779463527</v>
      </c>
      <c r="O44" s="9">
        <f t="shared" si="226"/>
        <v>0.9456668163448585</v>
      </c>
      <c r="P44" s="9">
        <f t="shared" si="226"/>
        <v>0.22866520787746181</v>
      </c>
      <c r="Q44" s="9">
        <f t="shared" si="226"/>
        <v>0.6843647015745149</v>
      </c>
      <c r="R44" s="9">
        <f t="shared" si="226"/>
        <v>0.28488830486202366</v>
      </c>
      <c r="S44" s="9">
        <f t="shared" si="226"/>
        <v>-1.7309023771059362E-2</v>
      </c>
      <c r="T44" s="9">
        <f>T36/P36-1</f>
        <v>-7.1237756010685716E-2</v>
      </c>
      <c r="U44" s="9">
        <f t="shared" ref="U44:V44" si="227">U36/Q36-1</f>
        <v>-0.14381828434782618</v>
      </c>
      <c r="V44" s="9">
        <f t="shared" si="227"/>
        <v>-0.26156204049907961</v>
      </c>
      <c r="W44" s="9"/>
      <c r="X44" s="9"/>
      <c r="Y44" s="9"/>
      <c r="Z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</row>
    <row r="45" spans="2:74" x14ac:dyDescent="0.2">
      <c r="AR45" t="s">
        <v>70</v>
      </c>
      <c r="AS45" s="13">
        <v>0.02</v>
      </c>
    </row>
    <row r="46" spans="2:74" x14ac:dyDescent="0.2">
      <c r="B46" s="3" t="s">
        <v>49</v>
      </c>
      <c r="C46" s="9">
        <f t="shared" ref="C46:J46" si="228">C28/C26</f>
        <v>0.74547908847032285</v>
      </c>
      <c r="D46" s="9">
        <f t="shared" si="228"/>
        <v>0.74332754306735527</v>
      </c>
      <c r="E46" s="9">
        <f t="shared" si="228"/>
        <v>0.75386559861402613</v>
      </c>
      <c r="F46" s="9">
        <f t="shared" si="228"/>
        <v>0.73889351443137052</v>
      </c>
      <c r="G46" s="9">
        <f t="shared" si="228"/>
        <v>0.74939199371157372</v>
      </c>
      <c r="H46" s="9">
        <f t="shared" si="228"/>
        <v>0.75259648608040641</v>
      </c>
      <c r="I46" s="9">
        <f t="shared" si="228"/>
        <v>0.75497343893794555</v>
      </c>
      <c r="J46" s="9">
        <f t="shared" ref="J46:K46" si="229">J28/J26</f>
        <v>0.7251375557483013</v>
      </c>
      <c r="K46" s="9">
        <f t="shared" si="229"/>
        <v>0.83736747349469898</v>
      </c>
      <c r="L46" s="9">
        <f t="shared" ref="L46:R46" si="230">L28/L26</f>
        <v>0.85845447589900536</v>
      </c>
      <c r="M46" s="9">
        <f t="shared" si="230"/>
        <v>0.83664349553128103</v>
      </c>
      <c r="N46" s="9">
        <f t="shared" si="230"/>
        <v>0.8844681432868472</v>
      </c>
      <c r="O46" s="9">
        <f t="shared" si="230"/>
        <v>0.88385567553331579</v>
      </c>
      <c r="P46" s="9">
        <f t="shared" si="230"/>
        <v>0.87894226103833095</v>
      </c>
      <c r="Q46" s="9">
        <f t="shared" si="230"/>
        <v>0.87172995780590712</v>
      </c>
      <c r="R46" s="9">
        <f t="shared" si="230"/>
        <v>0.89936515400893491</v>
      </c>
      <c r="S46" s="9">
        <f>S28/S26</f>
        <v>0.87387734154477803</v>
      </c>
      <c r="T46" s="9">
        <f t="shared" ref="T46:V46" si="231">T28/T26</f>
        <v>0.9160236625514403</v>
      </c>
      <c r="U46" s="9">
        <f t="shared" si="231"/>
        <v>0.87</v>
      </c>
      <c r="V46" s="9">
        <f t="shared" si="231"/>
        <v>0.87</v>
      </c>
      <c r="W46" s="9"/>
      <c r="X46" s="9"/>
      <c r="Y46" s="9"/>
      <c r="Z46" s="9"/>
      <c r="AC46" s="9">
        <f t="shared" ref="AC46:AE46" si="232">AC28/AC26</f>
        <v>0.73704347274650039</v>
      </c>
      <c r="AD46" s="9">
        <f t="shared" si="232"/>
        <v>0.735414411458302</v>
      </c>
      <c r="AE46" s="9">
        <f t="shared" si="232"/>
        <v>0.8541309144398137</v>
      </c>
      <c r="AF46" s="9">
        <f t="shared" ref="AF46:AG46" si="233">AF28/AF26</f>
        <v>0.8818077198220895</v>
      </c>
      <c r="AG46" s="9">
        <f t="shared" si="233"/>
        <v>0.88181860838500414</v>
      </c>
      <c r="AH46" s="9">
        <f t="shared" ref="AH46:AP46" si="234">AH28/AH26</f>
        <v>0.87</v>
      </c>
      <c r="AI46" s="9">
        <f t="shared" si="234"/>
        <v>0.87</v>
      </c>
      <c r="AJ46" s="9">
        <f t="shared" si="234"/>
        <v>0.87000000000000011</v>
      </c>
      <c r="AK46" s="9">
        <f t="shared" si="234"/>
        <v>0.87</v>
      </c>
      <c r="AL46" s="9">
        <f t="shared" si="234"/>
        <v>0.86999999999999988</v>
      </c>
      <c r="AM46" s="9">
        <f t="shared" si="234"/>
        <v>0.87</v>
      </c>
      <c r="AN46" s="9">
        <f t="shared" si="234"/>
        <v>0.86999999999999988</v>
      </c>
      <c r="AO46" s="9">
        <f t="shared" si="234"/>
        <v>0.87</v>
      </c>
      <c r="AP46" s="9">
        <f t="shared" si="234"/>
        <v>0.87</v>
      </c>
      <c r="AR46" t="s">
        <v>71</v>
      </c>
      <c r="AS46" s="13">
        <v>-0.03</v>
      </c>
    </row>
    <row r="47" spans="2:74" x14ac:dyDescent="0.2">
      <c r="B47" s="3" t="s">
        <v>50</v>
      </c>
      <c r="C47" s="9">
        <f t="shared" ref="C47:J47" si="235">C35/C34</f>
        <v>0.33921125067468461</v>
      </c>
      <c r="D47" s="9">
        <f t="shared" si="235"/>
        <v>0.26612548073997611</v>
      </c>
      <c r="E47" s="9">
        <f t="shared" si="235"/>
        <v>0.28975477532549593</v>
      </c>
      <c r="F47" s="9">
        <f t="shared" si="235"/>
        <v>0.25421164384432499</v>
      </c>
      <c r="G47" s="9">
        <f t="shared" si="235"/>
        <v>0.23183796593727796</v>
      </c>
      <c r="H47" s="9">
        <f t="shared" si="235"/>
        <v>0.28169791902000635</v>
      </c>
      <c r="I47" s="9">
        <f t="shared" si="235"/>
        <v>0.26959893080322217</v>
      </c>
      <c r="J47" s="9">
        <f t="shared" ref="J47:K47" si="236">J35/J34</f>
        <v>0.28880024227544815</v>
      </c>
      <c r="K47" s="9">
        <f t="shared" si="236"/>
        <v>0.2448287555103425</v>
      </c>
      <c r="L47" s="9">
        <f t="shared" ref="L47:R47" si="237">L35/L34</f>
        <v>0.15095215977705528</v>
      </c>
      <c r="M47" s="9">
        <f t="shared" si="237"/>
        <v>0.18985464253930584</v>
      </c>
      <c r="N47" s="9">
        <f t="shared" si="237"/>
        <v>0.16336851363236587</v>
      </c>
      <c r="O47" s="9">
        <f t="shared" si="237"/>
        <v>0.17293376598587518</v>
      </c>
      <c r="P47" s="9">
        <f t="shared" si="237"/>
        <v>0.18490292142986753</v>
      </c>
      <c r="Q47" s="9">
        <f t="shared" si="237"/>
        <v>0.15935672514619884</v>
      </c>
      <c r="R47" s="9">
        <f t="shared" si="237"/>
        <v>0.13361687045897572</v>
      </c>
      <c r="S47" s="9">
        <f>S35/S34</f>
        <v>0.18020793222949558</v>
      </c>
      <c r="T47" s="9">
        <f t="shared" ref="T47:V47" si="238">T35/T34</f>
        <v>0.18292205248726986</v>
      </c>
      <c r="U47" s="9">
        <f t="shared" si="238"/>
        <v>0.18</v>
      </c>
      <c r="V47" s="9">
        <f t="shared" si="238"/>
        <v>0.18</v>
      </c>
      <c r="W47" s="9"/>
      <c r="X47" s="9"/>
      <c r="Y47" s="9"/>
      <c r="Z47" s="9"/>
      <c r="AC47" s="9">
        <f t="shared" ref="AC47:AE47" si="239">AC35/AC34</f>
        <v>0.30848404121851336</v>
      </c>
      <c r="AD47" s="9">
        <f t="shared" si="239"/>
        <v>0.29746555716117629</v>
      </c>
      <c r="AE47" s="9">
        <f t="shared" si="239"/>
        <v>0.18667841170890365</v>
      </c>
      <c r="AF47" s="9">
        <f t="shared" ref="AF47:AG47" si="240">AF35/AF34</f>
        <v>0.16611311222341768</v>
      </c>
      <c r="AG47" s="9">
        <f t="shared" si="240"/>
        <v>0.18305381833739853</v>
      </c>
      <c r="AH47" s="9">
        <f t="shared" ref="AH47:AP47" si="241">AH35/AH34</f>
        <v>0.18</v>
      </c>
      <c r="AI47" s="9">
        <f t="shared" si="241"/>
        <v>0.18</v>
      </c>
      <c r="AJ47" s="9">
        <f t="shared" si="241"/>
        <v>0.18</v>
      </c>
      <c r="AK47" s="9">
        <f t="shared" si="241"/>
        <v>0.18</v>
      </c>
      <c r="AL47" s="9">
        <f t="shared" si="241"/>
        <v>0.18</v>
      </c>
      <c r="AM47" s="9">
        <f t="shared" si="241"/>
        <v>0.18</v>
      </c>
      <c r="AN47" s="9">
        <f t="shared" si="241"/>
        <v>0.18</v>
      </c>
      <c r="AO47" s="9">
        <f t="shared" si="241"/>
        <v>0.18</v>
      </c>
      <c r="AP47" s="9">
        <f t="shared" si="241"/>
        <v>0.18</v>
      </c>
      <c r="AR47" t="s">
        <v>72</v>
      </c>
      <c r="AS47" s="13">
        <v>7.0000000000000007E-2</v>
      </c>
    </row>
    <row r="48" spans="2:74" x14ac:dyDescent="0.2">
      <c r="AR48" t="s">
        <v>73</v>
      </c>
      <c r="AS48" s="3">
        <f>NPV(AS47,AH36:BW36)</f>
        <v>158119.28981809688</v>
      </c>
    </row>
    <row r="49" spans="2:45" s="3" customFormat="1" x14ac:dyDescent="0.2">
      <c r="B49" s="3" t="s">
        <v>53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>
        <f>S50-S66</f>
        <v>4030</v>
      </c>
      <c r="T49" s="4">
        <f>T50-T66</f>
        <v>2489</v>
      </c>
      <c r="U49" s="4">
        <f t="shared" ref="U49:V49" si="242">+T49+U36</f>
        <v>6427.4358919999995</v>
      </c>
      <c r="V49" s="4">
        <f t="shared" si="242"/>
        <v>10037.659076</v>
      </c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>
        <f>+V49</f>
        <v>10037.659076</v>
      </c>
      <c r="AH49" s="3">
        <f>+AG49+AH36</f>
        <v>25977.311848046404</v>
      </c>
      <c r="AI49" s="3">
        <f t="shared" ref="AI49:AP49" si="243">+AH49+AI36</f>
        <v>40903.50221561436</v>
      </c>
      <c r="AJ49" s="3">
        <f t="shared" si="243"/>
        <v>55217.391459203835</v>
      </c>
      <c r="AK49" s="3">
        <f t="shared" si="243"/>
        <v>69190.843046824317</v>
      </c>
      <c r="AL49" s="3">
        <f t="shared" si="243"/>
        <v>82900.385056435291</v>
      </c>
      <c r="AM49" s="3">
        <f t="shared" si="243"/>
        <v>96245.294253751359</v>
      </c>
      <c r="AN49" s="3">
        <f t="shared" si="243"/>
        <v>109383.99398687576</v>
      </c>
      <c r="AO49" s="3">
        <f t="shared" si="243"/>
        <v>122454.2658697032</v>
      </c>
      <c r="AP49" s="3">
        <f t="shared" si="243"/>
        <v>135578.15784666728</v>
      </c>
      <c r="AR49" s="3" t="s">
        <v>75</v>
      </c>
      <c r="AS49" s="3">
        <f>AS48+Main!K5-Main!K6</f>
        <v>160608.28981809688</v>
      </c>
    </row>
    <row r="50" spans="2:45" s="3" customFormat="1" x14ac:dyDescent="0.2">
      <c r="B50" s="3" t="s">
        <v>3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>
        <f>12851+1756+11601</f>
        <v>26208</v>
      </c>
      <c r="T50" s="4">
        <f>6485+2267+15864</f>
        <v>24616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R50" s="3" t="s">
        <v>74</v>
      </c>
      <c r="AS50" s="3">
        <f>AS49/Main!K3</f>
        <v>120.66738528782635</v>
      </c>
    </row>
    <row r="51" spans="2:45" s="3" customFormat="1" x14ac:dyDescent="0.2">
      <c r="B51" s="3" t="s">
        <v>54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>
        <v>5854</v>
      </c>
      <c r="T51" s="4">
        <v>5752</v>
      </c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R51" s="3" t="s">
        <v>76</v>
      </c>
      <c r="AS51" s="3">
        <f>AS50/Main!K2-1</f>
        <v>0.63461643576031368</v>
      </c>
    </row>
    <row r="52" spans="2:45" s="3" customFormat="1" x14ac:dyDescent="0.2">
      <c r="B52" s="3" t="s">
        <v>55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>
        <v>1955</v>
      </c>
      <c r="T52" s="4">
        <v>1862</v>
      </c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2:45" s="3" customFormat="1" x14ac:dyDescent="0.2">
      <c r="B53" s="3" t="s">
        <v>56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>
        <v>828</v>
      </c>
      <c r="T53" s="4">
        <v>835</v>
      </c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2:45" s="3" customFormat="1" x14ac:dyDescent="0.2">
      <c r="B54" s="3" t="s">
        <v>58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>
        <v>1519</v>
      </c>
      <c r="T54" s="4">
        <v>1152</v>
      </c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2:45" s="3" customFormat="1" x14ac:dyDescent="0.2">
      <c r="B55" s="3" t="s">
        <v>57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>
        <v>2276</v>
      </c>
      <c r="T55" s="4">
        <v>2599</v>
      </c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2:45" s="3" customFormat="1" x14ac:dyDescent="0.2">
      <c r="B56" s="3" t="s">
        <v>59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>
        <v>400</v>
      </c>
      <c r="T56" s="4">
        <v>365</v>
      </c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2:45" s="3" customFormat="1" x14ac:dyDescent="0.2">
      <c r="B57" s="3" t="s">
        <v>56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>
        <v>324</v>
      </c>
      <c r="T57" s="4">
        <v>433</v>
      </c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2:45" s="3" customFormat="1" x14ac:dyDescent="0.2">
      <c r="B58" s="3" t="s">
        <v>60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>
        <f>10247+1172</f>
        <v>11419</v>
      </c>
      <c r="T58" s="4">
        <f>9713+1172</f>
        <v>10885</v>
      </c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2:45" s="3" customFormat="1" x14ac:dyDescent="0.2">
      <c r="B59" s="3" t="s">
        <v>61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>
        <v>1056</v>
      </c>
      <c r="T59" s="4">
        <v>1481</v>
      </c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2:45" s="3" customFormat="1" x14ac:dyDescent="0.2">
      <c r="B60" s="3" t="s">
        <v>62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>
        <f>SUM(S50:S59)</f>
        <v>51839</v>
      </c>
      <c r="T60" s="4">
        <f>SUM(T50:T59)</f>
        <v>49980</v>
      </c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2" spans="2:45" s="3" customFormat="1" x14ac:dyDescent="0.2">
      <c r="B62" s="3" t="s">
        <v>63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>
        <v>1178</v>
      </c>
      <c r="T62" s="4">
        <v>1122</v>
      </c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2:45" s="3" customFormat="1" x14ac:dyDescent="0.2">
      <c r="B63" s="3" t="s">
        <v>64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>
        <v>4118</v>
      </c>
      <c r="T63" s="4">
        <v>5447</v>
      </c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2:45" s="3" customFormat="1" x14ac:dyDescent="0.2">
      <c r="B64" s="3" t="s">
        <v>65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>
        <v>3172</v>
      </c>
      <c r="T64" s="4">
        <v>2830</v>
      </c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2:33" s="3" customFormat="1" x14ac:dyDescent="0.2">
      <c r="B65" s="3" t="s">
        <v>66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>
        <v>440</v>
      </c>
      <c r="T65" s="4">
        <v>345</v>
      </c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2:33" s="3" customFormat="1" x14ac:dyDescent="0.2">
      <c r="B66" s="3" t="s">
        <v>5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>
        <f>983+21195</f>
        <v>22178</v>
      </c>
      <c r="T66" s="4">
        <f>21427+700</f>
        <v>22127</v>
      </c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2:33" s="3" customFormat="1" x14ac:dyDescent="0.2">
      <c r="B67" s="3" t="s">
        <v>43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>
        <v>1243</v>
      </c>
      <c r="T67" s="4">
        <v>1527</v>
      </c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2:33" s="3" customFormat="1" x14ac:dyDescent="0.2">
      <c r="B68" s="3" t="s">
        <v>67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>
        <v>395</v>
      </c>
      <c r="T68" s="4">
        <v>467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2:33" s="3" customFormat="1" x14ac:dyDescent="0.2">
      <c r="B69" s="3" t="s">
        <v>68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>
        <f>19113+2</f>
        <v>19115</v>
      </c>
      <c r="T69" s="4">
        <v>16115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2:33" s="3" customFormat="1" x14ac:dyDescent="0.2">
      <c r="B70" s="3" t="s">
        <v>69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>
        <f>SUM(S62:S69)</f>
        <v>51839</v>
      </c>
      <c r="T70" s="4">
        <f>SUM(T62:T69)</f>
        <v>49980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</sheetData>
  <hyperlinks>
    <hyperlink ref="A1" location="Main!A1" display="Main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"/>
  <sheetViews>
    <sheetView workbookViewId="0">
      <selection activeCell="C13" sqref="C13"/>
    </sheetView>
  </sheetViews>
  <sheetFormatPr defaultRowHeight="12.75" x14ac:dyDescent="0.2"/>
  <cols>
    <col min="2" max="2" width="12" bestFit="1" customWidth="1"/>
  </cols>
  <sheetData>
    <row r="3" spans="2:3" x14ac:dyDescent="0.2">
      <c r="B3">
        <v>20160194335</v>
      </c>
      <c r="C3" t="s">
        <v>140</v>
      </c>
    </row>
    <row r="4" spans="2:3" x14ac:dyDescent="0.2">
      <c r="B4">
        <v>20160185877</v>
      </c>
      <c r="C4" t="s">
        <v>141</v>
      </c>
    </row>
    <row r="5" spans="2:3" x14ac:dyDescent="0.2">
      <c r="B5">
        <v>20160176885</v>
      </c>
      <c r="C5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2016-05-04T03:40:10Z</dcterms:created>
  <dcterms:modified xsi:type="dcterms:W3CDTF">2016-10-12T06:39:44Z</dcterms:modified>
</cp:coreProperties>
</file>