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900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7" i="2" l="1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K47" i="2"/>
  <c r="K46" i="2"/>
  <c r="K51" i="2" s="1"/>
  <c r="K41" i="2"/>
  <c r="K38" i="2"/>
  <c r="K37" i="2"/>
  <c r="K34" i="2"/>
  <c r="K30" i="2"/>
  <c r="K29" i="2" s="1"/>
  <c r="L29" i="2" s="1"/>
  <c r="M29" i="2" s="1"/>
  <c r="N29" i="2" s="1"/>
  <c r="J29" i="2"/>
  <c r="J47" i="2"/>
  <c r="J46" i="2"/>
  <c r="J41" i="2"/>
  <c r="J51" i="2" s="1"/>
  <c r="J37" i="2"/>
  <c r="J34" i="2"/>
  <c r="J30" i="2"/>
  <c r="J38" i="2" s="1"/>
  <c r="K5" i="2"/>
  <c r="K18" i="2"/>
  <c r="U53" i="2" l="1"/>
  <c r="V53" i="2" s="1"/>
  <c r="W53" i="2" s="1"/>
  <c r="X53" i="2" s="1"/>
  <c r="Y53" i="2" s="1"/>
  <c r="Z53" i="2" s="1"/>
  <c r="T11" i="2"/>
  <c r="T8" i="2"/>
  <c r="U8" i="2" s="1"/>
  <c r="T6" i="2"/>
  <c r="U6" i="2" s="1"/>
  <c r="N18" i="2"/>
  <c r="M18" i="2"/>
  <c r="L18" i="2"/>
  <c r="C25" i="2"/>
  <c r="K16" i="2"/>
  <c r="L16" i="2" s="1"/>
  <c r="N6" i="2"/>
  <c r="N9" i="2" s="1"/>
  <c r="M6" i="2"/>
  <c r="M9" i="2" s="1"/>
  <c r="L6" i="2"/>
  <c r="L9" i="2" s="1"/>
  <c r="K20" i="2"/>
  <c r="N7" i="2"/>
  <c r="N21" i="2" s="1"/>
  <c r="M7" i="2"/>
  <c r="M21" i="2" s="1"/>
  <c r="L7" i="2"/>
  <c r="L21" i="2" s="1"/>
  <c r="K21" i="2"/>
  <c r="N8" i="2"/>
  <c r="N22" i="2" s="1"/>
  <c r="M8" i="2"/>
  <c r="M22" i="2" s="1"/>
  <c r="L8" i="2"/>
  <c r="L22" i="2" s="1"/>
  <c r="K22" i="2"/>
  <c r="J22" i="2"/>
  <c r="I22" i="2"/>
  <c r="H22" i="2"/>
  <c r="G22" i="2"/>
  <c r="I21" i="2"/>
  <c r="H21" i="2"/>
  <c r="G21" i="2"/>
  <c r="I20" i="2"/>
  <c r="H20" i="2"/>
  <c r="G20" i="2"/>
  <c r="J20" i="2"/>
  <c r="J21" i="2"/>
  <c r="N3" i="2"/>
  <c r="M3" i="2"/>
  <c r="L3" i="2"/>
  <c r="C9" i="2"/>
  <c r="C5" i="2"/>
  <c r="C10" i="2" s="1"/>
  <c r="C12" i="2" s="1"/>
  <c r="C14" i="2" s="1"/>
  <c r="C15" i="2" s="1"/>
  <c r="G18" i="2"/>
  <c r="G9" i="2"/>
  <c r="G5" i="2"/>
  <c r="G25" i="2" s="1"/>
  <c r="D5" i="2"/>
  <c r="D25" i="2" s="1"/>
  <c r="D9" i="2"/>
  <c r="H18" i="2"/>
  <c r="H9" i="2"/>
  <c r="H5" i="2"/>
  <c r="H25" i="2" s="1"/>
  <c r="T62" i="2"/>
  <c r="E9" i="2"/>
  <c r="E5" i="2"/>
  <c r="E25" i="2" s="1"/>
  <c r="I18" i="2"/>
  <c r="I9" i="2"/>
  <c r="I5" i="2"/>
  <c r="I25" i="2" s="1"/>
  <c r="M16" i="2" l="1"/>
  <c r="N16" i="2" s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V8" i="2"/>
  <c r="U22" i="2"/>
  <c r="N4" i="2"/>
  <c r="U20" i="2"/>
  <c r="V6" i="2"/>
  <c r="C27" i="2"/>
  <c r="T7" i="2"/>
  <c r="U7" i="2" s="1"/>
  <c r="L20" i="2"/>
  <c r="T9" i="2"/>
  <c r="C26" i="2"/>
  <c r="M20" i="2"/>
  <c r="N20" i="2"/>
  <c r="K25" i="2"/>
  <c r="K9" i="2"/>
  <c r="L5" i="2"/>
  <c r="M5" i="2"/>
  <c r="N5" i="2"/>
  <c r="G10" i="2"/>
  <c r="D10" i="2"/>
  <c r="H10" i="2"/>
  <c r="E10" i="2"/>
  <c r="I10" i="2"/>
  <c r="J18" i="2"/>
  <c r="F9" i="2"/>
  <c r="F5" i="2"/>
  <c r="F25" i="2" s="1"/>
  <c r="V20" i="2" l="1"/>
  <c r="W6" i="2"/>
  <c r="M10" i="2"/>
  <c r="M25" i="2"/>
  <c r="W8" i="2"/>
  <c r="V22" i="2"/>
  <c r="V7" i="2"/>
  <c r="U21" i="2"/>
  <c r="L10" i="2"/>
  <c r="L25" i="2"/>
  <c r="M4" i="2"/>
  <c r="K10" i="2"/>
  <c r="L4" i="2"/>
  <c r="T4" i="2" s="1"/>
  <c r="U9" i="2"/>
  <c r="N10" i="2"/>
  <c r="N25" i="2"/>
  <c r="G12" i="2"/>
  <c r="G26" i="2"/>
  <c r="D12" i="2"/>
  <c r="D26" i="2"/>
  <c r="E12" i="2"/>
  <c r="E26" i="2"/>
  <c r="H26" i="2"/>
  <c r="H12" i="2"/>
  <c r="I26" i="2"/>
  <c r="I12" i="2"/>
  <c r="F10" i="2"/>
  <c r="J9" i="2"/>
  <c r="J5" i="2"/>
  <c r="J25" i="2" s="1"/>
  <c r="L12" i="2" l="1"/>
  <c r="L26" i="2"/>
  <c r="M12" i="2"/>
  <c r="M26" i="2"/>
  <c r="W7" i="2"/>
  <c r="V21" i="2"/>
  <c r="X8" i="2"/>
  <c r="W22" i="2"/>
  <c r="X6" i="2"/>
  <c r="W20" i="2"/>
  <c r="W9" i="2"/>
  <c r="K12" i="2"/>
  <c r="K26" i="2"/>
  <c r="N26" i="2"/>
  <c r="N12" i="2"/>
  <c r="V9" i="2"/>
  <c r="G27" i="2"/>
  <c r="G14" i="2"/>
  <c r="G15" i="2" s="1"/>
  <c r="D14" i="2"/>
  <c r="D15" i="2" s="1"/>
  <c r="D27" i="2"/>
  <c r="E14" i="2"/>
  <c r="E15" i="2" s="1"/>
  <c r="E27" i="2"/>
  <c r="H27" i="2"/>
  <c r="H14" i="2"/>
  <c r="H15" i="2" s="1"/>
  <c r="J10" i="2"/>
  <c r="J12" i="2" s="1"/>
  <c r="F12" i="2"/>
  <c r="F26" i="2"/>
  <c r="I27" i="2"/>
  <c r="I14" i="2"/>
  <c r="I15" i="2" s="1"/>
  <c r="T3" i="2"/>
  <c r="R18" i="2"/>
  <c r="S18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J4" i="1"/>
  <c r="J7" i="1" s="1"/>
  <c r="X7" i="2" l="1"/>
  <c r="W21" i="2"/>
  <c r="J26" i="2"/>
  <c r="M13" i="2"/>
  <c r="M27" i="2" s="1"/>
  <c r="M14" i="2"/>
  <c r="M15" i="2" s="1"/>
  <c r="N13" i="2"/>
  <c r="N27" i="2" s="1"/>
  <c r="K14" i="2"/>
  <c r="Y8" i="2"/>
  <c r="X22" i="2"/>
  <c r="T18" i="2"/>
  <c r="U3" i="2"/>
  <c r="T5" i="2"/>
  <c r="T54" i="2"/>
  <c r="Y6" i="2"/>
  <c r="X20" i="2"/>
  <c r="X9" i="2"/>
  <c r="L13" i="2"/>
  <c r="L27" i="2" s="1"/>
  <c r="J14" i="2"/>
  <c r="J15" i="2" s="1"/>
  <c r="J27" i="2"/>
  <c r="F14" i="2"/>
  <c r="F15" i="2" s="1"/>
  <c r="F27" i="2"/>
  <c r="T59" i="2" l="1"/>
  <c r="T67" i="2"/>
  <c r="U54" i="2"/>
  <c r="U67" i="2" s="1"/>
  <c r="V3" i="2"/>
  <c r="U5" i="2"/>
  <c r="U10" i="2" s="1"/>
  <c r="U18" i="2"/>
  <c r="K27" i="2"/>
  <c r="T13" i="2"/>
  <c r="T25" i="2"/>
  <c r="T10" i="2"/>
  <c r="Z8" i="2"/>
  <c r="Y22" i="2"/>
  <c r="N14" i="2"/>
  <c r="N15" i="2" s="1"/>
  <c r="L14" i="2"/>
  <c r="L15" i="2" s="1"/>
  <c r="Y7" i="2"/>
  <c r="Y9" i="2" s="1"/>
  <c r="X21" i="2"/>
  <c r="K15" i="2"/>
  <c r="Z6" i="2"/>
  <c r="Y20" i="2"/>
  <c r="V54" i="2" l="1"/>
  <c r="V67" i="2" s="1"/>
  <c r="W3" i="2"/>
  <c r="V18" i="2"/>
  <c r="V5" i="2"/>
  <c r="V10" i="2" s="1"/>
  <c r="AA6" i="2"/>
  <c r="Z20" i="2"/>
  <c r="AA8" i="2"/>
  <c r="Z22" i="2"/>
  <c r="T26" i="2"/>
  <c r="T12" i="2"/>
  <c r="Z7" i="2"/>
  <c r="Z9" i="2" s="1"/>
  <c r="Y21" i="2"/>
  <c r="T30" i="2"/>
  <c r="T64" i="2"/>
  <c r="T65" i="2" s="1"/>
  <c r="T60" i="2"/>
  <c r="T27" i="2" l="1"/>
  <c r="T14" i="2"/>
  <c r="T15" i="2" s="1"/>
  <c r="AA7" i="2"/>
  <c r="Z21" i="2"/>
  <c r="AB6" i="2"/>
  <c r="AA20" i="2"/>
  <c r="AA9" i="2"/>
  <c r="W54" i="2"/>
  <c r="W67" i="2" s="1"/>
  <c r="X3" i="2"/>
  <c r="W5" i="2"/>
  <c r="W10" i="2" s="1"/>
  <c r="W18" i="2"/>
  <c r="U11" i="2"/>
  <c r="U12" i="2" s="1"/>
  <c r="U13" i="2" s="1"/>
  <c r="U14" i="2" s="1"/>
  <c r="U15" i="2" s="1"/>
  <c r="AB8" i="2"/>
  <c r="AA22" i="2"/>
  <c r="X54" i="2" l="1"/>
  <c r="X67" i="2" s="1"/>
  <c r="Y3" i="2"/>
  <c r="X5" i="2"/>
  <c r="X10" i="2" s="1"/>
  <c r="X18" i="2"/>
  <c r="AC8" i="2"/>
  <c r="AB22" i="2"/>
  <c r="AC6" i="2"/>
  <c r="AB20" i="2"/>
  <c r="U30" i="2"/>
  <c r="AB7" i="2"/>
  <c r="AA21" i="2"/>
  <c r="AD6" i="2" l="1"/>
  <c r="AC20" i="2"/>
  <c r="AC7" i="2"/>
  <c r="AB21" i="2"/>
  <c r="AD8" i="2"/>
  <c r="AC22" i="2"/>
  <c r="Z3" i="2"/>
  <c r="Y54" i="2"/>
  <c r="Y67" i="2" s="1"/>
  <c r="Y18" i="2"/>
  <c r="Y5" i="2"/>
  <c r="Y10" i="2" s="1"/>
  <c r="V11" i="2"/>
  <c r="V12" i="2" s="1"/>
  <c r="V13" i="2" s="1"/>
  <c r="V14" i="2" s="1"/>
  <c r="V15" i="2" s="1"/>
  <c r="AB9" i="2"/>
  <c r="Z54" i="2" l="1"/>
  <c r="Z67" i="2" s="1"/>
  <c r="AA3" i="2"/>
  <c r="Z5" i="2"/>
  <c r="Z10" i="2" s="1"/>
  <c r="Z18" i="2"/>
  <c r="AD7" i="2"/>
  <c r="AC21" i="2"/>
  <c r="AC9" i="2"/>
  <c r="V30" i="2"/>
  <c r="AE8" i="2"/>
  <c r="AD22" i="2"/>
  <c r="AE6" i="2"/>
  <c r="AD20" i="2"/>
  <c r="AD9" i="2"/>
  <c r="W11" i="2" l="1"/>
  <c r="W12" i="2" s="1"/>
  <c r="W13" i="2" s="1"/>
  <c r="W14" i="2" s="1"/>
  <c r="W15" i="2" s="1"/>
  <c r="AF6" i="2"/>
  <c r="AE20" i="2"/>
  <c r="AF8" i="2"/>
  <c r="AE22" i="2"/>
  <c r="AE7" i="2"/>
  <c r="AE9" i="2" s="1"/>
  <c r="AD21" i="2"/>
  <c r="AB3" i="2"/>
  <c r="AA18" i="2"/>
  <c r="AA5" i="2"/>
  <c r="AA10" i="2" s="1"/>
  <c r="W30" i="2" l="1"/>
  <c r="AC3" i="2"/>
  <c r="AB5" i="2"/>
  <c r="AB10" i="2" s="1"/>
  <c r="AB18" i="2"/>
  <c r="AF7" i="2"/>
  <c r="AE21" i="2"/>
  <c r="AG8" i="2"/>
  <c r="AF22" i="2"/>
  <c r="AG6" i="2"/>
  <c r="AF9" i="2"/>
  <c r="AF20" i="2"/>
  <c r="AH6" i="2" l="1"/>
  <c r="AG20" i="2"/>
  <c r="AG7" i="2"/>
  <c r="AF21" i="2"/>
  <c r="X11" i="2"/>
  <c r="X12" i="2" s="1"/>
  <c r="X13" i="2" s="1"/>
  <c r="X14" i="2" s="1"/>
  <c r="X15" i="2" s="1"/>
  <c r="AH8" i="2"/>
  <c r="AH22" i="2" s="1"/>
  <c r="AG22" i="2"/>
  <c r="AD3" i="2"/>
  <c r="AC18" i="2"/>
  <c r="AC5" i="2"/>
  <c r="AC10" i="2" s="1"/>
  <c r="AE3" i="2" l="1"/>
  <c r="AD18" i="2"/>
  <c r="AD5" i="2"/>
  <c r="AD10" i="2" s="1"/>
  <c r="X30" i="2"/>
  <c r="AH20" i="2"/>
  <c r="AH7" i="2"/>
  <c r="AH21" i="2" s="1"/>
  <c r="AG21" i="2"/>
  <c r="AG9" i="2"/>
  <c r="Y11" i="2" l="1"/>
  <c r="Y12" i="2" s="1"/>
  <c r="Y13" i="2" s="1"/>
  <c r="Y14" i="2" s="1"/>
  <c r="Y15" i="2" s="1"/>
  <c r="AH9" i="2"/>
  <c r="AF3" i="2"/>
  <c r="AE18" i="2"/>
  <c r="AE5" i="2"/>
  <c r="AE10" i="2" s="1"/>
  <c r="AG3" i="2" l="1"/>
  <c r="AF5" i="2"/>
  <c r="AF10" i="2" s="1"/>
  <c r="AF18" i="2"/>
  <c r="Y30" i="2"/>
  <c r="Z11" i="2" l="1"/>
  <c r="Z12" i="2" s="1"/>
  <c r="Z13" i="2" s="1"/>
  <c r="Z14" i="2" s="1"/>
  <c r="Z15" i="2" s="1"/>
  <c r="AH3" i="2"/>
  <c r="AG18" i="2"/>
  <c r="AG5" i="2"/>
  <c r="AG10" i="2" s="1"/>
  <c r="AH18" i="2" l="1"/>
  <c r="AH5" i="2"/>
  <c r="AH10" i="2" s="1"/>
  <c r="Z30" i="2"/>
  <c r="AA11" i="2" l="1"/>
  <c r="AA12" i="2" s="1"/>
  <c r="AA13" i="2" s="1"/>
  <c r="AA14" i="2" s="1"/>
  <c r="AA15" i="2" s="1"/>
  <c r="AA30" i="2" l="1"/>
  <c r="AB11" i="2" l="1"/>
  <c r="AB12" i="2" s="1"/>
  <c r="AB13" i="2" s="1"/>
  <c r="AB14" i="2" s="1"/>
  <c r="AB15" i="2" s="1"/>
  <c r="AB30" i="2" l="1"/>
  <c r="AC11" i="2" l="1"/>
  <c r="AC12" i="2" s="1"/>
  <c r="AC13" i="2" s="1"/>
  <c r="AC14" i="2" s="1"/>
  <c r="AC15" i="2" s="1"/>
  <c r="AC30" i="2" l="1"/>
  <c r="AD11" i="2" l="1"/>
  <c r="AD12" i="2" s="1"/>
  <c r="AD13" i="2" s="1"/>
  <c r="AD14" i="2" s="1"/>
  <c r="AD15" i="2" s="1"/>
  <c r="AD30" i="2" l="1"/>
  <c r="AE11" i="2" l="1"/>
  <c r="AE12" i="2" s="1"/>
  <c r="AE13" i="2" s="1"/>
  <c r="AE14" i="2" s="1"/>
  <c r="AE15" i="2" s="1"/>
  <c r="AE30" i="2" l="1"/>
  <c r="AF11" i="2" l="1"/>
  <c r="AF12" i="2" s="1"/>
  <c r="AF13" i="2" s="1"/>
  <c r="AF14" i="2" s="1"/>
  <c r="AF15" i="2" s="1"/>
  <c r="AF30" i="2" l="1"/>
  <c r="AG11" i="2" l="1"/>
  <c r="AG12" i="2" s="1"/>
  <c r="AG13" i="2" s="1"/>
  <c r="AG14" i="2" s="1"/>
  <c r="AG15" i="2" s="1"/>
  <c r="AG30" i="2" l="1"/>
  <c r="AH11" i="2" l="1"/>
  <c r="AH12" i="2" s="1"/>
  <c r="AH13" i="2" s="1"/>
  <c r="AH14" i="2" s="1"/>
  <c r="AH30" i="2" s="1"/>
  <c r="AH15" i="2" l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AK20" i="2" s="1"/>
  <c r="AK21" i="2" s="1"/>
  <c r="AK23" i="2" s="1"/>
</calcChain>
</file>

<file path=xl/sharedStrings.xml><?xml version="1.0" encoding="utf-8"?>
<sst xmlns="http://schemas.openxmlformats.org/spreadsheetml/2006/main" count="86" uniqueCount="76">
  <si>
    <t>Price</t>
  </si>
  <si>
    <t>Shares</t>
  </si>
  <si>
    <t>MC</t>
  </si>
  <si>
    <t>Cash</t>
  </si>
  <si>
    <t>Debt</t>
  </si>
  <si>
    <t>EV</t>
  </si>
  <si>
    <t>Q415</t>
  </si>
  <si>
    <t>Revenue</t>
  </si>
  <si>
    <t>Revenue y/y</t>
  </si>
  <si>
    <t>Q114</t>
  </si>
  <si>
    <t>Q214</t>
  </si>
  <si>
    <t>Q314</t>
  </si>
  <si>
    <t>Q414</t>
  </si>
  <si>
    <t>Q115</t>
  </si>
  <si>
    <t>Q216</t>
  </si>
  <si>
    <t>Q215</t>
  </si>
  <si>
    <t>Q315</t>
  </si>
  <si>
    <t>Q116</t>
  </si>
  <si>
    <t>Q316</t>
  </si>
  <si>
    <t>Q416</t>
  </si>
  <si>
    <t>Gross Margin</t>
  </si>
  <si>
    <t>COGS</t>
  </si>
  <si>
    <t>Gross Profit</t>
  </si>
  <si>
    <t>R&amp;D</t>
  </si>
  <si>
    <t>S&amp;M</t>
  </si>
  <si>
    <t>G&amp;A</t>
  </si>
  <si>
    <t>Operating Profit</t>
  </si>
  <si>
    <t>Operating Margin</t>
  </si>
  <si>
    <t>Net Income</t>
  </si>
  <si>
    <t>Taxes</t>
  </si>
  <si>
    <t>Pretax Income</t>
  </si>
  <si>
    <t>Interest Income</t>
  </si>
  <si>
    <t>EPS</t>
  </si>
  <si>
    <t>Revenue LC</t>
  </si>
  <si>
    <t>Google Revenue</t>
  </si>
  <si>
    <t>WPP Revenue</t>
  </si>
  <si>
    <t>Omnicom Revenue</t>
  </si>
  <si>
    <t>Global Advertising Revenue</t>
  </si>
  <si>
    <t>Google Market Share</t>
  </si>
  <si>
    <t>Total Modeled Revenue</t>
  </si>
  <si>
    <t>Google+FB+YHOO Revenue</t>
  </si>
  <si>
    <t>YHOO Revenue</t>
  </si>
  <si>
    <t>FB Revenue</t>
  </si>
  <si>
    <t>BIDU Revenue</t>
  </si>
  <si>
    <t>Internet Share</t>
  </si>
  <si>
    <t>Total Modeled Share</t>
  </si>
  <si>
    <t>TWTR Revenue</t>
  </si>
  <si>
    <t>R&amp;D y/y</t>
  </si>
  <si>
    <t>G&amp;A y/y</t>
  </si>
  <si>
    <t>S&amp;M y/y</t>
  </si>
  <si>
    <t>Maturity</t>
  </si>
  <si>
    <t>Discount</t>
  </si>
  <si>
    <t>NPV</t>
  </si>
  <si>
    <t>ROIC</t>
  </si>
  <si>
    <t>Share</t>
  </si>
  <si>
    <t>Current</t>
  </si>
  <si>
    <t>Return</t>
  </si>
  <si>
    <t>Main</t>
  </si>
  <si>
    <t>A/R</t>
  </si>
  <si>
    <t>Repo AR</t>
  </si>
  <si>
    <t>Taxes Receivable</t>
  </si>
  <si>
    <t>Prepaid Revenue Share</t>
  </si>
  <si>
    <t>D/T</t>
  </si>
  <si>
    <t>PP&amp;E</t>
  </si>
  <si>
    <t>Goodwill</t>
  </si>
  <si>
    <t>Assets</t>
  </si>
  <si>
    <t>A/P</t>
  </si>
  <si>
    <t>Comp</t>
  </si>
  <si>
    <t>AE</t>
  </si>
  <si>
    <t>Accrued Revenue Share</t>
  </si>
  <si>
    <t>Securities Lending</t>
  </si>
  <si>
    <t>D/R</t>
  </si>
  <si>
    <t>OLTL</t>
  </si>
  <si>
    <t>S/E</t>
  </si>
  <si>
    <t>L+S/E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</si>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</sst>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69</xdr:row>
      <xdr:rowOff>95250</xdr:rowOff>
    </xdr:to>
    <xdr:cxnSp macro="">
      <xdr:nvCxnSpPr>
        <xdr:cNvPr id="3" name="Straight Connector 2"/>
        <xdr:cNvCxnSpPr/>
      </xdr:nvCxnSpPr>
      <xdr:spPr>
        <a:xfrm>
          <a:off x="7962900" y="0"/>
          <a:ext cx="0" cy="851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0</xdr:row>
      <xdr:rowOff>28575</xdr:rowOff>
    </xdr:from>
    <xdr:to>
      <xdr:col>19</xdr:col>
      <xdr:colOff>47625</xdr:colOff>
      <xdr:row>75</xdr:row>
      <xdr:rowOff>38100</xdr:rowOff>
    </xdr:to>
    <xdr:cxnSp macro="">
      <xdr:nvCxnSpPr>
        <xdr:cNvPr id="5" name="Straight Connector 4"/>
        <xdr:cNvCxnSpPr/>
      </xdr:nvCxnSpPr>
      <xdr:spPr>
        <a:xfrm>
          <a:off x="12849225" y="28575"/>
          <a:ext cx="0" cy="826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8"/>
  <sheetViews>
    <sheetView workbookViewId="0">
      <selection activeCell="B3" sqref="B3"/>
    </sheetView>
  </sheetViews>
  <sheetFormatPr defaultRowHeight="12.75" x14ac:dyDescent="0.2"/>
  <sheetData>
    <row r="2" spans="9:11" x14ac:dyDescent="0.2">
      <c r="I2" t="s">
        <v>0</v>
      </c>
      <c r="J2" s="1">
        <v>691.02</v>
      </c>
    </row>
    <row r="3" spans="9:11" x14ac:dyDescent="0.2">
      <c r="I3" t="s">
        <v>1</v>
      </c>
      <c r="J3" s="2">
        <v>686.79200000000003</v>
      </c>
      <c r="K3" s="3" t="s">
        <v>17</v>
      </c>
    </row>
    <row r="4" spans="9:11" x14ac:dyDescent="0.2">
      <c r="I4" t="s">
        <v>2</v>
      </c>
      <c r="J4" s="2">
        <f>+J3*J2</f>
        <v>474587.00784000003</v>
      </c>
      <c r="K4" s="3"/>
    </row>
    <row r="5" spans="9:11" x14ac:dyDescent="0.2">
      <c r="I5" t="s">
        <v>3</v>
      </c>
      <c r="J5" s="2">
        <v>80841</v>
      </c>
      <c r="K5" s="3" t="s">
        <v>17</v>
      </c>
    </row>
    <row r="6" spans="9:11" x14ac:dyDescent="0.2">
      <c r="I6" t="s">
        <v>4</v>
      </c>
      <c r="J6" s="2">
        <v>5208</v>
      </c>
      <c r="K6" s="3" t="s">
        <v>17</v>
      </c>
    </row>
    <row r="7" spans="9:11" x14ac:dyDescent="0.2">
      <c r="I7" t="s">
        <v>5</v>
      </c>
      <c r="J7" s="2">
        <f>+J4-J5+J6</f>
        <v>398954.00784000003</v>
      </c>
    </row>
    <row r="8" spans="9:11" x14ac:dyDescent="0.2">
      <c r="J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RowHeight="12.75" x14ac:dyDescent="0.2"/>
  <cols>
    <col min="1" max="1" width="5" bestFit="1" customWidth="1"/>
    <col min="2" max="2" width="27.42578125" customWidth="1"/>
    <col min="3" max="14" width="9.140625" style="3"/>
    <col min="37" max="37" width="10.5703125" customWidth="1"/>
  </cols>
  <sheetData>
    <row r="1" spans="1:111" x14ac:dyDescent="0.2">
      <c r="A1" s="17" t="s">
        <v>57</v>
      </c>
    </row>
    <row r="2" spans="1:11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15</v>
      </c>
      <c r="I2" s="3" t="s">
        <v>16</v>
      </c>
      <c r="J2" s="3" t="s">
        <v>6</v>
      </c>
      <c r="K2" s="3" t="s">
        <v>17</v>
      </c>
      <c r="L2" s="3" t="s">
        <v>14</v>
      </c>
      <c r="M2" s="3" t="s">
        <v>18</v>
      </c>
      <c r="N2" s="3" t="s">
        <v>19</v>
      </c>
      <c r="Q2">
        <v>2013</v>
      </c>
      <c r="R2">
        <f>+Q2+1</f>
        <v>2014</v>
      </c>
      <c r="S2">
        <f t="shared" ref="S2:AH2" si="0">+R2+1</f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f t="shared" si="0"/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</row>
    <row r="3" spans="1:111" s="7" customFormat="1" x14ac:dyDescent="0.2">
      <c r="B3" s="7" t="s">
        <v>7</v>
      </c>
      <c r="C3" s="8">
        <v>15420</v>
      </c>
      <c r="D3" s="8">
        <v>15955</v>
      </c>
      <c r="E3" s="8">
        <v>16523</v>
      </c>
      <c r="F3" s="8">
        <v>18103</v>
      </c>
      <c r="G3" s="8">
        <v>17258</v>
      </c>
      <c r="H3" s="8">
        <v>17727</v>
      </c>
      <c r="I3" s="8">
        <v>18675</v>
      </c>
      <c r="J3" s="8">
        <v>21329</v>
      </c>
      <c r="K3" s="8">
        <v>20257</v>
      </c>
      <c r="L3" s="8">
        <f t="shared" ref="L3:N3" si="1">+H3*1.15</f>
        <v>20386.05</v>
      </c>
      <c r="M3" s="8">
        <f t="shared" si="1"/>
        <v>21476.25</v>
      </c>
      <c r="N3" s="8">
        <f t="shared" si="1"/>
        <v>24528.35</v>
      </c>
      <c r="Q3" s="7">
        <v>55519</v>
      </c>
      <c r="R3" s="7">
        <v>66001</v>
      </c>
      <c r="S3" s="7">
        <v>74989</v>
      </c>
      <c r="T3" s="7">
        <f>+S3*1.18</f>
        <v>88487.01999999999</v>
      </c>
      <c r="U3" s="7">
        <f>+T3*1.1</f>
        <v>97335.721999999994</v>
      </c>
      <c r="V3" s="7">
        <f>+U3*1.1</f>
        <v>107069.2942</v>
      </c>
      <c r="W3" s="7">
        <f>+V3*1.05</f>
        <v>112422.75891</v>
      </c>
      <c r="X3" s="7">
        <f>+W3*1.03</f>
        <v>115795.44167730001</v>
      </c>
      <c r="Y3" s="7">
        <f>+X3*1.01</f>
        <v>116953.39609407302</v>
      </c>
      <c r="Z3" s="7">
        <f>+Y3*1.01</f>
        <v>118122.93005501376</v>
      </c>
      <c r="AA3" s="7">
        <f t="shared" ref="AA3:AH3" si="2">+Z3*0.98</f>
        <v>115760.47145391347</v>
      </c>
      <c r="AB3" s="7">
        <f t="shared" si="2"/>
        <v>113445.2620248352</v>
      </c>
      <c r="AC3" s="7">
        <f t="shared" si="2"/>
        <v>111176.3567843385</v>
      </c>
      <c r="AD3" s="7">
        <f t="shared" si="2"/>
        <v>108952.82964865172</v>
      </c>
      <c r="AE3" s="7">
        <f t="shared" si="2"/>
        <v>106773.77305567868</v>
      </c>
      <c r="AF3" s="7">
        <f t="shared" si="2"/>
        <v>104638.29759456511</v>
      </c>
      <c r="AG3" s="7">
        <f t="shared" si="2"/>
        <v>102545.53164267381</v>
      </c>
      <c r="AH3" s="7">
        <f t="shared" si="2"/>
        <v>100494.62100982033</v>
      </c>
    </row>
    <row r="4" spans="1:111" s="2" customFormat="1" x14ac:dyDescent="0.2">
      <c r="B4" s="2" t="s">
        <v>21</v>
      </c>
      <c r="C4" s="5">
        <v>5961</v>
      </c>
      <c r="D4" s="5">
        <v>6114</v>
      </c>
      <c r="E4" s="5">
        <v>6695</v>
      </c>
      <c r="F4" s="5">
        <v>6921</v>
      </c>
      <c r="G4" s="5">
        <v>6356</v>
      </c>
      <c r="H4" s="5">
        <v>6583</v>
      </c>
      <c r="I4" s="5">
        <v>7037</v>
      </c>
      <c r="J4" s="5">
        <v>8188</v>
      </c>
      <c r="K4" s="5">
        <v>7648</v>
      </c>
      <c r="L4" s="5">
        <f t="shared" ref="L4:N4" si="3">+L3-L5</f>
        <v>7746.6990000000005</v>
      </c>
      <c r="M4" s="5">
        <f t="shared" si="3"/>
        <v>8160.9750000000004</v>
      </c>
      <c r="N4" s="5">
        <f t="shared" si="3"/>
        <v>9320.7729999999992</v>
      </c>
      <c r="T4" s="2">
        <f>SUM(K4:N4)</f>
        <v>32876.447</v>
      </c>
    </row>
    <row r="5" spans="1:111" s="2" customFormat="1" x14ac:dyDescent="0.2">
      <c r="B5" s="2" t="s">
        <v>22</v>
      </c>
      <c r="C5" s="5">
        <f t="shared" ref="C5:J5" si="4">+C3-C4</f>
        <v>9459</v>
      </c>
      <c r="D5" s="5">
        <f t="shared" si="4"/>
        <v>9841</v>
      </c>
      <c r="E5" s="5">
        <f t="shared" si="4"/>
        <v>9828</v>
      </c>
      <c r="F5" s="5">
        <f t="shared" si="4"/>
        <v>11182</v>
      </c>
      <c r="G5" s="5">
        <f t="shared" si="4"/>
        <v>10902</v>
      </c>
      <c r="H5" s="5">
        <f t="shared" si="4"/>
        <v>11144</v>
      </c>
      <c r="I5" s="5">
        <f t="shared" si="4"/>
        <v>11638</v>
      </c>
      <c r="J5" s="5">
        <f t="shared" si="4"/>
        <v>13141</v>
      </c>
      <c r="K5" s="5">
        <f>+K3-K4</f>
        <v>12609</v>
      </c>
      <c r="L5" s="5">
        <f t="shared" ref="L5:N5" si="5">+L3*0.62</f>
        <v>12639.350999999999</v>
      </c>
      <c r="M5" s="5">
        <f t="shared" si="5"/>
        <v>13315.275</v>
      </c>
      <c r="N5" s="5">
        <f t="shared" si="5"/>
        <v>15207.576999999999</v>
      </c>
      <c r="T5" s="2">
        <f>T3-T4</f>
        <v>55610.572999999989</v>
      </c>
      <c r="U5" s="2">
        <f>+U3*0.63</f>
        <v>61321.504859999994</v>
      </c>
      <c r="V5" s="2">
        <f t="shared" ref="V5:AH5" si="6">+V3*0.63</f>
        <v>67453.655346</v>
      </c>
      <c r="W5" s="2">
        <f t="shared" si="6"/>
        <v>70826.338113300008</v>
      </c>
      <c r="X5" s="2">
        <f t="shared" si="6"/>
        <v>72951.128256699012</v>
      </c>
      <c r="Y5" s="2">
        <f t="shared" si="6"/>
        <v>73680.639539266005</v>
      </c>
      <c r="Z5" s="2">
        <f t="shared" si="6"/>
        <v>74417.445934658666</v>
      </c>
      <c r="AA5" s="2">
        <f t="shared" si="6"/>
        <v>72929.097015965483</v>
      </c>
      <c r="AB5" s="2">
        <f t="shared" si="6"/>
        <v>71470.515075646181</v>
      </c>
      <c r="AC5" s="2">
        <f t="shared" si="6"/>
        <v>70041.104774133259</v>
      </c>
      <c r="AD5" s="2">
        <f t="shared" si="6"/>
        <v>68640.28267865059</v>
      </c>
      <c r="AE5" s="2">
        <f t="shared" si="6"/>
        <v>67267.477025077576</v>
      </c>
      <c r="AF5" s="2">
        <f t="shared" si="6"/>
        <v>65922.12748457602</v>
      </c>
      <c r="AG5" s="2">
        <f t="shared" si="6"/>
        <v>64603.684934884506</v>
      </c>
      <c r="AH5" s="2">
        <f t="shared" si="6"/>
        <v>63311.611236186807</v>
      </c>
    </row>
    <row r="6" spans="1:111" s="2" customFormat="1" x14ac:dyDescent="0.2">
      <c r="B6" s="2" t="s">
        <v>23</v>
      </c>
      <c r="C6" s="5">
        <v>2126</v>
      </c>
      <c r="D6" s="5">
        <v>2238</v>
      </c>
      <c r="E6" s="5">
        <v>2655</v>
      </c>
      <c r="F6" s="5">
        <v>2813</v>
      </c>
      <c r="G6" s="5">
        <v>2753</v>
      </c>
      <c r="H6" s="5">
        <v>2789</v>
      </c>
      <c r="I6" s="5">
        <v>3230</v>
      </c>
      <c r="J6" s="5">
        <v>3510</v>
      </c>
      <c r="K6" s="5">
        <v>3367</v>
      </c>
      <c r="L6" s="5">
        <f t="shared" ref="L6:N6" si="7">+H6*1.2</f>
        <v>3346.7999999999997</v>
      </c>
      <c r="M6" s="5">
        <f t="shared" si="7"/>
        <v>3876</v>
      </c>
      <c r="N6" s="5">
        <f t="shared" si="7"/>
        <v>4212</v>
      </c>
      <c r="T6" s="2">
        <f>SUM(K6:N6)</f>
        <v>14801.8</v>
      </c>
      <c r="U6" s="2">
        <f>+T6*1.05</f>
        <v>15541.89</v>
      </c>
      <c r="V6" s="2">
        <f t="shared" ref="V6:X6" si="8">+U6*1.05</f>
        <v>16318.9845</v>
      </c>
      <c r="W6" s="2">
        <f t="shared" si="8"/>
        <v>17134.933725000003</v>
      </c>
      <c r="X6" s="2">
        <f t="shared" si="8"/>
        <v>17991.680411250003</v>
      </c>
      <c r="Y6" s="2">
        <f>+X6*1.01</f>
        <v>18171.597215362504</v>
      </c>
      <c r="Z6" s="2">
        <f t="shared" ref="Z6:AH6" si="9">+Y6*1.01</f>
        <v>18353.313187516131</v>
      </c>
      <c r="AA6" s="2">
        <f t="shared" si="9"/>
        <v>18536.846319391294</v>
      </c>
      <c r="AB6" s="2">
        <f t="shared" si="9"/>
        <v>18722.214782585208</v>
      </c>
      <c r="AC6" s="2">
        <f t="shared" si="9"/>
        <v>18909.436930411059</v>
      </c>
      <c r="AD6" s="2">
        <f t="shared" si="9"/>
        <v>19098.53129971517</v>
      </c>
      <c r="AE6" s="2">
        <f t="shared" si="9"/>
        <v>19289.516612712323</v>
      </c>
      <c r="AF6" s="2">
        <f t="shared" si="9"/>
        <v>19482.411778839447</v>
      </c>
      <c r="AG6" s="2">
        <f t="shared" si="9"/>
        <v>19677.235896627841</v>
      </c>
      <c r="AH6" s="2">
        <f t="shared" si="9"/>
        <v>19874.008255594119</v>
      </c>
    </row>
    <row r="7" spans="1:111" s="2" customFormat="1" x14ac:dyDescent="0.2">
      <c r="B7" s="2" t="s">
        <v>24</v>
      </c>
      <c r="C7" s="5">
        <v>1729</v>
      </c>
      <c r="D7" s="5">
        <v>1941</v>
      </c>
      <c r="E7" s="5">
        <v>2084</v>
      </c>
      <c r="F7" s="5">
        <v>2377</v>
      </c>
      <c r="G7" s="5">
        <v>2065</v>
      </c>
      <c r="H7" s="5">
        <v>2080</v>
      </c>
      <c r="I7" s="5">
        <v>2223</v>
      </c>
      <c r="J7" s="5">
        <v>2679</v>
      </c>
      <c r="K7" s="5">
        <v>2387</v>
      </c>
      <c r="L7" s="5">
        <f t="shared" ref="L7:N7" si="10">+H7*1.12</f>
        <v>2329.6000000000004</v>
      </c>
      <c r="M7" s="5">
        <f t="shared" si="10"/>
        <v>2489.7600000000002</v>
      </c>
      <c r="N7" s="5">
        <f t="shared" si="10"/>
        <v>3000.4800000000005</v>
      </c>
      <c r="T7" s="2">
        <f>SUM(K7:N7)</f>
        <v>10206.84</v>
      </c>
      <c r="U7" s="2">
        <f>+T7*1.02</f>
        <v>10410.9768</v>
      </c>
      <c r="V7" s="2">
        <f t="shared" ref="V7:AH7" si="11">+U7*1.02</f>
        <v>10619.196336000001</v>
      </c>
      <c r="W7" s="2">
        <f t="shared" si="11"/>
        <v>10831.580262720001</v>
      </c>
      <c r="X7" s="2">
        <f t="shared" si="11"/>
        <v>11048.211867974402</v>
      </c>
      <c r="Y7" s="2">
        <f t="shared" si="11"/>
        <v>11269.176105333891</v>
      </c>
      <c r="Z7" s="2">
        <f t="shared" si="11"/>
        <v>11494.559627440569</v>
      </c>
      <c r="AA7" s="2">
        <f t="shared" si="11"/>
        <v>11724.450819989381</v>
      </c>
      <c r="AB7" s="2">
        <f t="shared" si="11"/>
        <v>11958.939836389169</v>
      </c>
      <c r="AC7" s="2">
        <f t="shared" si="11"/>
        <v>12198.118633116952</v>
      </c>
      <c r="AD7" s="2">
        <f t="shared" si="11"/>
        <v>12442.081005779291</v>
      </c>
      <c r="AE7" s="2">
        <f t="shared" si="11"/>
        <v>12690.922625894878</v>
      </c>
      <c r="AF7" s="2">
        <f t="shared" si="11"/>
        <v>12944.741078412777</v>
      </c>
      <c r="AG7" s="2">
        <f t="shared" si="11"/>
        <v>13203.635899981033</v>
      </c>
      <c r="AH7" s="2">
        <f t="shared" si="11"/>
        <v>13467.708617980654</v>
      </c>
    </row>
    <row r="8" spans="1:111" s="2" customFormat="1" x14ac:dyDescent="0.2">
      <c r="B8" s="2" t="s">
        <v>25</v>
      </c>
      <c r="C8" s="5">
        <v>1489</v>
      </c>
      <c r="D8" s="5">
        <v>1404</v>
      </c>
      <c r="E8" s="5">
        <v>1365</v>
      </c>
      <c r="F8" s="5">
        <v>1593</v>
      </c>
      <c r="G8" s="5">
        <v>1637</v>
      </c>
      <c r="H8" s="5">
        <v>1450</v>
      </c>
      <c r="I8" s="5">
        <v>1477</v>
      </c>
      <c r="J8" s="5">
        <v>1572</v>
      </c>
      <c r="K8" s="5">
        <v>1513</v>
      </c>
      <c r="L8" s="5">
        <f t="shared" ref="L8:N8" si="12">+H8*1.01</f>
        <v>1464.5</v>
      </c>
      <c r="M8" s="5">
        <f t="shared" si="12"/>
        <v>1491.77</v>
      </c>
      <c r="N8" s="5">
        <f t="shared" si="12"/>
        <v>1587.72</v>
      </c>
      <c r="T8" s="2">
        <f>SUM(K8:N8)</f>
        <v>6056.9900000000007</v>
      </c>
      <c r="U8" s="2">
        <f>+T8*1.01</f>
        <v>6117.5599000000011</v>
      </c>
      <c r="V8" s="2">
        <f t="shared" ref="V8:AH8" si="13">+U8*1.01</f>
        <v>6178.7354990000013</v>
      </c>
      <c r="W8" s="2">
        <f t="shared" si="13"/>
        <v>6240.5228539900017</v>
      </c>
      <c r="X8" s="2">
        <f t="shared" si="13"/>
        <v>6302.928082529902</v>
      </c>
      <c r="Y8" s="2">
        <f t="shared" si="13"/>
        <v>6365.9573633552009</v>
      </c>
      <c r="Z8" s="2">
        <f t="shared" si="13"/>
        <v>6429.616936988753</v>
      </c>
      <c r="AA8" s="2">
        <f t="shared" si="13"/>
        <v>6493.9131063586401</v>
      </c>
      <c r="AB8" s="2">
        <f t="shared" si="13"/>
        <v>6558.8522374222266</v>
      </c>
      <c r="AC8" s="2">
        <f t="shared" si="13"/>
        <v>6624.4407597964491</v>
      </c>
      <c r="AD8" s="2">
        <f t="shared" si="13"/>
        <v>6690.6851673944138</v>
      </c>
      <c r="AE8" s="2">
        <f t="shared" si="13"/>
        <v>6757.5920190683582</v>
      </c>
      <c r="AF8" s="2">
        <f t="shared" si="13"/>
        <v>6825.1679392590422</v>
      </c>
      <c r="AG8" s="2">
        <f t="shared" si="13"/>
        <v>6893.4196186516328</v>
      </c>
      <c r="AH8" s="2">
        <f t="shared" si="13"/>
        <v>6962.3538148381494</v>
      </c>
    </row>
    <row r="9" spans="1:111" s="2" customFormat="1" x14ac:dyDescent="0.2">
      <c r="B9" s="2" t="s">
        <v>27</v>
      </c>
      <c r="C9" s="5">
        <f t="shared" ref="C9:J9" si="14">SUM(C6:C8)</f>
        <v>5344</v>
      </c>
      <c r="D9" s="5">
        <f t="shared" si="14"/>
        <v>5583</v>
      </c>
      <c r="E9" s="5">
        <f t="shared" si="14"/>
        <v>6104</v>
      </c>
      <c r="F9" s="5">
        <f t="shared" si="14"/>
        <v>6783</v>
      </c>
      <c r="G9" s="5">
        <f t="shared" si="14"/>
        <v>6455</v>
      </c>
      <c r="H9" s="5">
        <f t="shared" si="14"/>
        <v>6319</v>
      </c>
      <c r="I9" s="5">
        <f t="shared" si="14"/>
        <v>6930</v>
      </c>
      <c r="J9" s="5">
        <f t="shared" si="14"/>
        <v>7761</v>
      </c>
      <c r="K9" s="5">
        <f t="shared" ref="K9:N9" si="15">SUM(K6:K8)</f>
        <v>7267</v>
      </c>
      <c r="L9" s="5">
        <f t="shared" si="15"/>
        <v>7140.9</v>
      </c>
      <c r="M9" s="5">
        <f t="shared" si="15"/>
        <v>7857.5300000000007</v>
      </c>
      <c r="N9" s="5">
        <f t="shared" si="15"/>
        <v>8800.2000000000007</v>
      </c>
      <c r="T9" s="5">
        <f t="shared" ref="T9" si="16">SUM(T6:T8)</f>
        <v>31065.63</v>
      </c>
      <c r="U9" s="5">
        <f t="shared" ref="U9" si="17">SUM(U6:U8)</f>
        <v>32070.4267</v>
      </c>
      <c r="V9" s="5">
        <f t="shared" ref="V9" si="18">SUM(V6:V8)</f>
        <v>33116.916335000002</v>
      </c>
      <c r="W9" s="5">
        <f t="shared" ref="W9" si="19">SUM(W6:W8)</f>
        <v>34207.036841710011</v>
      </c>
      <c r="X9" s="5">
        <f t="shared" ref="X9" si="20">SUM(X6:X8)</f>
        <v>35342.820361754304</v>
      </c>
      <c r="Y9" s="5">
        <f t="shared" ref="Y9" si="21">SUM(Y6:Y8)</f>
        <v>35806.730684051596</v>
      </c>
      <c r="Z9" s="5">
        <f t="shared" ref="Z9" si="22">SUM(Z6:Z8)</f>
        <v>36277.489751945453</v>
      </c>
      <c r="AA9" s="5">
        <f t="shared" ref="AA9" si="23">SUM(AA6:AA8)</f>
        <v>36755.210245739312</v>
      </c>
      <c r="AB9" s="5">
        <f t="shared" ref="AB9" si="24">SUM(AB6:AB8)</f>
        <v>37240.006856396605</v>
      </c>
      <c r="AC9" s="5">
        <f t="shared" ref="AC9" si="25">SUM(AC6:AC8)</f>
        <v>37731.996323324463</v>
      </c>
      <c r="AD9" s="5">
        <f t="shared" ref="AD9" si="26">SUM(AD6:AD8)</f>
        <v>38231.297472888873</v>
      </c>
      <c r="AE9" s="5">
        <f t="shared" ref="AE9" si="27">SUM(AE6:AE8)</f>
        <v>38738.03125767556</v>
      </c>
      <c r="AF9" s="5">
        <f t="shared" ref="AF9" si="28">SUM(AF6:AF8)</f>
        <v>39252.320796511267</v>
      </c>
      <c r="AG9" s="5">
        <f t="shared" ref="AG9" si="29">SUM(AG6:AG8)</f>
        <v>39774.291415260508</v>
      </c>
      <c r="AH9" s="5">
        <f t="shared" ref="AH9" si="30">SUM(AH6:AH8)</f>
        <v>40304.070688412918</v>
      </c>
    </row>
    <row r="10" spans="1:111" s="2" customFormat="1" x14ac:dyDescent="0.2">
      <c r="B10" s="2" t="s">
        <v>26</v>
      </c>
      <c r="C10" s="5">
        <f t="shared" ref="C10:J10" si="31">C5-C9</f>
        <v>4115</v>
      </c>
      <c r="D10" s="5">
        <f t="shared" si="31"/>
        <v>4258</v>
      </c>
      <c r="E10" s="5">
        <f t="shared" si="31"/>
        <v>3724</v>
      </c>
      <c r="F10" s="5">
        <f t="shared" si="31"/>
        <v>4399</v>
      </c>
      <c r="G10" s="5">
        <f t="shared" si="31"/>
        <v>4447</v>
      </c>
      <c r="H10" s="5">
        <f t="shared" si="31"/>
        <v>4825</v>
      </c>
      <c r="I10" s="5">
        <f t="shared" si="31"/>
        <v>4708</v>
      </c>
      <c r="J10" s="5">
        <f t="shared" si="31"/>
        <v>5380</v>
      </c>
      <c r="K10" s="5">
        <f t="shared" ref="K10:N10" si="32">K5-K9</f>
        <v>5342</v>
      </c>
      <c r="L10" s="5">
        <f t="shared" si="32"/>
        <v>5498.4509999999991</v>
      </c>
      <c r="M10" s="5">
        <f t="shared" si="32"/>
        <v>5457.744999999999</v>
      </c>
      <c r="N10" s="5">
        <f t="shared" si="32"/>
        <v>6407.3769999999986</v>
      </c>
      <c r="T10" s="5">
        <f t="shared" ref="T10" si="33">T5-T9</f>
        <v>24544.942999999988</v>
      </c>
      <c r="U10" s="5">
        <f t="shared" ref="U10" si="34">U5-U9</f>
        <v>29251.078159999994</v>
      </c>
      <c r="V10" s="5">
        <f t="shared" ref="V10" si="35">V5-V9</f>
        <v>34336.739010999998</v>
      </c>
      <c r="W10" s="5">
        <f t="shared" ref="W10" si="36">W5-W9</f>
        <v>36619.301271589997</v>
      </c>
      <c r="X10" s="5">
        <f t="shared" ref="X10" si="37">X5-X9</f>
        <v>37608.307894944708</v>
      </c>
      <c r="Y10" s="5">
        <f t="shared" ref="Y10" si="38">Y5-Y9</f>
        <v>37873.908855214409</v>
      </c>
      <c r="Z10" s="5">
        <f t="shared" ref="Z10" si="39">Z5-Z9</f>
        <v>38139.956182713213</v>
      </c>
      <c r="AA10" s="5">
        <f t="shared" ref="AA10" si="40">AA5-AA9</f>
        <v>36173.88677022617</v>
      </c>
      <c r="AB10" s="5">
        <f t="shared" ref="AB10" si="41">AB5-AB9</f>
        <v>34230.508219249576</v>
      </c>
      <c r="AC10" s="5">
        <f t="shared" ref="AC10" si="42">AC5-AC9</f>
        <v>32309.108450808795</v>
      </c>
      <c r="AD10" s="5">
        <f t="shared" ref="AD10" si="43">AD5-AD9</f>
        <v>30408.985205761717</v>
      </c>
      <c r="AE10" s="5">
        <f t="shared" ref="AE10" si="44">AE5-AE9</f>
        <v>28529.445767402016</v>
      </c>
      <c r="AF10" s="5">
        <f t="shared" ref="AF10" si="45">AF5-AF9</f>
        <v>26669.806688064753</v>
      </c>
      <c r="AG10" s="5">
        <f t="shared" ref="AG10" si="46">AG5-AG9</f>
        <v>24829.393519623998</v>
      </c>
      <c r="AH10" s="5">
        <f t="shared" ref="AH10" si="47">AH5-AH9</f>
        <v>23007.54054777389</v>
      </c>
    </row>
    <row r="11" spans="1:111" s="2" customFormat="1" x14ac:dyDescent="0.2">
      <c r="B11" s="2" t="s">
        <v>31</v>
      </c>
      <c r="C11" s="5">
        <v>357</v>
      </c>
      <c r="D11" s="5">
        <v>145</v>
      </c>
      <c r="E11" s="5">
        <v>133</v>
      </c>
      <c r="F11" s="5">
        <v>128</v>
      </c>
      <c r="G11" s="5">
        <v>157</v>
      </c>
      <c r="H11" s="5">
        <v>131</v>
      </c>
      <c r="I11" s="5">
        <v>183</v>
      </c>
      <c r="J11" s="5">
        <v>-180</v>
      </c>
      <c r="K11" s="5">
        <v>-213</v>
      </c>
      <c r="L11" s="5">
        <v>100</v>
      </c>
      <c r="M11" s="5">
        <v>100</v>
      </c>
      <c r="N11" s="5">
        <v>100</v>
      </c>
      <c r="T11" s="2">
        <f>SUM(K11:N11)</f>
        <v>87</v>
      </c>
      <c r="U11" s="2">
        <f>+T30*$AK$17</f>
        <v>0</v>
      </c>
      <c r="V11" s="2">
        <f t="shared" ref="V11:AH11" si="48">+U30*$AK$17</f>
        <v>234.00862527999993</v>
      </c>
      <c r="W11" s="2">
        <f t="shared" si="48"/>
        <v>510.57460637023996</v>
      </c>
      <c r="X11" s="2">
        <f t="shared" si="48"/>
        <v>807.61361339392181</v>
      </c>
      <c r="Y11" s="2">
        <f t="shared" si="48"/>
        <v>1114.9409854606308</v>
      </c>
      <c r="Z11" s="2">
        <f t="shared" si="48"/>
        <v>1426.8517841860312</v>
      </c>
      <c r="AA11" s="2">
        <f t="shared" si="48"/>
        <v>1743.3862479212253</v>
      </c>
      <c r="AB11" s="2">
        <f t="shared" si="48"/>
        <v>2046.7244320664042</v>
      </c>
      <c r="AC11" s="2">
        <f t="shared" si="48"/>
        <v>2336.9422932769321</v>
      </c>
      <c r="AD11" s="2">
        <f t="shared" si="48"/>
        <v>2614.1106992296181</v>
      </c>
      <c r="AE11" s="2">
        <f t="shared" si="48"/>
        <v>2878.2954664695485</v>
      </c>
      <c r="AF11" s="2">
        <f t="shared" si="48"/>
        <v>3129.5573963405209</v>
      </c>
      <c r="AG11" s="2">
        <f t="shared" si="48"/>
        <v>3367.9523090157631</v>
      </c>
      <c r="AH11" s="2">
        <f t="shared" si="48"/>
        <v>3593.5310756448807</v>
      </c>
    </row>
    <row r="12" spans="1:111" s="2" customFormat="1" x14ac:dyDescent="0.2">
      <c r="B12" s="2" t="s">
        <v>30</v>
      </c>
      <c r="C12" s="5">
        <f t="shared" ref="C12:J12" si="49">+C10+C11</f>
        <v>4472</v>
      </c>
      <c r="D12" s="5">
        <f t="shared" si="49"/>
        <v>4403</v>
      </c>
      <c r="E12" s="5">
        <f t="shared" si="49"/>
        <v>3857</v>
      </c>
      <c r="F12" s="5">
        <f t="shared" si="49"/>
        <v>4527</v>
      </c>
      <c r="G12" s="5">
        <f t="shared" si="49"/>
        <v>4604</v>
      </c>
      <c r="H12" s="5">
        <f t="shared" si="49"/>
        <v>4956</v>
      </c>
      <c r="I12" s="5">
        <f t="shared" si="49"/>
        <v>4891</v>
      </c>
      <c r="J12" s="5">
        <f t="shared" si="49"/>
        <v>5200</v>
      </c>
      <c r="K12" s="5">
        <f t="shared" ref="K12:N12" si="50">+K10+K11</f>
        <v>5129</v>
      </c>
      <c r="L12" s="5">
        <f t="shared" si="50"/>
        <v>5598.4509999999991</v>
      </c>
      <c r="M12" s="5">
        <f t="shared" si="50"/>
        <v>5557.744999999999</v>
      </c>
      <c r="N12" s="5">
        <f t="shared" si="50"/>
        <v>6507.3769999999986</v>
      </c>
      <c r="T12" s="5">
        <f t="shared" ref="T12" si="51">+T10+T11</f>
        <v>24631.942999999988</v>
      </c>
      <c r="U12" s="5">
        <f t="shared" ref="U12" si="52">+U10+U11</f>
        <v>29251.078159999994</v>
      </c>
      <c r="V12" s="5">
        <f t="shared" ref="V12" si="53">+V10+V11</f>
        <v>34570.747636280001</v>
      </c>
      <c r="W12" s="5">
        <f t="shared" ref="W12" si="54">+W10+W11</f>
        <v>37129.875877960236</v>
      </c>
      <c r="X12" s="5">
        <f t="shared" ref="X12" si="55">+X10+X11</f>
        <v>38415.92150833863</v>
      </c>
      <c r="Y12" s="5">
        <f t="shared" ref="Y12" si="56">+Y10+Y11</f>
        <v>38988.849840675037</v>
      </c>
      <c r="Z12" s="5">
        <f t="shared" ref="Z12" si="57">+Z10+Z11</f>
        <v>39566.807966899243</v>
      </c>
      <c r="AA12" s="5">
        <f t="shared" ref="AA12" si="58">+AA10+AA11</f>
        <v>37917.273018147396</v>
      </c>
      <c r="AB12" s="5">
        <f t="shared" ref="AB12" si="59">+AB10+AB11</f>
        <v>36277.232651315979</v>
      </c>
      <c r="AC12" s="5">
        <f t="shared" ref="AC12" si="60">+AC10+AC11</f>
        <v>34646.050744085725</v>
      </c>
      <c r="AD12" s="5">
        <f t="shared" ref="AD12" si="61">+AD10+AD11</f>
        <v>33023.095904991336</v>
      </c>
      <c r="AE12" s="5">
        <f t="shared" ref="AE12" si="62">+AE10+AE11</f>
        <v>31407.741233871566</v>
      </c>
      <c r="AF12" s="5">
        <f t="shared" ref="AF12" si="63">+AF10+AF11</f>
        <v>29799.364084405275</v>
      </c>
      <c r="AG12" s="5">
        <f t="shared" ref="AG12" si="64">+AG10+AG11</f>
        <v>28197.345828639762</v>
      </c>
      <c r="AH12" s="5">
        <f t="shared" ref="AH12" si="65">+AH10+AH11</f>
        <v>26601.071623418771</v>
      </c>
    </row>
    <row r="13" spans="1:111" s="2" customFormat="1" x14ac:dyDescent="0.2">
      <c r="B13" s="2" t="s">
        <v>29</v>
      </c>
      <c r="C13" s="5">
        <v>822</v>
      </c>
      <c r="D13" s="5">
        <v>984</v>
      </c>
      <c r="E13" s="5">
        <v>933</v>
      </c>
      <c r="F13" s="5">
        <v>819</v>
      </c>
      <c r="G13" s="5">
        <v>1018</v>
      </c>
      <c r="H13" s="5">
        <v>1025</v>
      </c>
      <c r="I13" s="5">
        <v>912</v>
      </c>
      <c r="J13" s="5">
        <v>277</v>
      </c>
      <c r="K13" s="5">
        <v>922</v>
      </c>
      <c r="L13" s="5">
        <f t="shared" ref="L13:N13" si="66">+L12*0.2</f>
        <v>1119.6901999999998</v>
      </c>
      <c r="M13" s="5">
        <f t="shared" si="66"/>
        <v>1111.5489999999998</v>
      </c>
      <c r="N13" s="5">
        <f t="shared" si="66"/>
        <v>1301.4753999999998</v>
      </c>
      <c r="T13" s="2">
        <f>SUM(K13:N13)</f>
        <v>4454.7145999999993</v>
      </c>
      <c r="U13" s="2">
        <f>+U12*0.2</f>
        <v>5850.2156319999995</v>
      </c>
      <c r="V13" s="2">
        <f t="shared" ref="V13:AH13" si="67">+V12*0.2</f>
        <v>6914.1495272560005</v>
      </c>
      <c r="W13" s="2">
        <f t="shared" si="67"/>
        <v>7425.9751755920479</v>
      </c>
      <c r="X13" s="2">
        <f t="shared" si="67"/>
        <v>7683.1843016677267</v>
      </c>
      <c r="Y13" s="2">
        <f t="shared" si="67"/>
        <v>7797.7699681350077</v>
      </c>
      <c r="Z13" s="2">
        <f t="shared" si="67"/>
        <v>7913.3615933798492</v>
      </c>
      <c r="AA13" s="2">
        <f t="shared" si="67"/>
        <v>7583.4546036294796</v>
      </c>
      <c r="AB13" s="2">
        <f t="shared" si="67"/>
        <v>7255.4465302631961</v>
      </c>
      <c r="AC13" s="2">
        <f t="shared" si="67"/>
        <v>6929.2101488171456</v>
      </c>
      <c r="AD13" s="2">
        <f t="shared" si="67"/>
        <v>6604.6191809982674</v>
      </c>
      <c r="AE13" s="2">
        <f t="shared" si="67"/>
        <v>6281.5482467743132</v>
      </c>
      <c r="AF13" s="2">
        <f t="shared" si="67"/>
        <v>5959.8728168810558</v>
      </c>
      <c r="AG13" s="2">
        <f t="shared" si="67"/>
        <v>5639.4691657279527</v>
      </c>
      <c r="AH13" s="2">
        <f t="shared" si="67"/>
        <v>5320.214324683755</v>
      </c>
    </row>
    <row r="14" spans="1:111" s="2" customFormat="1" x14ac:dyDescent="0.2">
      <c r="B14" s="2" t="s">
        <v>28</v>
      </c>
      <c r="C14" s="5">
        <f t="shared" ref="C14:J14" si="68">+C12-C13</f>
        <v>3650</v>
      </c>
      <c r="D14" s="5">
        <f t="shared" si="68"/>
        <v>3419</v>
      </c>
      <c r="E14" s="5">
        <f t="shared" si="68"/>
        <v>2924</v>
      </c>
      <c r="F14" s="5">
        <f t="shared" si="68"/>
        <v>3708</v>
      </c>
      <c r="G14" s="5">
        <f t="shared" si="68"/>
        <v>3586</v>
      </c>
      <c r="H14" s="5">
        <f t="shared" si="68"/>
        <v>3931</v>
      </c>
      <c r="I14" s="5">
        <f t="shared" si="68"/>
        <v>3979</v>
      </c>
      <c r="J14" s="5">
        <f t="shared" si="68"/>
        <v>4923</v>
      </c>
      <c r="K14" s="5">
        <f t="shared" ref="K14:N14" si="69">+K12-K13</f>
        <v>4207</v>
      </c>
      <c r="L14" s="5">
        <f t="shared" si="69"/>
        <v>4478.7607999999991</v>
      </c>
      <c r="M14" s="5">
        <f t="shared" si="69"/>
        <v>4446.195999999999</v>
      </c>
      <c r="N14" s="5">
        <f t="shared" si="69"/>
        <v>5205.9015999999992</v>
      </c>
      <c r="T14" s="5">
        <f t="shared" ref="T14" si="70">+T12-T13</f>
        <v>20177.228399999989</v>
      </c>
      <c r="U14" s="2">
        <f>+U12-U13</f>
        <v>23400.862527999994</v>
      </c>
      <c r="V14" s="2">
        <f t="shared" ref="V14:AH14" si="71">+V12-V13</f>
        <v>27656.598109024002</v>
      </c>
      <c r="W14" s="2">
        <f t="shared" si="71"/>
        <v>29703.900702368188</v>
      </c>
      <c r="X14" s="2">
        <f t="shared" si="71"/>
        <v>30732.737206670903</v>
      </c>
      <c r="Y14" s="2">
        <f t="shared" si="71"/>
        <v>31191.079872540031</v>
      </c>
      <c r="Z14" s="2">
        <f t="shared" si="71"/>
        <v>31653.446373519393</v>
      </c>
      <c r="AA14" s="2">
        <f t="shared" si="71"/>
        <v>30333.818414517918</v>
      </c>
      <c r="AB14" s="2">
        <f t="shared" si="71"/>
        <v>29021.786121052784</v>
      </c>
      <c r="AC14" s="2">
        <f t="shared" si="71"/>
        <v>27716.840595268579</v>
      </c>
      <c r="AD14" s="2">
        <f t="shared" si="71"/>
        <v>26418.47672399307</v>
      </c>
      <c r="AE14" s="2">
        <f t="shared" si="71"/>
        <v>25126.192987097253</v>
      </c>
      <c r="AF14" s="2">
        <f t="shared" si="71"/>
        <v>23839.491267524219</v>
      </c>
      <c r="AG14" s="2">
        <f t="shared" si="71"/>
        <v>22557.876662911811</v>
      </c>
      <c r="AH14" s="2">
        <f t="shared" si="71"/>
        <v>21280.857298735016</v>
      </c>
      <c r="AI14" s="2">
        <f>+AH14*(1+$AK$18)</f>
        <v>21068.048725747667</v>
      </c>
      <c r="AJ14" s="2">
        <f t="shared" ref="AJ14:CU14" si="72">+AI14*(1+$AK$18)</f>
        <v>20857.368238490191</v>
      </c>
      <c r="AK14" s="2">
        <f t="shared" si="72"/>
        <v>20648.794556105287</v>
      </c>
      <c r="AL14" s="2">
        <f t="shared" si="72"/>
        <v>20442.306610544234</v>
      </c>
      <c r="AM14" s="2">
        <f t="shared" si="72"/>
        <v>20237.883544438791</v>
      </c>
      <c r="AN14" s="2">
        <f t="shared" si="72"/>
        <v>20035.504708994402</v>
      </c>
      <c r="AO14" s="2">
        <f t="shared" si="72"/>
        <v>19835.149661904459</v>
      </c>
      <c r="AP14" s="2">
        <f t="shared" si="72"/>
        <v>19636.798165285414</v>
      </c>
      <c r="AQ14" s="2">
        <f t="shared" si="72"/>
        <v>19440.430183632561</v>
      </c>
      <c r="AR14" s="2">
        <f t="shared" si="72"/>
        <v>19246.025881796235</v>
      </c>
      <c r="AS14" s="2">
        <f t="shared" si="72"/>
        <v>19053.565622978273</v>
      </c>
      <c r="AT14" s="2">
        <f t="shared" si="72"/>
        <v>18863.029966748491</v>
      </c>
      <c r="AU14" s="2">
        <f t="shared" si="72"/>
        <v>18674.399667081005</v>
      </c>
      <c r="AV14" s="2">
        <f t="shared" si="72"/>
        <v>18487.655670410193</v>
      </c>
      <c r="AW14" s="2">
        <f t="shared" si="72"/>
        <v>18302.779113706092</v>
      </c>
      <c r="AX14" s="2">
        <f t="shared" si="72"/>
        <v>18119.751322569031</v>
      </c>
      <c r="AY14" s="2">
        <f t="shared" si="72"/>
        <v>17938.553809343339</v>
      </c>
      <c r="AZ14" s="2">
        <f t="shared" si="72"/>
        <v>17759.168271249906</v>
      </c>
      <c r="BA14" s="2">
        <f t="shared" si="72"/>
        <v>17581.576588537406</v>
      </c>
      <c r="BB14" s="2">
        <f t="shared" si="72"/>
        <v>17405.760822652031</v>
      </c>
      <c r="BC14" s="2">
        <f t="shared" si="72"/>
        <v>17231.70321442551</v>
      </c>
      <c r="BD14" s="2">
        <f t="shared" si="72"/>
        <v>17059.386182281254</v>
      </c>
      <c r="BE14" s="2">
        <f t="shared" si="72"/>
        <v>16888.79232045844</v>
      </c>
      <c r="BF14" s="2">
        <f t="shared" si="72"/>
        <v>16719.904397253857</v>
      </c>
      <c r="BG14" s="2">
        <f t="shared" si="72"/>
        <v>16552.705353281319</v>
      </c>
      <c r="BH14" s="2">
        <f t="shared" si="72"/>
        <v>16387.178299748506</v>
      </c>
      <c r="BI14" s="2">
        <f t="shared" si="72"/>
        <v>16223.306516751021</v>
      </c>
      <c r="BJ14" s="2">
        <f t="shared" si="72"/>
        <v>16061.07345158351</v>
      </c>
      <c r="BK14" s="2">
        <f t="shared" si="72"/>
        <v>15900.462717067676</v>
      </c>
      <c r="BL14" s="2">
        <f t="shared" si="72"/>
        <v>15741.458089897</v>
      </c>
      <c r="BM14" s="2">
        <f t="shared" si="72"/>
        <v>15584.043508998029</v>
      </c>
      <c r="BN14" s="2">
        <f t="shared" si="72"/>
        <v>15428.203073908049</v>
      </c>
      <c r="BO14" s="2">
        <f t="shared" si="72"/>
        <v>15273.921043168968</v>
      </c>
      <c r="BP14" s="2">
        <f t="shared" si="72"/>
        <v>15121.181832737278</v>
      </c>
      <c r="BQ14" s="2">
        <f t="shared" si="72"/>
        <v>14969.970014409906</v>
      </c>
      <c r="BR14" s="2">
        <f t="shared" si="72"/>
        <v>14820.270314265807</v>
      </c>
      <c r="BS14" s="2">
        <f t="shared" si="72"/>
        <v>14672.067611123148</v>
      </c>
      <c r="BT14" s="2">
        <f t="shared" si="72"/>
        <v>14525.346935011916</v>
      </c>
      <c r="BU14" s="2">
        <f t="shared" si="72"/>
        <v>14380.093465661797</v>
      </c>
      <c r="BV14" s="2">
        <f t="shared" si="72"/>
        <v>14236.29253100518</v>
      </c>
      <c r="BW14" s="2">
        <f t="shared" si="72"/>
        <v>14093.929605695128</v>
      </c>
      <c r="BX14" s="2">
        <f t="shared" si="72"/>
        <v>13952.990309638177</v>
      </c>
      <c r="BY14" s="2">
        <f t="shared" si="72"/>
        <v>13813.460406541795</v>
      </c>
      <c r="BZ14" s="2">
        <f t="shared" si="72"/>
        <v>13675.325802476376</v>
      </c>
      <c r="CA14" s="2">
        <f t="shared" si="72"/>
        <v>13538.572544451612</v>
      </c>
      <c r="CB14" s="2">
        <f t="shared" si="72"/>
        <v>13403.186819007096</v>
      </c>
      <c r="CC14" s="2">
        <f t="shared" si="72"/>
        <v>13269.154950817025</v>
      </c>
      <c r="CD14" s="2">
        <f t="shared" si="72"/>
        <v>13136.463401308854</v>
      </c>
      <c r="CE14" s="2">
        <f t="shared" si="72"/>
        <v>13005.098767295765</v>
      </c>
      <c r="CF14" s="2">
        <f t="shared" si="72"/>
        <v>12875.047779622808</v>
      </c>
      <c r="CG14" s="2">
        <f t="shared" si="72"/>
        <v>12746.29730182658</v>
      </c>
      <c r="CH14" s="2">
        <f t="shared" si="72"/>
        <v>12618.834328808314</v>
      </c>
      <c r="CI14" s="2">
        <f t="shared" si="72"/>
        <v>12492.64598552023</v>
      </c>
      <c r="CJ14" s="2">
        <f t="shared" si="72"/>
        <v>12367.719525665028</v>
      </c>
      <c r="CK14" s="2">
        <f t="shared" si="72"/>
        <v>12244.042330408378</v>
      </c>
      <c r="CL14" s="2">
        <f t="shared" si="72"/>
        <v>12121.601907104294</v>
      </c>
      <c r="CM14" s="2">
        <f t="shared" si="72"/>
        <v>12000.38588803325</v>
      </c>
      <c r="CN14" s="2">
        <f t="shared" si="72"/>
        <v>11880.382029152917</v>
      </c>
      <c r="CO14" s="2">
        <f t="shared" si="72"/>
        <v>11761.578208861389</v>
      </c>
      <c r="CP14" s="2">
        <f t="shared" si="72"/>
        <v>11643.962426772774</v>
      </c>
      <c r="CQ14" s="2">
        <f t="shared" si="72"/>
        <v>11527.522802505046</v>
      </c>
      <c r="CR14" s="2">
        <f t="shared" si="72"/>
        <v>11412.247574479996</v>
      </c>
      <c r="CS14" s="2">
        <f t="shared" si="72"/>
        <v>11298.125098735196</v>
      </c>
      <c r="CT14" s="2">
        <f t="shared" si="72"/>
        <v>11185.143847747844</v>
      </c>
      <c r="CU14" s="2">
        <f t="shared" si="72"/>
        <v>11073.292409270365</v>
      </c>
      <c r="CV14" s="2">
        <f t="shared" ref="CV14:DG14" si="73">+CU14*(1+$AK$18)</f>
        <v>10962.559485177662</v>
      </c>
      <c r="CW14" s="2">
        <f t="shared" si="73"/>
        <v>10852.933890325885</v>
      </c>
      <c r="CX14" s="2">
        <f t="shared" si="73"/>
        <v>10744.404551422625</v>
      </c>
      <c r="CY14" s="2">
        <f t="shared" si="73"/>
        <v>10636.960505908399</v>
      </c>
      <c r="CZ14" s="2">
        <f t="shared" si="73"/>
        <v>10530.590900849314</v>
      </c>
      <c r="DA14" s="2">
        <f t="shared" si="73"/>
        <v>10425.284991840821</v>
      </c>
      <c r="DB14" s="2">
        <f t="shared" si="73"/>
        <v>10321.032141922413</v>
      </c>
      <c r="DC14" s="2">
        <f t="shared" si="73"/>
        <v>10217.821820503188</v>
      </c>
      <c r="DD14" s="2">
        <f t="shared" si="73"/>
        <v>10115.643602298156</v>
      </c>
      <c r="DE14" s="2">
        <f t="shared" si="73"/>
        <v>10014.487166275174</v>
      </c>
      <c r="DF14" s="2">
        <f t="shared" si="73"/>
        <v>9914.3422946124228</v>
      </c>
      <c r="DG14" s="2">
        <f t="shared" si="73"/>
        <v>9815.1988716662981</v>
      </c>
    </row>
    <row r="15" spans="1:111" x14ac:dyDescent="0.2">
      <c r="B15" s="2" t="s">
        <v>32</v>
      </c>
      <c r="C15" s="9">
        <f t="shared" ref="C15:J15" si="74">C14/C16</f>
        <v>5.3268185612627921</v>
      </c>
      <c r="D15" s="9">
        <f t="shared" si="74"/>
        <v>5.0266697247166894</v>
      </c>
      <c r="E15" s="9">
        <f t="shared" si="74"/>
        <v>4.2486722899094032</v>
      </c>
      <c r="F15" s="9">
        <f t="shared" si="74"/>
        <v>5.3856913162263558</v>
      </c>
      <c r="G15" s="9">
        <f t="shared" si="74"/>
        <v>5.2008852817557116</v>
      </c>
      <c r="H15" s="9">
        <f t="shared" si="74"/>
        <v>5.7345840201899367</v>
      </c>
      <c r="I15" s="9">
        <f t="shared" si="74"/>
        <v>5.730795210846888</v>
      </c>
      <c r="J15" s="9">
        <f t="shared" si="74"/>
        <v>7.062874358882393</v>
      </c>
      <c r="K15" s="9">
        <f t="shared" ref="K15:N15" si="75">K14/K16</f>
        <v>6.0356515189555617</v>
      </c>
      <c r="L15" s="9">
        <f t="shared" si="75"/>
        <v>6.4255382518561017</v>
      </c>
      <c r="M15" s="9">
        <f t="shared" si="75"/>
        <v>6.3788185502672059</v>
      </c>
      <c r="N15" s="9">
        <f t="shared" si="75"/>
        <v>7.4687444496251922</v>
      </c>
      <c r="T15" s="9">
        <f t="shared" ref="T15" si="76">T14/T16</f>
        <v>28.947639467737872</v>
      </c>
      <c r="U15" s="9">
        <f t="shared" ref="U15" si="77">U14/U16</f>
        <v>33.572486679817793</v>
      </c>
      <c r="V15" s="9">
        <f t="shared" ref="V15" si="78">V14/V16</f>
        <v>39.678057614897604</v>
      </c>
      <c r="W15" s="9">
        <f t="shared" ref="W15" si="79">W14/W16</f>
        <v>42.615258710043669</v>
      </c>
      <c r="X15" s="9">
        <f t="shared" ref="X15" si="80">X14/X16</f>
        <v>44.091298313074716</v>
      </c>
      <c r="Y15" s="9">
        <f t="shared" ref="Y15" si="81">Y14/Y16</f>
        <v>44.748868222144161</v>
      </c>
      <c r="Z15" s="9">
        <f t="shared" ref="Z15" si="82">Z14/Z16</f>
        <v>45.412211001785295</v>
      </c>
      <c r="AA15" s="9">
        <f t="shared" ref="AA15" si="83">AA14/AA16</f>
        <v>43.518981979868613</v>
      </c>
      <c r="AB15" s="9">
        <f t="shared" ref="AB15" si="84">AB14/AB16</f>
        <v>41.636650222090722</v>
      </c>
      <c r="AC15" s="9">
        <f t="shared" ref="AC15" si="85">AC14/AC16</f>
        <v>39.764485628590911</v>
      </c>
      <c r="AD15" s="9">
        <f t="shared" ref="AD15" si="86">AD14/AD16</f>
        <v>37.901763529275236</v>
      </c>
      <c r="AE15" s="9">
        <f t="shared" ref="AE15" si="87">AE14/AE16</f>
        <v>36.04776440887666</v>
      </c>
      <c r="AF15" s="9">
        <f t="shared" ref="AF15" si="88">AF14/AF16</f>
        <v>34.201773634409413</v>
      </c>
      <c r="AG15" s="9">
        <f t="shared" ref="AG15" si="89">AG14/AG16</f>
        <v>32.363081184909881</v>
      </c>
      <c r="AH15" s="9">
        <f t="shared" ref="AH15" si="90">AH14/AH16</f>
        <v>30.530981383357865</v>
      </c>
    </row>
    <row r="16" spans="1:111" x14ac:dyDescent="0.2">
      <c r="B16" s="2" t="s">
        <v>1</v>
      </c>
      <c r="C16" s="5">
        <v>685.21199999999999</v>
      </c>
      <c r="D16" s="5">
        <v>680.17200000000003</v>
      </c>
      <c r="E16" s="5">
        <v>688.21500000000003</v>
      </c>
      <c r="F16" s="5">
        <v>688.49099999999999</v>
      </c>
      <c r="G16" s="5">
        <v>689.49800000000005</v>
      </c>
      <c r="H16" s="5">
        <v>685.49</v>
      </c>
      <c r="I16" s="5">
        <v>694.31899999999996</v>
      </c>
      <c r="J16" s="5">
        <v>697.02499999999998</v>
      </c>
      <c r="K16" s="5">
        <f>+J16</f>
        <v>697.02499999999998</v>
      </c>
      <c r="L16" s="5">
        <f t="shared" ref="L16:N16" si="91">+K16</f>
        <v>697.02499999999998</v>
      </c>
      <c r="M16" s="5">
        <f t="shared" si="91"/>
        <v>697.02499999999998</v>
      </c>
      <c r="N16" s="5">
        <f t="shared" si="91"/>
        <v>697.02499999999998</v>
      </c>
      <c r="T16" s="2">
        <f>AVERAGE(K16:N16)</f>
        <v>697.02499999999998</v>
      </c>
      <c r="U16" s="2">
        <f>+T16</f>
        <v>697.02499999999998</v>
      </c>
      <c r="V16" s="2">
        <f t="shared" ref="V16:AH16" si="92">+U16</f>
        <v>697.02499999999998</v>
      </c>
      <c r="W16" s="2">
        <f t="shared" si="92"/>
        <v>697.02499999999998</v>
      </c>
      <c r="X16" s="2">
        <f t="shared" si="92"/>
        <v>697.02499999999998</v>
      </c>
      <c r="Y16" s="2">
        <f t="shared" si="92"/>
        <v>697.02499999999998</v>
      </c>
      <c r="Z16" s="2">
        <f t="shared" si="92"/>
        <v>697.02499999999998</v>
      </c>
      <c r="AA16" s="2">
        <f t="shared" si="92"/>
        <v>697.02499999999998</v>
      </c>
      <c r="AB16" s="2">
        <f t="shared" si="92"/>
        <v>697.02499999999998</v>
      </c>
      <c r="AC16" s="2">
        <f t="shared" si="92"/>
        <v>697.02499999999998</v>
      </c>
      <c r="AD16" s="2">
        <f t="shared" si="92"/>
        <v>697.02499999999998</v>
      </c>
      <c r="AE16" s="2">
        <f t="shared" si="92"/>
        <v>697.02499999999998</v>
      </c>
      <c r="AF16" s="2">
        <f t="shared" si="92"/>
        <v>697.02499999999998</v>
      </c>
      <c r="AG16" s="2">
        <f t="shared" si="92"/>
        <v>697.02499999999998</v>
      </c>
      <c r="AH16" s="2">
        <f t="shared" si="92"/>
        <v>697.02499999999998</v>
      </c>
    </row>
    <row r="17" spans="2:37" x14ac:dyDescent="0.2">
      <c r="AJ17" t="s">
        <v>53</v>
      </c>
      <c r="AK17" s="4">
        <v>0.01</v>
      </c>
    </row>
    <row r="18" spans="2:37" s="10" customFormat="1" x14ac:dyDescent="0.2">
      <c r="B18" s="10" t="s">
        <v>8</v>
      </c>
      <c r="C18" s="11"/>
      <c r="D18" s="11"/>
      <c r="E18" s="11"/>
      <c r="F18" s="11"/>
      <c r="G18" s="12">
        <f>G3/C3-1</f>
        <v>0.11919584954604412</v>
      </c>
      <c r="H18" s="12">
        <f>H3/D3-1</f>
        <v>0.11106236289564397</v>
      </c>
      <c r="I18" s="12">
        <f>I3/E3-1</f>
        <v>0.13024269200508387</v>
      </c>
      <c r="J18" s="12">
        <f>J3/F3-1</f>
        <v>0.17820250787162339</v>
      </c>
      <c r="K18" s="12">
        <f>K3/G3-1</f>
        <v>0.17377448139993046</v>
      </c>
      <c r="L18" s="12">
        <f t="shared" ref="L18:N18" si="93">L3/H3-1</f>
        <v>0.14999999999999991</v>
      </c>
      <c r="M18" s="12">
        <f t="shared" si="93"/>
        <v>0.14999999999999991</v>
      </c>
      <c r="N18" s="12">
        <f t="shared" si="93"/>
        <v>0.14999999999999991</v>
      </c>
      <c r="R18" s="13">
        <f>R3/Q3-1</f>
        <v>0.18880023055170292</v>
      </c>
      <c r="S18" s="13">
        <f>S3/R3-1</f>
        <v>0.13617975485219924</v>
      </c>
      <c r="T18" s="13">
        <f>T3/S3-1</f>
        <v>0.17999999999999994</v>
      </c>
      <c r="U18" s="13">
        <f t="shared" ref="U18:AH18" si="94">U3/T3-1</f>
        <v>0.10000000000000009</v>
      </c>
      <c r="V18" s="13">
        <f t="shared" si="94"/>
        <v>0.10000000000000009</v>
      </c>
      <c r="W18" s="13">
        <f t="shared" si="94"/>
        <v>5.0000000000000044E-2</v>
      </c>
      <c r="X18" s="13">
        <f t="shared" si="94"/>
        <v>3.0000000000000027E-2</v>
      </c>
      <c r="Y18" s="13">
        <f t="shared" si="94"/>
        <v>1.0000000000000009E-2</v>
      </c>
      <c r="Z18" s="13">
        <f t="shared" si="94"/>
        <v>1.0000000000000009E-2</v>
      </c>
      <c r="AA18" s="13">
        <f t="shared" si="94"/>
        <v>-2.0000000000000018E-2</v>
      </c>
      <c r="AB18" s="13">
        <f t="shared" si="94"/>
        <v>-2.0000000000000018E-2</v>
      </c>
      <c r="AC18" s="13">
        <f t="shared" si="94"/>
        <v>-2.0000000000000018E-2</v>
      </c>
      <c r="AD18" s="13">
        <f t="shared" si="94"/>
        <v>-2.0000000000000018E-2</v>
      </c>
      <c r="AE18" s="13">
        <f t="shared" si="94"/>
        <v>-2.0000000000000018E-2</v>
      </c>
      <c r="AF18" s="13">
        <f t="shared" si="94"/>
        <v>-2.0000000000000018E-2</v>
      </c>
      <c r="AG18" s="13">
        <f t="shared" si="94"/>
        <v>-2.0000000000000018E-2</v>
      </c>
      <c r="AH18" s="13">
        <f t="shared" si="94"/>
        <v>-2.0000000000000018E-2</v>
      </c>
      <c r="AJ18" s="10" t="s">
        <v>50</v>
      </c>
      <c r="AK18" s="13">
        <v>-0.01</v>
      </c>
    </row>
    <row r="19" spans="2:37" x14ac:dyDescent="0.2">
      <c r="B19" t="s">
        <v>33</v>
      </c>
      <c r="AJ19" t="s">
        <v>51</v>
      </c>
      <c r="AK19" s="4">
        <v>0.06</v>
      </c>
    </row>
    <row r="20" spans="2:37" x14ac:dyDescent="0.2">
      <c r="B20" t="s">
        <v>47</v>
      </c>
      <c r="G20" s="6">
        <f t="shared" ref="G20:I21" si="95">G6/C6-1</f>
        <v>0.29492003762935082</v>
      </c>
      <c r="H20" s="6">
        <f t="shared" si="95"/>
        <v>0.24620196604110811</v>
      </c>
      <c r="I20" s="6">
        <f t="shared" si="95"/>
        <v>0.21657250470809797</v>
      </c>
      <c r="J20" s="6">
        <f>J6/F6-1</f>
        <v>0.24777817276928538</v>
      </c>
      <c r="K20" s="6">
        <f t="shared" ref="K20:N21" si="96">K6/G6-1</f>
        <v>0.22302942244823831</v>
      </c>
      <c r="L20" s="6">
        <f t="shared" si="96"/>
        <v>0.19999999999999996</v>
      </c>
      <c r="M20" s="6">
        <f t="shared" si="96"/>
        <v>0.19999999999999996</v>
      </c>
      <c r="N20" s="6">
        <f t="shared" si="96"/>
        <v>0.19999999999999996</v>
      </c>
      <c r="U20" s="4">
        <f>U6/T6-1</f>
        <v>5.0000000000000044E-2</v>
      </c>
      <c r="V20" s="4">
        <f t="shared" ref="V20:AH20" si="97">V6/U6-1</f>
        <v>5.0000000000000044E-2</v>
      </c>
      <c r="W20" s="4">
        <f t="shared" si="97"/>
        <v>5.0000000000000044E-2</v>
      </c>
      <c r="X20" s="4">
        <f t="shared" si="97"/>
        <v>5.0000000000000044E-2</v>
      </c>
      <c r="Y20" s="4">
        <f t="shared" si="97"/>
        <v>1.0000000000000009E-2</v>
      </c>
      <c r="Z20" s="4">
        <f t="shared" si="97"/>
        <v>1.0000000000000009E-2</v>
      </c>
      <c r="AA20" s="4">
        <f t="shared" si="97"/>
        <v>1.0000000000000009E-2</v>
      </c>
      <c r="AB20" s="4">
        <f t="shared" si="97"/>
        <v>1.0000000000000009E-2</v>
      </c>
      <c r="AC20" s="4">
        <f t="shared" si="97"/>
        <v>1.0000000000000009E-2</v>
      </c>
      <c r="AD20" s="4">
        <f t="shared" si="97"/>
        <v>1.0000000000000009E-2</v>
      </c>
      <c r="AE20" s="4">
        <f t="shared" si="97"/>
        <v>1.0000000000000009E-2</v>
      </c>
      <c r="AF20" s="4">
        <f t="shared" si="97"/>
        <v>1.0000000000000009E-2</v>
      </c>
      <c r="AG20" s="4">
        <f t="shared" si="97"/>
        <v>1.0000000000000009E-2</v>
      </c>
      <c r="AH20" s="4">
        <f t="shared" si="97"/>
        <v>1.0000000000000009E-2</v>
      </c>
      <c r="AJ20" t="s">
        <v>52</v>
      </c>
      <c r="AK20" s="2">
        <f>NPV(AK19,U14:DG14)+T14+J30</f>
        <v>487063.30732337042</v>
      </c>
    </row>
    <row r="21" spans="2:37" x14ac:dyDescent="0.2">
      <c r="B21" t="s">
        <v>49</v>
      </c>
      <c r="G21" s="6">
        <f t="shared" si="95"/>
        <v>0.19433198380566807</v>
      </c>
      <c r="H21" s="6">
        <f t="shared" si="95"/>
        <v>7.1612570839773237E-2</v>
      </c>
      <c r="I21" s="6">
        <f t="shared" si="95"/>
        <v>6.6698656429942327E-2</v>
      </c>
      <c r="J21" s="6">
        <f t="shared" ref="J21" si="98">J7/F7-1</f>
        <v>0.12705090450147249</v>
      </c>
      <c r="K21" s="6">
        <f t="shared" si="96"/>
        <v>0.15593220338983049</v>
      </c>
      <c r="L21" s="6">
        <f t="shared" si="96"/>
        <v>0.12000000000000011</v>
      </c>
      <c r="M21" s="6">
        <f t="shared" si="96"/>
        <v>0.12000000000000011</v>
      </c>
      <c r="N21" s="6">
        <f t="shared" si="96"/>
        <v>0.12000000000000011</v>
      </c>
      <c r="U21" s="4">
        <f t="shared" ref="U21:AH22" si="99">U7/T7-1</f>
        <v>2.0000000000000018E-2</v>
      </c>
      <c r="V21" s="4">
        <f t="shared" si="99"/>
        <v>2.0000000000000018E-2</v>
      </c>
      <c r="W21" s="4">
        <f t="shared" si="99"/>
        <v>2.0000000000000018E-2</v>
      </c>
      <c r="X21" s="4">
        <f t="shared" si="99"/>
        <v>2.0000000000000018E-2</v>
      </c>
      <c r="Y21" s="4">
        <f t="shared" si="99"/>
        <v>2.0000000000000018E-2</v>
      </c>
      <c r="Z21" s="4">
        <f t="shared" si="99"/>
        <v>2.0000000000000018E-2</v>
      </c>
      <c r="AA21" s="4">
        <f t="shared" si="99"/>
        <v>2.0000000000000018E-2</v>
      </c>
      <c r="AB21" s="4">
        <f t="shared" si="99"/>
        <v>2.0000000000000018E-2</v>
      </c>
      <c r="AC21" s="4">
        <f t="shared" si="99"/>
        <v>2.0000000000000018E-2</v>
      </c>
      <c r="AD21" s="4">
        <f t="shared" si="99"/>
        <v>2.0000000000000018E-2</v>
      </c>
      <c r="AE21" s="4">
        <f t="shared" si="99"/>
        <v>2.0000000000000018E-2</v>
      </c>
      <c r="AF21" s="4">
        <f t="shared" si="99"/>
        <v>2.0000000000000018E-2</v>
      </c>
      <c r="AG21" s="4">
        <f t="shared" si="99"/>
        <v>2.0000000000000018E-2</v>
      </c>
      <c r="AH21" s="4">
        <f t="shared" si="99"/>
        <v>2.0000000000000018E-2</v>
      </c>
      <c r="AJ21" t="s">
        <v>54</v>
      </c>
      <c r="AK21" s="2">
        <f>AK20/Main!J3</f>
        <v>709.18605243417278</v>
      </c>
    </row>
    <row r="22" spans="2:37" x14ac:dyDescent="0.2">
      <c r="B22" t="s">
        <v>48</v>
      </c>
      <c r="G22" s="6">
        <f>G8/C8-1</f>
        <v>9.9395567494963144E-2</v>
      </c>
      <c r="H22" s="6">
        <f>H8/D8-1</f>
        <v>3.2763532763532721E-2</v>
      </c>
      <c r="I22" s="6">
        <f>I8/E8-1</f>
        <v>8.2051282051281982E-2</v>
      </c>
      <c r="J22" s="6">
        <f>J8/F8-1</f>
        <v>-1.3182674199623379E-2</v>
      </c>
      <c r="K22" s="6">
        <f t="shared" ref="K22:N22" si="100">K8/G8-1</f>
        <v>-7.5748320097739796E-2</v>
      </c>
      <c r="L22" s="6">
        <f t="shared" si="100"/>
        <v>1.0000000000000009E-2</v>
      </c>
      <c r="M22" s="6">
        <f t="shared" si="100"/>
        <v>1.0000000000000009E-2</v>
      </c>
      <c r="N22" s="6">
        <f t="shared" si="100"/>
        <v>1.0000000000000009E-2</v>
      </c>
      <c r="U22" s="4">
        <f t="shared" si="99"/>
        <v>1.0000000000000009E-2</v>
      </c>
      <c r="V22" s="4">
        <f t="shared" si="99"/>
        <v>1.0000000000000009E-2</v>
      </c>
      <c r="W22" s="4">
        <f t="shared" si="99"/>
        <v>1.0000000000000009E-2</v>
      </c>
      <c r="X22" s="4">
        <f t="shared" si="99"/>
        <v>1.0000000000000009E-2</v>
      </c>
      <c r="Y22" s="4">
        <f t="shared" si="99"/>
        <v>1.0000000000000009E-2</v>
      </c>
      <c r="Z22" s="4">
        <f t="shared" si="99"/>
        <v>1.0000000000000009E-2</v>
      </c>
      <c r="AA22" s="4">
        <f t="shared" si="99"/>
        <v>1.0000000000000009E-2</v>
      </c>
      <c r="AB22" s="4">
        <f t="shared" si="99"/>
        <v>1.0000000000000009E-2</v>
      </c>
      <c r="AC22" s="4">
        <f t="shared" si="99"/>
        <v>1.0000000000000009E-2</v>
      </c>
      <c r="AD22" s="4">
        <f t="shared" si="99"/>
        <v>1.0000000000000009E-2</v>
      </c>
      <c r="AE22" s="4">
        <f t="shared" si="99"/>
        <v>1.0000000000000009E-2</v>
      </c>
      <c r="AF22" s="4">
        <f t="shared" si="99"/>
        <v>1.0000000000000009E-2</v>
      </c>
      <c r="AG22" s="4">
        <f t="shared" si="99"/>
        <v>1.0000000000000009E-2</v>
      </c>
      <c r="AH22" s="4">
        <f t="shared" si="99"/>
        <v>1.0000000000000009E-2</v>
      </c>
      <c r="AJ22" t="s">
        <v>55</v>
      </c>
      <c r="AK22">
        <v>725</v>
      </c>
    </row>
    <row r="23" spans="2:37" x14ac:dyDescent="0.2">
      <c r="AJ23" s="10" t="s">
        <v>56</v>
      </c>
      <c r="AK23" s="13">
        <f>AK21/AK22-1</f>
        <v>-2.1812341470106467E-2</v>
      </c>
    </row>
    <row r="25" spans="2:37" x14ac:dyDescent="0.2">
      <c r="B25" t="s">
        <v>20</v>
      </c>
      <c r="C25" s="6">
        <f t="shared" ref="C25" si="101">C5/C3</f>
        <v>0.61342412451361872</v>
      </c>
      <c r="D25" s="6">
        <f t="shared" ref="D25:J25" si="102">D5/D3</f>
        <v>0.61679724224381072</v>
      </c>
      <c r="E25" s="6">
        <f t="shared" si="102"/>
        <v>0.59480723839496463</v>
      </c>
      <c r="F25" s="6">
        <f t="shared" si="102"/>
        <v>0.61768767607578856</v>
      </c>
      <c r="G25" s="6">
        <f t="shared" si="102"/>
        <v>0.63170703441882026</v>
      </c>
      <c r="H25" s="6">
        <f t="shared" si="102"/>
        <v>0.62864556890618828</v>
      </c>
      <c r="I25" s="6">
        <f t="shared" si="102"/>
        <v>0.62318607764390899</v>
      </c>
      <c r="J25" s="6">
        <f t="shared" si="102"/>
        <v>0.61610952224670634</v>
      </c>
      <c r="K25" s="6">
        <f t="shared" ref="K25:N25" si="103">K5/K3</f>
        <v>0.62245149824751933</v>
      </c>
      <c r="L25" s="6">
        <f t="shared" si="103"/>
        <v>0.62</v>
      </c>
      <c r="M25" s="6">
        <f t="shared" si="103"/>
        <v>0.62</v>
      </c>
      <c r="N25" s="6">
        <f t="shared" si="103"/>
        <v>0.62</v>
      </c>
      <c r="T25" s="6">
        <f t="shared" ref="T25:AH25" si="104">T5/T3</f>
        <v>0.6284602306643392</v>
      </c>
      <c r="U25" s="6">
        <f t="shared" si="104"/>
        <v>0.63</v>
      </c>
      <c r="V25" s="6">
        <f t="shared" si="104"/>
        <v>0.63</v>
      </c>
      <c r="W25" s="6">
        <f t="shared" si="104"/>
        <v>0.63</v>
      </c>
      <c r="X25" s="6">
        <f t="shared" si="104"/>
        <v>0.63</v>
      </c>
      <c r="Y25" s="6">
        <f t="shared" si="104"/>
        <v>0.63</v>
      </c>
      <c r="Z25" s="6">
        <f t="shared" si="104"/>
        <v>0.63</v>
      </c>
      <c r="AA25" s="6">
        <f t="shared" si="104"/>
        <v>0.63</v>
      </c>
      <c r="AB25" s="6">
        <f t="shared" si="104"/>
        <v>0.63</v>
      </c>
      <c r="AC25" s="6">
        <f t="shared" si="104"/>
        <v>0.63</v>
      </c>
      <c r="AD25" s="6">
        <f t="shared" si="104"/>
        <v>0.63</v>
      </c>
      <c r="AE25" s="6">
        <f t="shared" si="104"/>
        <v>0.63</v>
      </c>
      <c r="AF25" s="6">
        <f t="shared" si="104"/>
        <v>0.63</v>
      </c>
      <c r="AG25" s="6">
        <f t="shared" si="104"/>
        <v>0.63</v>
      </c>
      <c r="AH25" s="6">
        <f t="shared" si="104"/>
        <v>0.63</v>
      </c>
    </row>
    <row r="26" spans="2:37" x14ac:dyDescent="0.2">
      <c r="B26" t="s">
        <v>27</v>
      </c>
      <c r="C26" s="6">
        <f t="shared" ref="C26" si="105">C10/C3</f>
        <v>0.26686121919584954</v>
      </c>
      <c r="D26" s="6">
        <f t="shared" ref="D26:J26" si="106">D10/D3</f>
        <v>0.26687558759009716</v>
      </c>
      <c r="E26" s="6">
        <f t="shared" si="106"/>
        <v>0.22538279973370454</v>
      </c>
      <c r="F26" s="6">
        <f t="shared" si="106"/>
        <v>0.24299839805557091</v>
      </c>
      <c r="G26" s="6">
        <f t="shared" si="106"/>
        <v>0.25767759879476188</v>
      </c>
      <c r="H26" s="6">
        <f t="shared" si="106"/>
        <v>0.2721836746206352</v>
      </c>
      <c r="I26" s="6">
        <f t="shared" si="106"/>
        <v>0.25210174029451138</v>
      </c>
      <c r="J26" s="6">
        <f t="shared" si="106"/>
        <v>0.25223873599324864</v>
      </c>
      <c r="K26" s="6">
        <f t="shared" ref="K26:N26" si="107">K10/K3</f>
        <v>0.26371130967073109</v>
      </c>
      <c r="L26" s="6">
        <f t="shared" si="107"/>
        <v>0.26971635015120632</v>
      </c>
      <c r="M26" s="6">
        <f t="shared" si="107"/>
        <v>0.25412932890984224</v>
      </c>
      <c r="N26" s="6">
        <f t="shared" si="107"/>
        <v>0.26122331913887398</v>
      </c>
      <c r="T26" s="6">
        <f t="shared" ref="T26:AH26" si="108">T10/T3</f>
        <v>0.2773846717857601</v>
      </c>
      <c r="U26" s="6">
        <f t="shared" si="108"/>
        <v>0.30051740059009369</v>
      </c>
      <c r="V26" s="6">
        <f t="shared" si="108"/>
        <v>0.32069641690978845</v>
      </c>
      <c r="W26" s="6">
        <f t="shared" si="108"/>
        <v>0.32572854132592105</v>
      </c>
      <c r="X26" s="6">
        <f t="shared" si="108"/>
        <v>0.32478228287907868</v>
      </c>
      <c r="Y26" s="6">
        <f t="shared" si="108"/>
        <v>0.32383761498255276</v>
      </c>
      <c r="Z26" s="6">
        <f t="shared" si="108"/>
        <v>0.3228835939385365</v>
      </c>
      <c r="AA26" s="6">
        <f t="shared" si="108"/>
        <v>0.31248911062553603</v>
      </c>
      <c r="AB26" s="6">
        <f t="shared" si="108"/>
        <v>0.30173589983648591</v>
      </c>
      <c r="AC26" s="6">
        <f t="shared" si="108"/>
        <v>0.2906113258728425</v>
      </c>
      <c r="AD26" s="6">
        <f t="shared" si="108"/>
        <v>0.27910229870875158</v>
      </c>
      <c r="AE26" s="6">
        <f t="shared" si="108"/>
        <v>0.26719525732714283</v>
      </c>
      <c r="AF26" s="6">
        <f t="shared" si="108"/>
        <v>0.25487615243321748</v>
      </c>
      <c r="AG26" s="6">
        <f t="shared" si="108"/>
        <v>0.24213042852167893</v>
      </c>
      <c r="AH26" s="6">
        <f t="shared" si="108"/>
        <v>0.22894300527314387</v>
      </c>
    </row>
    <row r="27" spans="2:37" x14ac:dyDescent="0.2">
      <c r="B27" t="s">
        <v>29</v>
      </c>
      <c r="C27" s="6">
        <f t="shared" ref="C27" si="109">C13/C12</f>
        <v>0.1838103756708408</v>
      </c>
      <c r="D27" s="6">
        <f t="shared" ref="D27:J27" si="110">D13/D12</f>
        <v>0.22348398818987053</v>
      </c>
      <c r="E27" s="6">
        <f t="shared" si="110"/>
        <v>0.24189784806844697</v>
      </c>
      <c r="F27" s="6">
        <f t="shared" si="110"/>
        <v>0.18091451292246521</v>
      </c>
      <c r="G27" s="6">
        <f t="shared" si="110"/>
        <v>0.2211120764552563</v>
      </c>
      <c r="H27" s="6">
        <f t="shared" si="110"/>
        <v>0.20682001614205003</v>
      </c>
      <c r="I27" s="6">
        <f t="shared" si="110"/>
        <v>0.18646493559599264</v>
      </c>
      <c r="J27" s="6">
        <f t="shared" si="110"/>
        <v>5.326923076923077E-2</v>
      </c>
      <c r="K27" s="6">
        <f t="shared" ref="K27:N27" si="111">K13/K12</f>
        <v>0.17976213686878534</v>
      </c>
      <c r="L27" s="6">
        <f t="shared" si="111"/>
        <v>0.19999999999999998</v>
      </c>
      <c r="M27" s="6">
        <f t="shared" si="111"/>
        <v>0.19999999999999998</v>
      </c>
      <c r="N27" s="6">
        <f t="shared" si="111"/>
        <v>0.2</v>
      </c>
      <c r="T27" s="6">
        <f t="shared" ref="T27:AH27" si="112">T13/T12</f>
        <v>0.18085112489907929</v>
      </c>
      <c r="U27" s="6">
        <f t="shared" si="112"/>
        <v>0.2</v>
      </c>
      <c r="V27" s="6">
        <f t="shared" si="112"/>
        <v>0.2</v>
      </c>
      <c r="W27" s="6">
        <f t="shared" si="112"/>
        <v>0.2</v>
      </c>
      <c r="X27" s="6">
        <f t="shared" si="112"/>
        <v>0.2</v>
      </c>
      <c r="Y27" s="6">
        <f t="shared" si="112"/>
        <v>0.2</v>
      </c>
      <c r="Z27" s="6">
        <f t="shared" si="112"/>
        <v>0.2</v>
      </c>
      <c r="AA27" s="6">
        <f t="shared" si="112"/>
        <v>0.2</v>
      </c>
      <c r="AB27" s="6">
        <f t="shared" si="112"/>
        <v>0.2</v>
      </c>
      <c r="AC27" s="6">
        <f t="shared" si="112"/>
        <v>0.2</v>
      </c>
      <c r="AD27" s="6">
        <f t="shared" si="112"/>
        <v>0.2</v>
      </c>
      <c r="AE27" s="6">
        <f t="shared" si="112"/>
        <v>0.2</v>
      </c>
      <c r="AF27" s="6">
        <f t="shared" si="112"/>
        <v>0.2</v>
      </c>
      <c r="AG27" s="6">
        <f t="shared" si="112"/>
        <v>0.2</v>
      </c>
      <c r="AH27" s="6">
        <f t="shared" si="112"/>
        <v>0.20000000000000004</v>
      </c>
    </row>
    <row r="29" spans="2:37" x14ac:dyDescent="0.2">
      <c r="B29" t="s">
        <v>75</v>
      </c>
      <c r="J29" s="5">
        <f>J30-J41</f>
        <v>73029</v>
      </c>
      <c r="K29" s="5">
        <f>K30-K41</f>
        <v>75633</v>
      </c>
      <c r="L29" s="5">
        <f>+K29+L14</f>
        <v>80111.760800000004</v>
      </c>
      <c r="M29" s="5">
        <f t="shared" ref="M29:N29" si="113">+L29+M14</f>
        <v>84557.9568</v>
      </c>
      <c r="N29" s="5">
        <f t="shared" si="113"/>
        <v>89763.858399999997</v>
      </c>
    </row>
    <row r="30" spans="2:37" s="2" customFormat="1" x14ac:dyDescent="0.2">
      <c r="B30" s="2" t="s">
        <v>3</v>
      </c>
      <c r="C30" s="5"/>
      <c r="D30" s="5"/>
      <c r="E30" s="5"/>
      <c r="F30" s="5"/>
      <c r="G30" s="5"/>
      <c r="H30" s="5"/>
      <c r="I30" s="5"/>
      <c r="J30" s="5">
        <f>16549+56517+5183</f>
        <v>78249</v>
      </c>
      <c r="K30" s="5">
        <f>15111+60153+5577</f>
        <v>80841</v>
      </c>
      <c r="L30" s="5"/>
      <c r="M30" s="5"/>
      <c r="N30" s="5"/>
      <c r="T30" s="2">
        <f>+N30</f>
        <v>0</v>
      </c>
      <c r="U30" s="2">
        <f>+T30+U14</f>
        <v>23400.862527999994</v>
      </c>
      <c r="V30" s="2">
        <f t="shared" ref="V30:AH30" si="114">+U30+V14</f>
        <v>51057.460637023993</v>
      </c>
      <c r="W30" s="2">
        <f t="shared" si="114"/>
        <v>80761.361339392184</v>
      </c>
      <c r="X30" s="2">
        <f t="shared" si="114"/>
        <v>111494.09854606309</v>
      </c>
      <c r="Y30" s="2">
        <f t="shared" si="114"/>
        <v>142685.17841860311</v>
      </c>
      <c r="Z30" s="2">
        <f t="shared" si="114"/>
        <v>174338.62479212251</v>
      </c>
      <c r="AA30" s="2">
        <f t="shared" si="114"/>
        <v>204672.44320664043</v>
      </c>
      <c r="AB30" s="2">
        <f t="shared" si="114"/>
        <v>233694.2293276932</v>
      </c>
      <c r="AC30" s="2">
        <f t="shared" si="114"/>
        <v>261411.06992296179</v>
      </c>
      <c r="AD30" s="2">
        <f t="shared" si="114"/>
        <v>287829.54664695484</v>
      </c>
      <c r="AE30" s="2">
        <f t="shared" si="114"/>
        <v>312955.73963405209</v>
      </c>
      <c r="AF30" s="2">
        <f t="shared" si="114"/>
        <v>336795.23090157629</v>
      </c>
      <c r="AG30" s="2">
        <f t="shared" si="114"/>
        <v>359353.10756448808</v>
      </c>
      <c r="AH30" s="2">
        <f t="shared" si="114"/>
        <v>380633.96486322308</v>
      </c>
    </row>
    <row r="31" spans="2:37" s="2" customFormat="1" x14ac:dyDescent="0.2">
      <c r="B31" s="2" t="s">
        <v>58</v>
      </c>
      <c r="C31" s="5"/>
      <c r="D31" s="5"/>
      <c r="E31" s="5"/>
      <c r="F31" s="5"/>
      <c r="G31" s="5"/>
      <c r="H31" s="5"/>
      <c r="I31" s="5"/>
      <c r="J31" s="5">
        <v>11556</v>
      </c>
      <c r="K31" s="5">
        <v>10818</v>
      </c>
      <c r="L31" s="5"/>
      <c r="M31" s="5"/>
      <c r="N31" s="5"/>
    </row>
    <row r="32" spans="2:37" s="2" customFormat="1" x14ac:dyDescent="0.2">
      <c r="B32" s="2" t="s">
        <v>59</v>
      </c>
      <c r="C32" s="5"/>
      <c r="D32" s="5"/>
      <c r="E32" s="5"/>
      <c r="F32" s="5"/>
      <c r="G32" s="5"/>
      <c r="H32" s="5"/>
      <c r="I32" s="5"/>
      <c r="J32" s="5">
        <v>450</v>
      </c>
      <c r="K32" s="5">
        <v>350</v>
      </c>
      <c r="L32" s="5"/>
      <c r="M32" s="5"/>
      <c r="N32" s="5"/>
    </row>
    <row r="33" spans="2:14" s="2" customFormat="1" x14ac:dyDescent="0.2">
      <c r="B33" s="2" t="s">
        <v>60</v>
      </c>
      <c r="C33" s="5"/>
      <c r="D33" s="5"/>
      <c r="E33" s="5"/>
      <c r="F33" s="5"/>
      <c r="G33" s="5"/>
      <c r="H33" s="5"/>
      <c r="I33" s="5"/>
      <c r="J33" s="5">
        <v>1903</v>
      </c>
      <c r="K33" s="5">
        <v>1804</v>
      </c>
      <c r="L33" s="5"/>
      <c r="M33" s="5"/>
      <c r="N33" s="5"/>
    </row>
    <row r="34" spans="2:14" s="2" customFormat="1" x14ac:dyDescent="0.2">
      <c r="B34" s="2" t="s">
        <v>61</v>
      </c>
      <c r="C34" s="5"/>
      <c r="D34" s="5"/>
      <c r="E34" s="5"/>
      <c r="F34" s="5"/>
      <c r="G34" s="5"/>
      <c r="H34" s="5"/>
      <c r="I34" s="5"/>
      <c r="J34" s="5">
        <f>3139+3181</f>
        <v>6320</v>
      </c>
      <c r="K34" s="5">
        <f>2719+3297</f>
        <v>6016</v>
      </c>
      <c r="L34" s="5"/>
      <c r="M34" s="5"/>
      <c r="N34" s="5"/>
    </row>
    <row r="35" spans="2:14" s="2" customFormat="1" x14ac:dyDescent="0.2">
      <c r="B35" s="2" t="s">
        <v>62</v>
      </c>
      <c r="C35" s="5"/>
      <c r="D35" s="5"/>
      <c r="E35" s="5"/>
      <c r="F35" s="5"/>
      <c r="G35" s="5"/>
      <c r="H35" s="5"/>
      <c r="I35" s="5"/>
      <c r="J35" s="5">
        <v>251</v>
      </c>
      <c r="K35" s="5">
        <v>233</v>
      </c>
      <c r="L35" s="5"/>
      <c r="M35" s="5"/>
      <c r="N35" s="5"/>
    </row>
    <row r="36" spans="2:14" s="2" customFormat="1" x14ac:dyDescent="0.2">
      <c r="B36" s="2" t="s">
        <v>63</v>
      </c>
      <c r="C36" s="5"/>
      <c r="D36" s="5"/>
      <c r="E36" s="5"/>
      <c r="F36" s="5"/>
      <c r="G36" s="5"/>
      <c r="H36" s="5"/>
      <c r="I36" s="5"/>
      <c r="J36" s="5">
        <v>29016</v>
      </c>
      <c r="K36" s="5">
        <v>30162</v>
      </c>
      <c r="L36" s="5"/>
      <c r="M36" s="5"/>
      <c r="N36" s="5"/>
    </row>
    <row r="37" spans="2:14" s="2" customFormat="1" x14ac:dyDescent="0.2">
      <c r="B37" s="2" t="s">
        <v>64</v>
      </c>
      <c r="C37" s="5"/>
      <c r="D37" s="5"/>
      <c r="E37" s="5"/>
      <c r="F37" s="5"/>
      <c r="G37" s="5"/>
      <c r="H37" s="5"/>
      <c r="I37" s="5"/>
      <c r="J37" s="5">
        <f>3847+15869</f>
        <v>19716</v>
      </c>
      <c r="K37" s="5">
        <f>3657+15866</f>
        <v>19523</v>
      </c>
      <c r="L37" s="5"/>
      <c r="M37" s="5"/>
      <c r="N37" s="5"/>
    </row>
    <row r="38" spans="2:14" s="2" customFormat="1" x14ac:dyDescent="0.2">
      <c r="B38" s="2" t="s">
        <v>65</v>
      </c>
      <c r="C38" s="5"/>
      <c r="D38" s="5"/>
      <c r="E38" s="5"/>
      <c r="F38" s="5"/>
      <c r="G38" s="5"/>
      <c r="H38" s="5"/>
      <c r="I38" s="5"/>
      <c r="J38" s="5">
        <f>SUM(J30:J37)</f>
        <v>147461</v>
      </c>
      <c r="K38" s="5">
        <f>SUM(K30:K37)</f>
        <v>149747</v>
      </c>
      <c r="L38" s="5"/>
      <c r="M38" s="5"/>
      <c r="N38" s="5"/>
    </row>
    <row r="39" spans="2:14" s="2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s="2" customFormat="1" x14ac:dyDescent="0.2">
      <c r="B40" s="2" t="s">
        <v>66</v>
      </c>
      <c r="C40" s="5"/>
      <c r="D40" s="5"/>
      <c r="E40" s="5"/>
      <c r="F40" s="5"/>
      <c r="G40" s="5"/>
      <c r="H40" s="5"/>
      <c r="I40" s="5"/>
      <c r="J40" s="5">
        <v>1931</v>
      </c>
      <c r="K40" s="5">
        <v>1667</v>
      </c>
      <c r="L40" s="5"/>
      <c r="M40" s="5"/>
      <c r="N40" s="5"/>
    </row>
    <row r="41" spans="2:14" s="2" customFormat="1" x14ac:dyDescent="0.2">
      <c r="B41" s="2" t="s">
        <v>4</v>
      </c>
      <c r="C41" s="5"/>
      <c r="D41" s="5"/>
      <c r="E41" s="5"/>
      <c r="F41" s="5"/>
      <c r="G41" s="5"/>
      <c r="H41" s="5"/>
      <c r="I41" s="5"/>
      <c r="J41" s="5">
        <f>3225+1995</f>
        <v>5220</v>
      </c>
      <c r="K41" s="5">
        <f>3221+1987</f>
        <v>5208</v>
      </c>
      <c r="L41" s="5"/>
      <c r="M41" s="5"/>
      <c r="N41" s="5"/>
    </row>
    <row r="42" spans="2:14" s="2" customFormat="1" x14ac:dyDescent="0.2">
      <c r="B42" s="2" t="s">
        <v>67</v>
      </c>
      <c r="C42" s="5"/>
      <c r="D42" s="5"/>
      <c r="E42" s="5"/>
      <c r="F42" s="5"/>
      <c r="G42" s="5"/>
      <c r="H42" s="5"/>
      <c r="I42" s="5"/>
      <c r="J42" s="5">
        <v>3539</v>
      </c>
      <c r="K42" s="5">
        <v>2618</v>
      </c>
      <c r="L42" s="5"/>
      <c r="M42" s="5"/>
      <c r="N42" s="5"/>
    </row>
    <row r="43" spans="2:14" s="2" customFormat="1" x14ac:dyDescent="0.2">
      <c r="B43" s="2" t="s">
        <v>68</v>
      </c>
      <c r="C43" s="5"/>
      <c r="D43" s="5"/>
      <c r="E43" s="5"/>
      <c r="F43" s="5"/>
      <c r="G43" s="5"/>
      <c r="H43" s="5"/>
      <c r="I43" s="5"/>
      <c r="J43" s="5">
        <v>4768</v>
      </c>
      <c r="K43" s="5">
        <v>4517</v>
      </c>
      <c r="L43" s="5"/>
      <c r="M43" s="5"/>
      <c r="N43" s="5"/>
    </row>
    <row r="44" spans="2:14" s="2" customFormat="1" x14ac:dyDescent="0.2">
      <c r="B44" s="2" t="s">
        <v>69</v>
      </c>
      <c r="C44" s="5"/>
      <c r="D44" s="5"/>
      <c r="E44" s="5"/>
      <c r="F44" s="5"/>
      <c r="G44" s="5"/>
      <c r="H44" s="5"/>
      <c r="I44" s="5"/>
      <c r="J44" s="5">
        <v>2329</v>
      </c>
      <c r="K44" s="5">
        <v>2227</v>
      </c>
      <c r="L44" s="5"/>
      <c r="M44" s="5"/>
      <c r="N44" s="5"/>
    </row>
    <row r="45" spans="2:14" s="2" customFormat="1" x14ac:dyDescent="0.2">
      <c r="B45" s="2" t="s">
        <v>70</v>
      </c>
      <c r="C45" s="5"/>
      <c r="D45" s="5"/>
      <c r="E45" s="5"/>
      <c r="F45" s="5"/>
      <c r="G45" s="5"/>
      <c r="H45" s="5"/>
      <c r="I45" s="5"/>
      <c r="J45" s="5">
        <v>2428</v>
      </c>
      <c r="K45" s="5">
        <v>2171</v>
      </c>
      <c r="L45" s="5"/>
      <c r="M45" s="5"/>
      <c r="N45" s="5"/>
    </row>
    <row r="46" spans="2:14" s="2" customFormat="1" x14ac:dyDescent="0.2">
      <c r="B46" s="2" t="s">
        <v>71</v>
      </c>
      <c r="C46" s="5"/>
      <c r="D46" s="5"/>
      <c r="E46" s="5"/>
      <c r="F46" s="5"/>
      <c r="G46" s="5"/>
      <c r="H46" s="5"/>
      <c r="I46" s="5"/>
      <c r="J46" s="5">
        <f>788+151</f>
        <v>939</v>
      </c>
      <c r="K46" s="5">
        <f>933+131</f>
        <v>1064</v>
      </c>
      <c r="L46" s="5"/>
      <c r="M46" s="5"/>
      <c r="N46" s="5"/>
    </row>
    <row r="47" spans="2:14" s="2" customFormat="1" x14ac:dyDescent="0.2">
      <c r="B47" s="2" t="s">
        <v>29</v>
      </c>
      <c r="C47" s="5"/>
      <c r="D47" s="5"/>
      <c r="E47" s="5"/>
      <c r="F47" s="5"/>
      <c r="G47" s="5"/>
      <c r="H47" s="5"/>
      <c r="I47" s="5"/>
      <c r="J47" s="5">
        <f>302+3663</f>
        <v>3965</v>
      </c>
      <c r="K47" s="5">
        <f>330+3812</f>
        <v>4142</v>
      </c>
      <c r="L47" s="5"/>
      <c r="M47" s="5"/>
      <c r="N47" s="5"/>
    </row>
    <row r="48" spans="2:14" s="2" customFormat="1" x14ac:dyDescent="0.2">
      <c r="B48" s="2" t="s">
        <v>62</v>
      </c>
      <c r="C48" s="5"/>
      <c r="D48" s="5"/>
      <c r="E48" s="5"/>
      <c r="F48" s="5"/>
      <c r="G48" s="5"/>
      <c r="H48" s="5"/>
      <c r="I48" s="5"/>
      <c r="J48" s="5">
        <v>189</v>
      </c>
      <c r="K48" s="5">
        <v>599</v>
      </c>
      <c r="L48" s="5"/>
      <c r="M48" s="5"/>
      <c r="N48" s="5"/>
    </row>
    <row r="49" spans="2:26" s="2" customFormat="1" x14ac:dyDescent="0.2">
      <c r="B49" s="2" t="s">
        <v>72</v>
      </c>
      <c r="C49" s="5"/>
      <c r="D49" s="5"/>
      <c r="E49" s="5"/>
      <c r="F49" s="5"/>
      <c r="G49" s="5"/>
      <c r="H49" s="5"/>
      <c r="I49" s="5"/>
      <c r="J49" s="5">
        <v>1822</v>
      </c>
      <c r="K49" s="5">
        <v>1965</v>
      </c>
      <c r="L49" s="5"/>
      <c r="M49" s="5"/>
      <c r="N49" s="5"/>
    </row>
    <row r="50" spans="2:26" s="2" customFormat="1" x14ac:dyDescent="0.2">
      <c r="B50" s="2" t="s">
        <v>73</v>
      </c>
      <c r="C50" s="5"/>
      <c r="D50" s="5"/>
      <c r="E50" s="5"/>
      <c r="F50" s="5"/>
      <c r="G50" s="5"/>
      <c r="H50" s="5"/>
      <c r="I50" s="5"/>
      <c r="J50" s="5">
        <v>120331</v>
      </c>
      <c r="K50" s="5">
        <v>123569</v>
      </c>
      <c r="L50" s="5"/>
      <c r="M50" s="5"/>
      <c r="N50" s="5"/>
    </row>
    <row r="51" spans="2:26" s="2" customFormat="1" x14ac:dyDescent="0.2">
      <c r="B51" s="2" t="s">
        <v>74</v>
      </c>
      <c r="C51" s="5"/>
      <c r="D51" s="5"/>
      <c r="E51" s="5"/>
      <c r="F51" s="5"/>
      <c r="G51" s="5"/>
      <c r="H51" s="5"/>
      <c r="I51" s="5"/>
      <c r="J51" s="5">
        <f>SUM(J40:J50)</f>
        <v>147461</v>
      </c>
      <c r="K51" s="5">
        <f>SUM(K40:K50)</f>
        <v>149747</v>
      </c>
      <c r="L51" s="5"/>
      <c r="M51" s="5"/>
      <c r="N51" s="5"/>
    </row>
    <row r="53" spans="2:26" s="7" customFormat="1" x14ac:dyDescent="0.2">
      <c r="B53" s="7" t="s">
        <v>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T53" s="7">
        <v>600000</v>
      </c>
      <c r="U53" s="7">
        <f>+T53*1.01</f>
        <v>606000</v>
      </c>
      <c r="V53" s="7">
        <f t="shared" ref="V53:Z53" si="115">+U53*1.01</f>
        <v>612060</v>
      </c>
      <c r="W53" s="7">
        <f t="shared" si="115"/>
        <v>618180.6</v>
      </c>
      <c r="X53" s="7">
        <f t="shared" si="115"/>
        <v>624362.40599999996</v>
      </c>
      <c r="Y53" s="7">
        <f t="shared" si="115"/>
        <v>630606.03006000002</v>
      </c>
      <c r="Z53" s="7">
        <f t="shared" si="115"/>
        <v>636912.09036060004</v>
      </c>
    </row>
    <row r="54" spans="2:26" x14ac:dyDescent="0.2">
      <c r="B54" t="s">
        <v>34</v>
      </c>
      <c r="T54" s="2">
        <f>+T3</f>
        <v>88487.01999999999</v>
      </c>
      <c r="U54" s="2">
        <f t="shared" ref="U54:Z54" si="116">+U3</f>
        <v>97335.721999999994</v>
      </c>
      <c r="V54" s="2">
        <f t="shared" si="116"/>
        <v>107069.2942</v>
      </c>
      <c r="W54" s="2">
        <f t="shared" si="116"/>
        <v>112422.75891</v>
      </c>
      <c r="X54" s="2">
        <f t="shared" si="116"/>
        <v>115795.44167730001</v>
      </c>
      <c r="Y54" s="2">
        <f t="shared" si="116"/>
        <v>116953.39609407302</v>
      </c>
      <c r="Z54" s="2">
        <f t="shared" si="116"/>
        <v>118122.93005501376</v>
      </c>
    </row>
    <row r="55" spans="2:26" x14ac:dyDescent="0.2">
      <c r="B55" t="s">
        <v>42</v>
      </c>
      <c r="T55" s="2">
        <v>25000</v>
      </c>
    </row>
    <row r="56" spans="2:26" x14ac:dyDescent="0.2">
      <c r="B56" t="s">
        <v>43</v>
      </c>
      <c r="T56" s="2">
        <v>12000</v>
      </c>
    </row>
    <row r="57" spans="2:26" x14ac:dyDescent="0.2">
      <c r="B57" t="s">
        <v>41</v>
      </c>
      <c r="T57" s="2">
        <v>3570</v>
      </c>
    </row>
    <row r="58" spans="2:26" x14ac:dyDescent="0.2">
      <c r="B58" t="s">
        <v>46</v>
      </c>
      <c r="T58" s="2">
        <v>3000</v>
      </c>
    </row>
    <row r="59" spans="2:26" x14ac:dyDescent="0.2">
      <c r="B59" t="s">
        <v>40</v>
      </c>
      <c r="T59" s="2">
        <f>SUM(T54:T58)</f>
        <v>132057.01999999999</v>
      </c>
    </row>
    <row r="60" spans="2:26" s="10" customFormat="1" x14ac:dyDescent="0.2">
      <c r="B60" s="10" t="s">
        <v>44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T60" s="13">
        <f>T59/T53</f>
        <v>0.22009503333333333</v>
      </c>
    </row>
    <row r="61" spans="2:26" x14ac:dyDescent="0.2">
      <c r="T61" s="4"/>
    </row>
    <row r="62" spans="2:26" x14ac:dyDescent="0.2">
      <c r="B62" t="s">
        <v>35</v>
      </c>
      <c r="T62" s="2">
        <f>12000*1.4</f>
        <v>16800</v>
      </c>
    </row>
    <row r="63" spans="2:26" x14ac:dyDescent="0.2">
      <c r="B63" t="s">
        <v>36</v>
      </c>
      <c r="T63" s="2">
        <v>15000</v>
      </c>
    </row>
    <row r="64" spans="2:26" s="14" customFormat="1" x14ac:dyDescent="0.2">
      <c r="B64" s="14" t="s">
        <v>39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T64" s="16">
        <f>T63+T62+T59</f>
        <v>163857.01999999999</v>
      </c>
    </row>
    <row r="65" spans="2:26" x14ac:dyDescent="0.2">
      <c r="B65" t="s">
        <v>45</v>
      </c>
      <c r="T65" s="4">
        <f>T64/T53</f>
        <v>0.27309503333333329</v>
      </c>
    </row>
    <row r="66" spans="2:26" x14ac:dyDescent="0.2">
      <c r="T66" s="4"/>
    </row>
    <row r="67" spans="2:26" s="10" customFormat="1" x14ac:dyDescent="0.2">
      <c r="B67" s="10" t="s">
        <v>38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T67" s="13">
        <f>T54/T53</f>
        <v>0.14747836666666664</v>
      </c>
      <c r="U67" s="13">
        <f t="shared" ref="U67:Z67" si="117">U54/U53</f>
        <v>0.16062000330033002</v>
      </c>
      <c r="V67" s="13">
        <f t="shared" si="117"/>
        <v>0.1749326768617456</v>
      </c>
      <c r="W67" s="13">
        <f t="shared" si="117"/>
        <v>0.18186070366815135</v>
      </c>
      <c r="X67" s="13">
        <f t="shared" si="117"/>
        <v>0.18546190572098606</v>
      </c>
      <c r="Y67" s="13">
        <f t="shared" si="117"/>
        <v>0.18546190572098606</v>
      </c>
      <c r="Z67" s="13">
        <f t="shared" si="117"/>
        <v>0.18546190572098606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2016-03-10T01:21:02Z</dcterms:created>
  <dcterms:modified xsi:type="dcterms:W3CDTF">2016-04-29T05:21:01Z</dcterms:modified>
</cp:coreProperties>
</file>