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1645" windowHeight="12225" activeTab="1"/>
  </bookViews>
  <sheets>
    <sheet name="Main" sheetId="1" r:id="rId1"/>
    <sheet name="Model" sheetId="2" r:id="rId2"/>
    <sheet name="Review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7" i="2" l="1"/>
  <c r="K112" i="2"/>
  <c r="K113" i="2"/>
  <c r="K32" i="2"/>
  <c r="Z22" i="2" l="1"/>
  <c r="AA22" i="2" s="1"/>
  <c r="AB22" i="2" s="1"/>
  <c r="Y22" i="2"/>
  <c r="Z16" i="2"/>
  <c r="Y16" i="2"/>
  <c r="W8" i="2"/>
  <c r="V8" i="2"/>
  <c r="U8" i="2"/>
  <c r="T8" i="2"/>
  <c r="S8" i="2"/>
  <c r="R8" i="2"/>
  <c r="Q8" i="2"/>
  <c r="P8" i="2"/>
  <c r="K8" i="2"/>
  <c r="J8" i="2"/>
  <c r="I8" i="2"/>
  <c r="H8" i="2"/>
  <c r="G8" i="2"/>
  <c r="S32" i="2"/>
  <c r="R32" i="2"/>
  <c r="Q32" i="2"/>
  <c r="R23" i="2"/>
  <c r="R24" i="2" s="1"/>
  <c r="R20" i="2"/>
  <c r="Q23" i="2"/>
  <c r="Q24" i="2" s="1"/>
  <c r="Q20" i="2"/>
  <c r="P23" i="2"/>
  <c r="P24" i="2" s="1"/>
  <c r="P20" i="2"/>
  <c r="J94" i="2" l="1"/>
  <c r="K94" i="2"/>
  <c r="V92" i="2" l="1"/>
  <c r="K92" i="2"/>
  <c r="K91" i="2"/>
  <c r="V93" i="2"/>
  <c r="V139" i="2"/>
  <c r="U139" i="2"/>
  <c r="W139" i="2"/>
  <c r="W116" i="2"/>
  <c r="V116" i="2"/>
  <c r="U116" i="2"/>
  <c r="W120" i="2"/>
  <c r="V123" i="2"/>
  <c r="K123" i="2"/>
  <c r="U123" i="2"/>
  <c r="V122" i="2"/>
  <c r="W122" i="2" s="1"/>
  <c r="W123" i="2" s="1"/>
  <c r="U122" i="2"/>
  <c r="W118" i="2"/>
  <c r="V118" i="2"/>
  <c r="V119" i="2"/>
  <c r="W117" i="2"/>
  <c r="V60" i="2"/>
  <c r="W119" i="2" l="1"/>
  <c r="M30" i="2" l="1"/>
  <c r="N30" i="2" s="1"/>
  <c r="L30" i="2"/>
  <c r="M25" i="2"/>
  <c r="L25" i="2"/>
  <c r="M22" i="2"/>
  <c r="N22" i="2" s="1"/>
  <c r="L22" i="2"/>
  <c r="L23" i="2"/>
  <c r="N21" i="2"/>
  <c r="M21" i="2"/>
  <c r="X21" i="2" s="1"/>
  <c r="Y21" i="2" s="1"/>
  <c r="Z21" i="2" s="1"/>
  <c r="AA21" i="2" s="1"/>
  <c r="AB21" i="2" s="1"/>
  <c r="L21" i="2"/>
  <c r="K88" i="2"/>
  <c r="K72" i="2"/>
  <c r="K126" i="2"/>
  <c r="K125" i="2"/>
  <c r="K120" i="2"/>
  <c r="J119" i="2"/>
  <c r="K119" i="2"/>
  <c r="J49" i="2"/>
  <c r="K49" i="2"/>
  <c r="K111" i="2"/>
  <c r="J111" i="2"/>
  <c r="I111" i="2"/>
  <c r="H111" i="2"/>
  <c r="G111" i="2"/>
  <c r="J96" i="2"/>
  <c r="K6" i="2"/>
  <c r="W37" i="2"/>
  <c r="W36" i="2"/>
  <c r="W35" i="2"/>
  <c r="V37" i="2"/>
  <c r="V36" i="2"/>
  <c r="V35" i="2"/>
  <c r="U37" i="2"/>
  <c r="U36" i="2"/>
  <c r="U35" i="2"/>
  <c r="T37" i="2"/>
  <c r="T36" i="2"/>
  <c r="T35" i="2"/>
  <c r="S37" i="2"/>
  <c r="S36" i="2"/>
  <c r="S35" i="2"/>
  <c r="M23" i="2" l="1"/>
  <c r="X30" i="2"/>
  <c r="Y30" i="2" s="1"/>
  <c r="Z30" i="2" s="1"/>
  <c r="AA30" i="2" s="1"/>
  <c r="AB30" i="2" s="1"/>
  <c r="N25" i="2"/>
  <c r="X22" i="2"/>
  <c r="N23" i="2"/>
  <c r="W110" i="2"/>
  <c r="W109" i="2"/>
  <c r="V91" i="2"/>
  <c r="J91" i="2"/>
  <c r="J92" i="2" s="1"/>
  <c r="I91" i="2"/>
  <c r="I92" i="2" s="1"/>
  <c r="H91" i="2"/>
  <c r="H92" i="2" s="1"/>
  <c r="G91" i="2"/>
  <c r="G92" i="2" s="1"/>
  <c r="J89" i="2"/>
  <c r="J81" i="2"/>
  <c r="J88" i="2" s="1"/>
  <c r="I88" i="2"/>
  <c r="H88" i="2"/>
  <c r="G88" i="2"/>
  <c r="J87" i="2"/>
  <c r="J86" i="2"/>
  <c r="J85" i="2"/>
  <c r="J84" i="2"/>
  <c r="J83" i="2"/>
  <c r="J82" i="2"/>
  <c r="J80" i="2"/>
  <c r="W80" i="2"/>
  <c r="W87" i="2"/>
  <c r="W86" i="2"/>
  <c r="W85" i="2"/>
  <c r="W84" i="2"/>
  <c r="W83" i="2"/>
  <c r="W82" i="2"/>
  <c r="W81" i="2"/>
  <c r="V78" i="2"/>
  <c r="V76" i="2"/>
  <c r="V72" i="2"/>
  <c r="V71" i="2"/>
  <c r="V70" i="2"/>
  <c r="S60" i="2"/>
  <c r="U60" i="2"/>
  <c r="T60" i="2"/>
  <c r="W71" i="2"/>
  <c r="W70" i="2"/>
  <c r="W69" i="2"/>
  <c r="W68" i="2"/>
  <c r="W67" i="2"/>
  <c r="W66" i="2"/>
  <c r="W65" i="2"/>
  <c r="W64" i="2"/>
  <c r="W63" i="2"/>
  <c r="W62" i="2"/>
  <c r="W61" i="2"/>
  <c r="W77" i="2"/>
  <c r="W76" i="2"/>
  <c r="W75" i="2"/>
  <c r="W93" i="2" s="1"/>
  <c r="J76" i="2"/>
  <c r="J77" i="2"/>
  <c r="J75" i="2"/>
  <c r="I89" i="2"/>
  <c r="I87" i="2"/>
  <c r="I86" i="2"/>
  <c r="I85" i="2"/>
  <c r="I84" i="2"/>
  <c r="I83" i="2"/>
  <c r="I82" i="2"/>
  <c r="I81" i="2"/>
  <c r="I80" i="2"/>
  <c r="I76" i="2"/>
  <c r="I77" i="2"/>
  <c r="I75" i="2"/>
  <c r="I71" i="2"/>
  <c r="I70" i="2"/>
  <c r="I69" i="2"/>
  <c r="I68" i="2"/>
  <c r="I66" i="2"/>
  <c r="I72" i="2" s="1"/>
  <c r="I65" i="2"/>
  <c r="I64" i="2"/>
  <c r="I63" i="2"/>
  <c r="I62" i="2"/>
  <c r="I61" i="2"/>
  <c r="H89" i="2"/>
  <c r="H87" i="2"/>
  <c r="H86" i="2"/>
  <c r="H85" i="2"/>
  <c r="H84" i="2"/>
  <c r="H83" i="2"/>
  <c r="H82" i="2"/>
  <c r="H80" i="2"/>
  <c r="K78" i="2"/>
  <c r="J78" i="2"/>
  <c r="I78" i="2"/>
  <c r="H78" i="2"/>
  <c r="G78" i="2"/>
  <c r="H77" i="2"/>
  <c r="H76" i="2"/>
  <c r="H75" i="2"/>
  <c r="H72" i="2"/>
  <c r="H71" i="2"/>
  <c r="H70" i="2"/>
  <c r="H69" i="2"/>
  <c r="H68" i="2"/>
  <c r="H66" i="2"/>
  <c r="H64" i="2"/>
  <c r="H63" i="2"/>
  <c r="H62" i="2"/>
  <c r="H61" i="2"/>
  <c r="J72" i="2"/>
  <c r="J71" i="2"/>
  <c r="G76" i="2"/>
  <c r="G72" i="2"/>
  <c r="G71" i="2"/>
  <c r="G55" i="2"/>
  <c r="G54" i="2"/>
  <c r="G58" i="2" s="1"/>
  <c r="G41" i="2"/>
  <c r="G49" i="2" s="1"/>
  <c r="G46" i="2"/>
  <c r="G45" i="2"/>
  <c r="I40" i="2"/>
  <c r="H40" i="2"/>
  <c r="G40" i="2"/>
  <c r="W23" i="2"/>
  <c r="V23" i="2"/>
  <c r="U23" i="2"/>
  <c r="T23" i="2"/>
  <c r="S23" i="2"/>
  <c r="W19" i="2"/>
  <c r="V19" i="2"/>
  <c r="U19" i="2"/>
  <c r="T19" i="2"/>
  <c r="T20" i="2" s="1"/>
  <c r="S19" i="2"/>
  <c r="S20" i="2" s="1"/>
  <c r="S24" i="2" s="1"/>
  <c r="S26" i="2" s="1"/>
  <c r="S28" i="2" s="1"/>
  <c r="S29" i="2" s="1"/>
  <c r="T32" i="2"/>
  <c r="W16" i="2"/>
  <c r="W32" i="2" s="1"/>
  <c r="V16" i="2"/>
  <c r="V32" i="2" s="1"/>
  <c r="U16" i="2"/>
  <c r="U32" i="2" s="1"/>
  <c r="T16" i="2"/>
  <c r="S16" i="2"/>
  <c r="S2" i="2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D36" i="2"/>
  <c r="D35" i="2"/>
  <c r="D27" i="2"/>
  <c r="D23" i="2"/>
  <c r="D19" i="2"/>
  <c r="D16" i="2"/>
  <c r="H36" i="2"/>
  <c r="H35" i="2"/>
  <c r="H27" i="2"/>
  <c r="H23" i="2"/>
  <c r="H19" i="2"/>
  <c r="H16" i="2"/>
  <c r="E36" i="2"/>
  <c r="E35" i="2"/>
  <c r="E27" i="2"/>
  <c r="E23" i="2"/>
  <c r="E19" i="2"/>
  <c r="E16" i="2"/>
  <c r="I36" i="2"/>
  <c r="I35" i="2"/>
  <c r="I27" i="2"/>
  <c r="I23" i="2"/>
  <c r="I19" i="2"/>
  <c r="I16" i="2"/>
  <c r="J41" i="2"/>
  <c r="J45" i="2"/>
  <c r="J58" i="2"/>
  <c r="J40" i="2"/>
  <c r="F27" i="2"/>
  <c r="F23" i="2"/>
  <c r="F19" i="2"/>
  <c r="F16" i="2"/>
  <c r="F36" i="2"/>
  <c r="F35" i="2"/>
  <c r="J36" i="2"/>
  <c r="J35" i="2"/>
  <c r="J27" i="2"/>
  <c r="J23" i="2"/>
  <c r="J19" i="2"/>
  <c r="J16" i="2"/>
  <c r="L16" i="2" l="1"/>
  <c r="X23" i="2"/>
  <c r="Y23" i="2"/>
  <c r="M16" i="2"/>
  <c r="N16" i="2"/>
  <c r="W78" i="2"/>
  <c r="K73" i="2"/>
  <c r="J73" i="2"/>
  <c r="X25" i="2"/>
  <c r="W72" i="2"/>
  <c r="W91" i="2"/>
  <c r="W92" i="2" s="1"/>
  <c r="U20" i="2"/>
  <c r="U24" i="2" s="1"/>
  <c r="U26" i="2" s="1"/>
  <c r="U28" i="2" s="1"/>
  <c r="U29" i="2" s="1"/>
  <c r="W20" i="2"/>
  <c r="W24" i="2" s="1"/>
  <c r="W26" i="2" s="1"/>
  <c r="W28" i="2" s="1"/>
  <c r="V20" i="2"/>
  <c r="V24" i="2" s="1"/>
  <c r="V26" i="2" s="1"/>
  <c r="V28" i="2" s="1"/>
  <c r="V29" i="2" s="1"/>
  <c r="H32" i="2"/>
  <c r="T24" i="2"/>
  <c r="T26" i="2" s="1"/>
  <c r="T28" i="2" s="1"/>
  <c r="T29" i="2" s="1"/>
  <c r="D20" i="2"/>
  <c r="H20" i="2"/>
  <c r="E20" i="2"/>
  <c r="I32" i="2"/>
  <c r="I20" i="2"/>
  <c r="F20" i="2"/>
  <c r="F24" i="2" s="1"/>
  <c r="F26" i="2" s="1"/>
  <c r="F28" i="2" s="1"/>
  <c r="F29" i="2" s="1"/>
  <c r="F37" i="2"/>
  <c r="J32" i="2"/>
  <c r="J20" i="2"/>
  <c r="K76" i="2"/>
  <c r="K71" i="2"/>
  <c r="K58" i="2"/>
  <c r="K41" i="2"/>
  <c r="K45" i="2"/>
  <c r="K36" i="2"/>
  <c r="G36" i="2"/>
  <c r="K35" i="2"/>
  <c r="G35" i="2"/>
  <c r="G27" i="2"/>
  <c r="G23" i="2"/>
  <c r="G19" i="2"/>
  <c r="G16" i="2"/>
  <c r="K27" i="2"/>
  <c r="K23" i="2"/>
  <c r="K19" i="2"/>
  <c r="K16" i="2"/>
  <c r="K5" i="1"/>
  <c r="AF35" i="2" s="1"/>
  <c r="K3" i="1"/>
  <c r="K4" i="1" s="1"/>
  <c r="K7" i="1" s="1"/>
  <c r="M20" i="2" l="1"/>
  <c r="M32" i="2"/>
  <c r="N32" i="2"/>
  <c r="N20" i="2"/>
  <c r="Z23" i="2"/>
  <c r="L32" i="2"/>
  <c r="L20" i="2"/>
  <c r="K20" i="2"/>
  <c r="K24" i="2" s="1"/>
  <c r="K26" i="2" s="1"/>
  <c r="K28" i="2" s="1"/>
  <c r="X16" i="2"/>
  <c r="W29" i="2"/>
  <c r="W60" i="2"/>
  <c r="E24" i="2"/>
  <c r="E26" i="2" s="1"/>
  <c r="E28" i="2" s="1"/>
  <c r="E29" i="2" s="1"/>
  <c r="E37" i="2"/>
  <c r="D24" i="2"/>
  <c r="D26" i="2" s="1"/>
  <c r="D28" i="2" s="1"/>
  <c r="D29" i="2" s="1"/>
  <c r="D37" i="2"/>
  <c r="I24" i="2"/>
  <c r="I26" i="2" s="1"/>
  <c r="I28" i="2" s="1"/>
  <c r="I37" i="2"/>
  <c r="H24" i="2"/>
  <c r="H26" i="2" s="1"/>
  <c r="H28" i="2" s="1"/>
  <c r="H37" i="2"/>
  <c r="K40" i="2"/>
  <c r="J24" i="2"/>
  <c r="J26" i="2" s="1"/>
  <c r="J28" i="2" s="1"/>
  <c r="J37" i="2"/>
  <c r="G20" i="2"/>
  <c r="L37" i="2" l="1"/>
  <c r="L24" i="2"/>
  <c r="L26" i="2" s="1"/>
  <c r="H29" i="2"/>
  <c r="H60" i="2"/>
  <c r="AB23" i="2"/>
  <c r="AA23" i="2"/>
  <c r="I29" i="2"/>
  <c r="I60" i="2"/>
  <c r="N24" i="2"/>
  <c r="N26" i="2" s="1"/>
  <c r="N37" i="2"/>
  <c r="K37" i="2"/>
  <c r="M37" i="2"/>
  <c r="M24" i="2"/>
  <c r="M26" i="2" s="1"/>
  <c r="X32" i="2"/>
  <c r="X20" i="2"/>
  <c r="J29" i="2"/>
  <c r="J60" i="2"/>
  <c r="G37" i="2"/>
  <c r="G24" i="2"/>
  <c r="G26" i="2" s="1"/>
  <c r="G28" i="2" s="1"/>
  <c r="K29" i="2"/>
  <c r="K60" i="2"/>
  <c r="M27" i="2" l="1"/>
  <c r="M28" i="2"/>
  <c r="M29" i="2" s="1"/>
  <c r="Y32" i="2"/>
  <c r="Y20" i="2"/>
  <c r="L27" i="2"/>
  <c r="L28" i="2" s="1"/>
  <c r="L29" i="2" s="1"/>
  <c r="N27" i="2"/>
  <c r="X27" i="2" s="1"/>
  <c r="X37" i="2"/>
  <c r="X24" i="2"/>
  <c r="X26" i="2" s="1"/>
  <c r="G29" i="2"/>
  <c r="G60" i="2"/>
  <c r="T119" i="2"/>
  <c r="U120" i="2"/>
  <c r="U118" i="2"/>
  <c r="V120" i="2" s="1"/>
  <c r="X28" i="2" l="1"/>
  <c r="X29" i="2" s="1"/>
  <c r="N28" i="2"/>
  <c r="N29" i="2" s="1"/>
  <c r="AA16" i="2"/>
  <c r="Z32" i="2"/>
  <c r="Z20" i="2"/>
  <c r="Y37" i="2"/>
  <c r="Y24" i="2"/>
  <c r="Y26" i="2" s="1"/>
  <c r="U119" i="2"/>
  <c r="Z37" i="2" l="1"/>
  <c r="Z24" i="2"/>
  <c r="Z26" i="2" s="1"/>
  <c r="Z28" i="2" s="1"/>
  <c r="Z29" i="2" s="1"/>
  <c r="Y27" i="2"/>
  <c r="Y28" i="2" s="1"/>
  <c r="AB16" i="2"/>
  <c r="AA32" i="2"/>
  <c r="AA20" i="2"/>
  <c r="Y29" i="2" l="1"/>
  <c r="AA37" i="2"/>
  <c r="AA24" i="2"/>
  <c r="AA26" i="2" s="1"/>
  <c r="AA27" i="2" s="1"/>
  <c r="AA28" i="2" s="1"/>
  <c r="AA29" i="2" s="1"/>
  <c r="AB32" i="2"/>
  <c r="AB20" i="2"/>
  <c r="AB37" i="2" l="1"/>
  <c r="AB24" i="2"/>
  <c r="AB26" i="2" s="1"/>
  <c r="AB27" i="2" l="1"/>
  <c r="AB28" i="2"/>
  <c r="AC28" i="2" l="1"/>
  <c r="AD28" i="2" s="1"/>
  <c r="AE28" i="2" s="1"/>
  <c r="AF28" i="2" s="1"/>
  <c r="AG28" i="2" s="1"/>
  <c r="AH28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X28" i="2" s="1"/>
  <c r="CY28" i="2" s="1"/>
  <c r="CZ28" i="2" s="1"/>
  <c r="DA28" i="2" s="1"/>
  <c r="DB28" i="2" s="1"/>
  <c r="DC28" i="2" s="1"/>
  <c r="DD28" i="2" s="1"/>
  <c r="DE28" i="2" s="1"/>
  <c r="DF28" i="2" s="1"/>
  <c r="DG28" i="2" s="1"/>
  <c r="DH28" i="2" s="1"/>
  <c r="DI28" i="2" s="1"/>
  <c r="DJ28" i="2" s="1"/>
  <c r="DK28" i="2" s="1"/>
  <c r="DL28" i="2" s="1"/>
  <c r="DM28" i="2" s="1"/>
  <c r="DN28" i="2" s="1"/>
  <c r="DO28" i="2" s="1"/>
  <c r="DP28" i="2" s="1"/>
  <c r="DQ28" i="2" s="1"/>
  <c r="DR28" i="2" s="1"/>
  <c r="DS28" i="2" s="1"/>
  <c r="DT28" i="2" s="1"/>
  <c r="DU28" i="2" s="1"/>
  <c r="DV28" i="2" s="1"/>
  <c r="DW28" i="2" s="1"/>
  <c r="DX28" i="2" s="1"/>
  <c r="DY28" i="2" s="1"/>
  <c r="DZ28" i="2" s="1"/>
  <c r="EA28" i="2" s="1"/>
  <c r="EB28" i="2" s="1"/>
  <c r="EC28" i="2" s="1"/>
  <c r="AB29" i="2"/>
  <c r="AF34" i="2" l="1"/>
  <c r="AF36" i="2" s="1"/>
  <c r="AF37" i="2" s="1"/>
  <c r="AF39" i="2" s="1"/>
</calcChain>
</file>

<file path=xl/comments1.xml><?xml version="1.0" encoding="utf-8"?>
<comments xmlns="http://schemas.openxmlformats.org/spreadsheetml/2006/main">
  <authors>
    <author>Martin Shkreli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NA +5%</t>
        </r>
      </text>
    </comment>
    <comment ref="K16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NA +4%</t>
        </r>
      </text>
    </comment>
    <comment ref="R16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AMZN did 148 in second year</t>
        </r>
      </text>
    </comment>
    <comment ref="S16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AZMN did 610 in third year</t>
        </r>
      </text>
    </comment>
    <comment ref="T16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AMZN did 1640 in fourth year</t>
        </r>
      </text>
    </comment>
    <comment ref="U16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AMZN did 2762 in fifth year</t>
        </r>
      </text>
    </comment>
    <comment ref="V16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AMZN did 3122 in sixth year</t>
        </r>
      </text>
    </comment>
    <comment ref="W16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AMZN did 3933 in seventh year </t>
        </r>
      </text>
    </comment>
    <comment ref="X16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Q116: 2750-3050</t>
        </r>
      </text>
    </comment>
  </commentList>
</comments>
</file>

<file path=xl/sharedStrings.xml><?xml version="1.0" encoding="utf-8"?>
<sst xmlns="http://schemas.openxmlformats.org/spreadsheetml/2006/main" count="218" uniqueCount="196">
  <si>
    <t>Price</t>
  </si>
  <si>
    <t>Shares</t>
  </si>
  <si>
    <t>MC</t>
  </si>
  <si>
    <t>Cash</t>
  </si>
  <si>
    <t>Debt</t>
  </si>
  <si>
    <t>EV</t>
  </si>
  <si>
    <t>Main</t>
  </si>
  <si>
    <t>Revenue</t>
  </si>
  <si>
    <t>Q114</t>
  </si>
  <si>
    <t>Q214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</si>
  <si>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</si>
  <si>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</si>
  <si>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</si>
  <si>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</si>
  <si>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</si>
  <si>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</si>
  <si>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</si>
  <si>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</si>
  <si>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</si>
  <si>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</si>
  <si>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3rd Party</t>
  </si>
  <si>
    <t>Direct</t>
  </si>
  <si>
    <t>3rd Party COGS</t>
  </si>
  <si>
    <t>Direct COGS</t>
  </si>
  <si>
    <t>COGS</t>
  </si>
  <si>
    <t>Taxes/MI</t>
  </si>
  <si>
    <t>Net Income</t>
  </si>
  <si>
    <t>Pretax Income</t>
  </si>
  <si>
    <t>Interest Income</t>
  </si>
  <si>
    <t>Operating Income</t>
  </si>
  <si>
    <t>Operating Expenses</t>
  </si>
  <si>
    <t>SG&amp;A</t>
  </si>
  <si>
    <t>Marketing</t>
  </si>
  <si>
    <t>Gross Profit</t>
  </si>
  <si>
    <t>EPS</t>
  </si>
  <si>
    <t>Revenue Growth</t>
  </si>
  <si>
    <t>Total Gross Margin</t>
  </si>
  <si>
    <t>3rd Party GM</t>
  </si>
  <si>
    <t>Direct GM</t>
  </si>
  <si>
    <t>Net Cash</t>
  </si>
  <si>
    <t>A/R</t>
  </si>
  <si>
    <t>Prepaids</t>
  </si>
  <si>
    <t>PP&amp;E</t>
  </si>
  <si>
    <t>Goodwill</t>
  </si>
  <si>
    <t>DT</t>
  </si>
  <si>
    <t>ONCA</t>
  </si>
  <si>
    <t>Assets</t>
  </si>
  <si>
    <t>AP</t>
  </si>
  <si>
    <t>Merchant Payables</t>
  </si>
  <si>
    <t>AE</t>
  </si>
  <si>
    <t>ONCL</t>
  </si>
  <si>
    <t>SE</t>
  </si>
  <si>
    <t>L+SE</t>
  </si>
  <si>
    <t>Model NI</t>
  </si>
  <si>
    <t>Reported NI</t>
  </si>
  <si>
    <t>CFFO</t>
  </si>
  <si>
    <t>WC</t>
  </si>
  <si>
    <t>Fair Value</t>
  </si>
  <si>
    <t>CoCo</t>
  </si>
  <si>
    <t>Restructuring</t>
  </si>
  <si>
    <t>SBC</t>
  </si>
  <si>
    <t>Amort</t>
  </si>
  <si>
    <t>D&amp;A</t>
  </si>
  <si>
    <t>CapEx</t>
  </si>
  <si>
    <t>Acquisitions</t>
  </si>
  <si>
    <t>CFFI</t>
  </si>
  <si>
    <t>NI+D&amp;A-CapEx</t>
  </si>
  <si>
    <t>Excess Tax Benefit</t>
  </si>
  <si>
    <t>NA HC</t>
  </si>
  <si>
    <t>NA Sales Reps</t>
  </si>
  <si>
    <t>NA Corporate</t>
  </si>
  <si>
    <t>EMEA HC</t>
  </si>
  <si>
    <t>EMEA Sales Reps</t>
  </si>
  <si>
    <t>EMEA Corporate</t>
  </si>
  <si>
    <t>ROW HC</t>
  </si>
  <si>
    <t>ROW Corporate</t>
  </si>
  <si>
    <t>ROW Sales Reps</t>
  </si>
  <si>
    <t>Held For Sale</t>
  </si>
  <si>
    <t>Buybacks</t>
  </si>
  <si>
    <t>ETB</t>
  </si>
  <si>
    <t>SBC Tax</t>
  </si>
  <si>
    <t>Stock Option Exercises</t>
  </si>
  <si>
    <t>NCI</t>
  </si>
  <si>
    <t>CFFF</t>
  </si>
  <si>
    <t>Lease</t>
  </si>
  <si>
    <t>FX</t>
  </si>
  <si>
    <t>Investments</t>
  </si>
  <si>
    <t>Disposition</t>
  </si>
  <si>
    <t>Revolver</t>
  </si>
  <si>
    <t>Customers</t>
  </si>
  <si>
    <t>NA</t>
  </si>
  <si>
    <t>EU</t>
  </si>
  <si>
    <t>ROW</t>
  </si>
  <si>
    <t>NA Revenue/Rep</t>
  </si>
  <si>
    <t>EMEA Revenue/Rep</t>
  </si>
  <si>
    <t>4/4/16: Sold $250m convert</t>
  </si>
  <si>
    <t>WW Billings</t>
  </si>
  <si>
    <t>NA Billings</t>
  </si>
  <si>
    <t>EU Billings</t>
  </si>
  <si>
    <t>ROW Billings</t>
  </si>
  <si>
    <t>WW HC</t>
  </si>
  <si>
    <t>WW Sales HC</t>
  </si>
  <si>
    <t>HC/SG&amp;A</t>
  </si>
  <si>
    <t>HC y/y</t>
  </si>
  <si>
    <t>SG&amp;A y/y</t>
  </si>
  <si>
    <t>Share Analysis</t>
  </si>
  <si>
    <t>Common Stock Outstanding</t>
  </si>
  <si>
    <t>Treasury Stock</t>
  </si>
  <si>
    <t>Net Shares Outstanding</t>
  </si>
  <si>
    <t>Cash Spent in Buyback</t>
  </si>
  <si>
    <t>Cumulative Buyback</t>
  </si>
  <si>
    <t>Average Buyback Price</t>
  </si>
  <si>
    <t>Vesting of RSUs</t>
  </si>
  <si>
    <t>Change in CSO</t>
  </si>
  <si>
    <t>Change in CSO Check</t>
  </si>
  <si>
    <t>ESOP Issuance</t>
  </si>
  <si>
    <t>Tax Withholdings on SBC</t>
  </si>
  <si>
    <t>Options Exercise</t>
  </si>
  <si>
    <t>RSU Forfeiture</t>
  </si>
  <si>
    <t>TTM CFFO</t>
  </si>
  <si>
    <t>NI+D&amp;A-CapEx+SBC</t>
  </si>
  <si>
    <t>Options Outstanding</t>
  </si>
  <si>
    <t>Exercise</t>
  </si>
  <si>
    <t>Unvested RSUs</t>
  </si>
  <si>
    <t>Grant Date FV</t>
  </si>
  <si>
    <t>Buyback (Shares)</t>
  </si>
  <si>
    <t>Acquisition Issuance</t>
  </si>
  <si>
    <t>Average Price</t>
  </si>
  <si>
    <t>NI+D&amp;A-CapEx+SBC-RSUs</t>
  </si>
  <si>
    <t>RSU Value</t>
  </si>
  <si>
    <t>Maturity</t>
  </si>
  <si>
    <t>Discount</t>
  </si>
  <si>
    <t>NPV</t>
  </si>
  <si>
    <t>Share</t>
  </si>
  <si>
    <t>Value</t>
  </si>
  <si>
    <t>Current</t>
  </si>
  <si>
    <t>Change</t>
  </si>
  <si>
    <t>ARPU</t>
  </si>
  <si>
    <t>D&amp;A - Capex TTM</t>
  </si>
  <si>
    <t>Competition</t>
  </si>
  <si>
    <t>????</t>
  </si>
  <si>
    <t>Product Line</t>
  </si>
  <si>
    <t>Local Goods</t>
  </si>
  <si>
    <t>Local Services</t>
  </si>
  <si>
    <t>Local Deals</t>
  </si>
  <si>
    <t>Groupon Goods</t>
  </si>
  <si>
    <t>Groupon Getaways</t>
  </si>
  <si>
    <t>2008: Founded</t>
  </si>
  <si>
    <t>Amazon.com, FreshDirect, Uber, Ebay, LivingSocial</t>
  </si>
  <si>
    <t>#1 Online coupon marketing website &amp; #2 downloaded shopping App (Amazon is #1)</t>
  </si>
  <si>
    <t>livingsocial.com, slickdeals.net, woot.com, yipit, travelzoo, dealleak, localflavor, retailmenot, tippr, countless small localized competitors</t>
  </si>
  <si>
    <t>Indirect &amp; potential new entrant</t>
  </si>
  <si>
    <t>yelp ads, google ad, tripadvisor, amazon/ebay on retail goods (new features/add-on from these competitors could be a new direct competition overnight)</t>
  </si>
  <si>
    <t>Traditional</t>
  </si>
  <si>
    <t>Paper coupons, magazine/news ads, other marketing channels</t>
  </si>
  <si>
    <t>Rachel</t>
  </si>
  <si>
    <t>B+</t>
  </si>
  <si>
    <t>Google Offers - nice due diligence</t>
  </si>
  <si>
    <t>Tristan</t>
  </si>
  <si>
    <t>No intelligent thought on the actual business! Numbers are only a small part of the battle.</t>
  </si>
  <si>
    <t>Adnan</t>
  </si>
  <si>
    <t>Trash</t>
  </si>
  <si>
    <t>Small waste basket. Probably something dead in there. Smells bad.</t>
  </si>
  <si>
    <t>Gogy</t>
  </si>
  <si>
    <t>Fundamental mistakes in the model but nice sensitivity analysis. Missing the "Deep thought" on the actual business - why local, etc?</t>
  </si>
  <si>
    <t>Calvin</t>
  </si>
  <si>
    <t>C</t>
  </si>
  <si>
    <t>Poorly done model, some neat nuggets in diligence.</t>
  </si>
  <si>
    <t>Quesiyo</t>
  </si>
  <si>
    <t>1. Don't attach viruses to your model. Worthless model.</t>
  </si>
  <si>
    <t>Haris</t>
  </si>
  <si>
    <t>B</t>
  </si>
  <si>
    <t>Too arbitrary, rookie mistakes in MC/EV. No deep thought.</t>
  </si>
  <si>
    <t>Stanley</t>
  </si>
  <si>
    <t>Too arbitrary, some original thought could have been expanded on</t>
  </si>
  <si>
    <t>Mike F</t>
  </si>
  <si>
    <t>Not much deep thought, references a kind of trash article</t>
  </si>
  <si>
    <t>Michele Ciao</t>
  </si>
  <si>
    <t>A-</t>
  </si>
  <si>
    <t>Weird model organization and formatting but best deep thought of the bunch so far (not saying much)</t>
  </si>
  <si>
    <t>Alexandros</t>
  </si>
  <si>
    <t>Why why why?</t>
  </si>
  <si>
    <t>Emerson Smith</t>
  </si>
  <si>
    <t>Weird model, but nice conviction</t>
  </si>
  <si>
    <t>Stephen</t>
  </si>
  <si>
    <t>Very banal</t>
  </si>
  <si>
    <t>Pavel</t>
  </si>
  <si>
    <t>B-</t>
  </si>
  <si>
    <t>Quite a lot of growth expected! Not a great model.</t>
  </si>
  <si>
    <t>Steven F</t>
  </si>
  <si>
    <t>D</t>
  </si>
  <si>
    <t>No forecast driver. No diligence or thought.</t>
  </si>
  <si>
    <t>Ben G</t>
  </si>
  <si>
    <t>Poorly done forecasting</t>
  </si>
  <si>
    <t>Neil</t>
  </si>
  <si>
    <t>Not very thoughtful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</si>
</sst>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00"/>
    <numFmt numFmtId="166" formatCode="#,##0.000"/>
  </numFmts>
  <fonts count="8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right"/>
    </xf>
    <xf numFmtId="0" fontId="2" fillId="0" borderId="0" xfId="1"/>
    <xf numFmtId="3" fontId="0" fillId="0" borderId="0" xfId="0" applyNumberFormat="1"/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1" fontId="0" fillId="0" borderId="0" xfId="0" applyNumberFormat="1"/>
    <xf numFmtId="1" fontId="0" fillId="0" borderId="0" xfId="0" applyNumberFormat="1" applyAlignment="1">
      <alignment horizontal="right"/>
    </xf>
    <xf numFmtId="9" fontId="0" fillId="0" borderId="0" xfId="0" applyNumberFormat="1"/>
    <xf numFmtId="3" fontId="5" fillId="0" borderId="0" xfId="0" applyNumberFormat="1" applyFont="1"/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6" fillId="0" borderId="0" xfId="0" applyNumberFormat="1" applyFont="1"/>
    <xf numFmtId="164" fontId="6" fillId="0" borderId="0" xfId="0" applyNumberFormat="1" applyFont="1" applyAlignment="1">
      <alignment horizontal="right"/>
    </xf>
    <xf numFmtId="4" fontId="6" fillId="0" borderId="0" xfId="0" applyNumberFormat="1" applyFont="1" applyAlignment="1">
      <alignment horizontal="right"/>
    </xf>
    <xf numFmtId="3" fontId="6" fillId="0" borderId="0" xfId="0" applyNumberFormat="1" applyFont="1"/>
    <xf numFmtId="3" fontId="6" fillId="0" borderId="0" xfId="0" applyNumberFormat="1" applyFont="1" applyAlignment="1">
      <alignment horizontal="right"/>
    </xf>
    <xf numFmtId="1" fontId="6" fillId="0" borderId="0" xfId="0" applyNumberFormat="1" applyFon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/>
    <xf numFmtId="3" fontId="0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5" fillId="0" borderId="0" xfId="0" applyFont="1" applyAlignment="1"/>
    <xf numFmtId="0" fontId="7" fillId="0" borderId="0" xfId="0" applyFont="1" applyAlignment="1"/>
    <xf numFmtId="0" fontId="7" fillId="0" borderId="6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0</xdr:row>
      <xdr:rowOff>123825</xdr:rowOff>
    </xdr:from>
    <xdr:to>
      <xdr:col>11</xdr:col>
      <xdr:colOff>19050</xdr:colOff>
      <xdr:row>140</xdr:row>
      <xdr:rowOff>85725</xdr:rowOff>
    </xdr:to>
    <xdr:cxnSp macro="">
      <xdr:nvCxnSpPr>
        <xdr:cNvPr id="3" name="Straight Connector 2"/>
        <xdr:cNvCxnSpPr/>
      </xdr:nvCxnSpPr>
      <xdr:spPr>
        <a:xfrm>
          <a:off x="7048500" y="123825"/>
          <a:ext cx="0" cy="21497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19050</xdr:colOff>
      <xdr:row>0</xdr:row>
      <xdr:rowOff>0</xdr:rowOff>
    </xdr:from>
    <xdr:to>
      <xdr:col>23</xdr:col>
      <xdr:colOff>19050</xdr:colOff>
      <xdr:row>145</xdr:row>
      <xdr:rowOff>19050</xdr:rowOff>
    </xdr:to>
    <xdr:cxnSp macro="">
      <xdr:nvCxnSpPr>
        <xdr:cNvPr id="4" name="Straight Connector 3"/>
        <xdr:cNvCxnSpPr/>
      </xdr:nvCxnSpPr>
      <xdr:spPr>
        <a:xfrm>
          <a:off x="13592175" y="0"/>
          <a:ext cx="0" cy="23012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2"/>
  <sheetViews>
    <sheetView workbookViewId="0">
      <selection activeCell="I17" sqref="I17"/>
    </sheetView>
  </sheetViews>
  <sheetFormatPr defaultRowHeight="12.75" x14ac:dyDescent="0.2"/>
  <cols>
    <col min="1" max="1" width="4.85546875" customWidth="1"/>
    <col min="2" max="2" width="18" customWidth="1"/>
    <col min="3" max="3" width="34.85546875" customWidth="1"/>
  </cols>
  <sheetData>
    <row r="2" spans="2:12" x14ac:dyDescent="0.2">
      <c r="B2" s="30" t="s">
        <v>141</v>
      </c>
      <c r="C2" s="31" t="s">
        <v>139</v>
      </c>
      <c r="D2" s="31"/>
      <c r="E2" s="31"/>
      <c r="F2" s="32"/>
      <c r="J2" t="s">
        <v>0</v>
      </c>
      <c r="K2">
        <v>3.62</v>
      </c>
      <c r="L2" s="1"/>
    </row>
    <row r="3" spans="2:12" x14ac:dyDescent="0.2">
      <c r="B3" s="24" t="s">
        <v>142</v>
      </c>
      <c r="C3" s="25" t="s">
        <v>148</v>
      </c>
      <c r="D3" s="25"/>
      <c r="E3" s="25"/>
      <c r="F3" s="26"/>
      <c r="J3" t="s">
        <v>1</v>
      </c>
      <c r="K3" s="3">
        <f>577.617+2.399</f>
        <v>580.01599999999996</v>
      </c>
      <c r="L3" s="1" t="s">
        <v>16</v>
      </c>
    </row>
    <row r="4" spans="2:12" x14ac:dyDescent="0.2">
      <c r="B4" s="24" t="s">
        <v>143</v>
      </c>
      <c r="C4" s="25" t="s">
        <v>140</v>
      </c>
      <c r="D4" s="25"/>
      <c r="E4" s="25"/>
      <c r="F4" s="26"/>
      <c r="J4" t="s">
        <v>2</v>
      </c>
      <c r="K4" s="3">
        <f>+K3*K2</f>
        <v>2099.6579200000001</v>
      </c>
      <c r="L4" s="1"/>
    </row>
    <row r="5" spans="2:12" x14ac:dyDescent="0.2">
      <c r="B5" s="24" t="s">
        <v>144</v>
      </c>
      <c r="C5" s="25"/>
      <c r="D5" s="25"/>
      <c r="E5" s="25"/>
      <c r="F5" s="26"/>
      <c r="J5" t="s">
        <v>3</v>
      </c>
      <c r="K5" s="3">
        <f>688.512+177.553</f>
        <v>866.06499999999994</v>
      </c>
      <c r="L5" s="1" t="s">
        <v>16</v>
      </c>
    </row>
    <row r="6" spans="2:12" x14ac:dyDescent="0.2">
      <c r="B6" s="24" t="s">
        <v>145</v>
      </c>
      <c r="C6" s="25"/>
      <c r="D6" s="25"/>
      <c r="E6" s="25"/>
      <c r="F6" s="26"/>
      <c r="J6" t="s">
        <v>4</v>
      </c>
      <c r="K6" s="3">
        <v>0</v>
      </c>
      <c r="L6" s="1" t="s">
        <v>16</v>
      </c>
    </row>
    <row r="7" spans="2:12" x14ac:dyDescent="0.2">
      <c r="B7" s="24" t="s">
        <v>146</v>
      </c>
      <c r="C7" s="25"/>
      <c r="D7" s="25"/>
      <c r="E7" s="25"/>
      <c r="F7" s="26"/>
      <c r="J7" s="33" t="s">
        <v>5</v>
      </c>
      <c r="K7" s="34">
        <f>+K4-K5+K6</f>
        <v>1233.59292</v>
      </c>
      <c r="L7" s="1"/>
    </row>
    <row r="8" spans="2:12" x14ac:dyDescent="0.2">
      <c r="B8" s="27"/>
      <c r="C8" s="28"/>
      <c r="D8" s="28"/>
      <c r="E8" s="28"/>
      <c r="F8" s="29"/>
      <c r="L8" s="1"/>
    </row>
    <row r="13" spans="2:12" x14ac:dyDescent="0.2">
      <c r="B13" t="s">
        <v>147</v>
      </c>
    </row>
    <row r="14" spans="2:12" x14ac:dyDescent="0.2">
      <c r="B14" t="s">
        <v>95</v>
      </c>
    </row>
    <row r="18" spans="2:5" x14ac:dyDescent="0.2">
      <c r="B18" s="36" t="s">
        <v>139</v>
      </c>
      <c r="C18" s="37"/>
      <c r="D18" s="37"/>
      <c r="E18" s="37"/>
    </row>
    <row r="19" spans="2:5" x14ac:dyDescent="0.2">
      <c r="B19" s="37" t="s">
        <v>149</v>
      </c>
      <c r="C19" s="37"/>
      <c r="D19" s="37"/>
      <c r="E19" s="37"/>
    </row>
    <row r="20" spans="2:5" x14ac:dyDescent="0.2">
      <c r="B20" s="38" t="s">
        <v>21</v>
      </c>
      <c r="C20" s="39"/>
      <c r="D20" s="40"/>
      <c r="E20" s="38" t="s">
        <v>150</v>
      </c>
    </row>
    <row r="21" spans="2:5" x14ac:dyDescent="0.2">
      <c r="B21" s="38" t="s">
        <v>151</v>
      </c>
      <c r="C21" s="39"/>
      <c r="D21" s="40"/>
      <c r="E21" s="38" t="s">
        <v>152</v>
      </c>
    </row>
    <row r="22" spans="2:5" x14ac:dyDescent="0.2">
      <c r="B22" s="38" t="s">
        <v>153</v>
      </c>
      <c r="C22" s="39"/>
      <c r="D22" s="40"/>
      <c r="E22" s="38" t="s">
        <v>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C139"/>
  <sheetViews>
    <sheetView tabSelected="1" zoomScaleNormal="100" workbookViewId="0">
      <pane xSplit="2" ySplit="2" topLeftCell="Z3" activePane="bottomRight" state="frozen"/>
      <selection pane="topRight" activeCell="C1" sqref="C1"/>
      <selection pane="bottomLeft" activeCell="A3" sqref="A3"/>
      <selection pane="bottomRight" activeCell="AG24" sqref="AG24"/>
    </sheetView>
  </sheetViews>
  <sheetFormatPr defaultRowHeight="12.75" x14ac:dyDescent="0.2"/>
  <cols>
    <col min="1" max="1" width="5" bestFit="1" customWidth="1"/>
    <col min="2" max="2" width="24.85546875" bestFit="1" customWidth="1"/>
    <col min="3" max="14" width="9.140625" style="1"/>
    <col min="32" max="32" width="8.140625" customWidth="1"/>
  </cols>
  <sheetData>
    <row r="1" spans="1:37" x14ac:dyDescent="0.2">
      <c r="A1" s="2" t="s">
        <v>6</v>
      </c>
    </row>
    <row r="2" spans="1:37" x14ac:dyDescent="0.2"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P2">
        <v>2008</v>
      </c>
      <c r="Q2">
        <v>2009</v>
      </c>
      <c r="R2">
        <v>2010</v>
      </c>
      <c r="S2">
        <f>+R2+1</f>
        <v>2011</v>
      </c>
      <c r="T2">
        <f t="shared" ref="T2:AK2" si="0">+S2+1</f>
        <v>2012</v>
      </c>
      <c r="U2">
        <f t="shared" si="0"/>
        <v>2013</v>
      </c>
      <c r="V2">
        <f t="shared" si="0"/>
        <v>2014</v>
      </c>
      <c r="W2">
        <f t="shared" si="0"/>
        <v>2015</v>
      </c>
      <c r="X2">
        <f t="shared" si="0"/>
        <v>2016</v>
      </c>
      <c r="Y2">
        <f t="shared" si="0"/>
        <v>2017</v>
      </c>
      <c r="Z2">
        <f t="shared" si="0"/>
        <v>2018</v>
      </c>
      <c r="AA2">
        <f t="shared" si="0"/>
        <v>2019</v>
      </c>
      <c r="AB2">
        <f t="shared" si="0"/>
        <v>2020</v>
      </c>
      <c r="AC2">
        <f t="shared" si="0"/>
        <v>2021</v>
      </c>
      <c r="AD2">
        <f t="shared" si="0"/>
        <v>2022</v>
      </c>
      <c r="AE2">
        <f t="shared" si="0"/>
        <v>2023</v>
      </c>
      <c r="AF2">
        <f t="shared" si="0"/>
        <v>2024</v>
      </c>
      <c r="AG2">
        <f t="shared" si="0"/>
        <v>2025</v>
      </c>
      <c r="AH2">
        <f t="shared" si="0"/>
        <v>2026</v>
      </c>
      <c r="AI2">
        <f t="shared" si="0"/>
        <v>2027</v>
      </c>
      <c r="AJ2">
        <f t="shared" si="0"/>
        <v>2028</v>
      </c>
      <c r="AK2">
        <f t="shared" si="0"/>
        <v>2029</v>
      </c>
    </row>
    <row r="3" spans="1:37" s="3" customFormat="1" x14ac:dyDescent="0.2">
      <c r="B3" s="3" t="s">
        <v>97</v>
      </c>
      <c r="C3" s="5"/>
      <c r="D3" s="5"/>
      <c r="E3" s="5"/>
      <c r="F3" s="5"/>
      <c r="G3" s="5"/>
      <c r="H3" s="5"/>
      <c r="I3" s="5"/>
      <c r="J3" s="5"/>
      <c r="K3" s="5">
        <v>937.07399999999996</v>
      </c>
      <c r="L3" s="5"/>
      <c r="M3" s="5"/>
      <c r="N3" s="5"/>
    </row>
    <row r="4" spans="1:37" s="3" customFormat="1" x14ac:dyDescent="0.2">
      <c r="B4" s="3" t="s">
        <v>98</v>
      </c>
      <c r="C4" s="5"/>
      <c r="D4" s="5"/>
      <c r="E4" s="5"/>
      <c r="F4" s="5"/>
      <c r="G4" s="5"/>
      <c r="H4" s="5"/>
      <c r="I4" s="5"/>
      <c r="J4" s="5"/>
      <c r="K4" s="5">
        <v>392.22699999999998</v>
      </c>
      <c r="L4" s="5"/>
      <c r="M4" s="5"/>
      <c r="N4" s="5"/>
    </row>
    <row r="5" spans="1:37" s="3" customFormat="1" x14ac:dyDescent="0.2">
      <c r="B5" s="3" t="s">
        <v>99</v>
      </c>
      <c r="C5" s="5"/>
      <c r="D5" s="5"/>
      <c r="E5" s="5"/>
      <c r="F5" s="5"/>
      <c r="G5" s="5"/>
      <c r="H5" s="5"/>
      <c r="I5" s="5"/>
      <c r="J5" s="5"/>
      <c r="K5" s="5">
        <v>142.709</v>
      </c>
      <c r="L5" s="5"/>
      <c r="M5" s="5"/>
      <c r="N5" s="5"/>
    </row>
    <row r="6" spans="1:37" s="3" customFormat="1" x14ac:dyDescent="0.2">
      <c r="B6" s="3" t="s">
        <v>96</v>
      </c>
      <c r="C6" s="5"/>
      <c r="D6" s="5"/>
      <c r="E6" s="5"/>
      <c r="F6" s="5"/>
      <c r="G6" s="5"/>
      <c r="H6" s="5"/>
      <c r="I6" s="5"/>
      <c r="J6" s="5"/>
      <c r="K6" s="5">
        <f>SUM(K3:K5)</f>
        <v>1472.01</v>
      </c>
      <c r="L6" s="5"/>
      <c r="M6" s="5"/>
      <c r="N6" s="5"/>
      <c r="P6" s="3">
        <v>9.4E-2</v>
      </c>
      <c r="Q6" s="3">
        <v>34.082000000000001</v>
      </c>
      <c r="R6" s="3">
        <v>745.34799999999996</v>
      </c>
      <c r="S6" s="3">
        <v>3985.5010000000002</v>
      </c>
      <c r="U6" s="3">
        <v>5757.33</v>
      </c>
      <c r="V6" s="3">
        <v>6237.8320000000003</v>
      </c>
      <c r="W6" s="3">
        <v>6255.54</v>
      </c>
    </row>
    <row r="7" spans="1:37" s="3" customFormat="1" x14ac:dyDescent="0.2">
      <c r="B7" s="3" t="s">
        <v>89</v>
      </c>
      <c r="C7" s="5"/>
      <c r="D7" s="5"/>
      <c r="E7" s="5"/>
      <c r="F7" s="5"/>
      <c r="G7" s="5">
        <v>48.1</v>
      </c>
      <c r="H7" s="5">
        <v>48.6</v>
      </c>
      <c r="I7" s="5">
        <v>48.6</v>
      </c>
      <c r="J7" s="5">
        <v>48.9</v>
      </c>
      <c r="K7" s="5">
        <v>49.4</v>
      </c>
      <c r="L7" s="5"/>
      <c r="M7" s="5"/>
      <c r="N7" s="5"/>
      <c r="P7" s="3">
        <v>0</v>
      </c>
      <c r="Q7" s="3">
        <v>0.374</v>
      </c>
      <c r="R7" s="3">
        <v>8.94</v>
      </c>
      <c r="S7" s="3">
        <v>33.741999999999997</v>
      </c>
      <c r="U7" s="3">
        <v>43.673000000000002</v>
      </c>
      <c r="V7" s="3">
        <v>47.426000000000002</v>
      </c>
      <c r="W7" s="3">
        <v>48.889000000000003</v>
      </c>
    </row>
    <row r="8" spans="1:37" s="3" customFormat="1" x14ac:dyDescent="0.2">
      <c r="B8" s="3" t="s">
        <v>137</v>
      </c>
      <c r="C8" s="5"/>
      <c r="D8" s="5"/>
      <c r="E8" s="5"/>
      <c r="F8" s="5"/>
      <c r="G8" s="4">
        <f>G16/G7</f>
        <v>15.599916839916839</v>
      </c>
      <c r="H8" s="4">
        <f>H16/H7</f>
        <v>15.193312757201646</v>
      </c>
      <c r="I8" s="4">
        <f>I16/I7</f>
        <v>14.683024691358025</v>
      </c>
      <c r="J8" s="4">
        <f>J16/J7</f>
        <v>18.756032719836401</v>
      </c>
      <c r="K8" s="4">
        <f>K16/K7</f>
        <v>14.817226720647774</v>
      </c>
      <c r="L8" s="5"/>
      <c r="M8" s="5"/>
      <c r="N8" s="5"/>
      <c r="P8" s="4" t="e">
        <f t="shared" ref="P8:W8" si="1">P16/P7</f>
        <v>#DIV/0!</v>
      </c>
      <c r="Q8" s="4">
        <f t="shared" si="1"/>
        <v>38.877005347593581</v>
      </c>
      <c r="R8" s="4">
        <f t="shared" si="1"/>
        <v>35.004586129753918</v>
      </c>
      <c r="S8" s="4">
        <f t="shared" si="1"/>
        <v>47.727757690711876</v>
      </c>
      <c r="T8" s="4" t="e">
        <f t="shared" si="1"/>
        <v>#DIV/0!</v>
      </c>
      <c r="U8" s="4">
        <f t="shared" si="1"/>
        <v>58.930117005930427</v>
      </c>
      <c r="V8" s="4">
        <f t="shared" si="1"/>
        <v>64.144625311010842</v>
      </c>
      <c r="W8" s="4">
        <f t="shared" si="1"/>
        <v>63.80813679968908</v>
      </c>
    </row>
    <row r="9" spans="1:37" s="3" customFormat="1" x14ac:dyDescent="0.2"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37" s="3" customFormat="1" x14ac:dyDescent="0.2">
      <c r="B10" s="3" t="s">
        <v>90</v>
      </c>
      <c r="C10" s="5"/>
      <c r="D10" s="5"/>
      <c r="E10" s="5"/>
      <c r="F10" s="5"/>
      <c r="G10" s="5"/>
      <c r="H10" s="5"/>
      <c r="I10" s="5"/>
      <c r="J10" s="5"/>
      <c r="K10" s="5">
        <v>500.81299999999999</v>
      </c>
      <c r="L10" s="5"/>
      <c r="M10" s="5"/>
      <c r="N10" s="5"/>
      <c r="W10" s="3">
        <v>2047.742</v>
      </c>
    </row>
    <row r="11" spans="1:37" s="3" customFormat="1" x14ac:dyDescent="0.2">
      <c r="B11" s="3" t="s">
        <v>91</v>
      </c>
      <c r="C11" s="5"/>
      <c r="D11" s="5"/>
      <c r="E11" s="5"/>
      <c r="F11" s="5"/>
      <c r="G11" s="5"/>
      <c r="H11" s="5"/>
      <c r="I11" s="5"/>
      <c r="J11" s="5"/>
      <c r="K11" s="5">
        <v>188.97</v>
      </c>
      <c r="L11" s="5"/>
      <c r="M11" s="5"/>
      <c r="N11" s="5"/>
      <c r="W11" s="3">
        <v>867.88</v>
      </c>
    </row>
    <row r="12" spans="1:37" s="3" customFormat="1" x14ac:dyDescent="0.2">
      <c r="B12" s="3" t="s">
        <v>92</v>
      </c>
      <c r="C12" s="5"/>
      <c r="D12" s="5"/>
      <c r="E12" s="5"/>
      <c r="F12" s="5"/>
      <c r="G12" s="5"/>
      <c r="H12" s="5"/>
      <c r="I12" s="5"/>
      <c r="J12" s="5"/>
      <c r="K12" s="5">
        <v>42.188000000000002</v>
      </c>
      <c r="L12" s="5"/>
      <c r="M12" s="5"/>
      <c r="N12" s="5"/>
      <c r="W12" s="3">
        <v>203.89400000000001</v>
      </c>
    </row>
    <row r="14" spans="1:37" s="3" customFormat="1" x14ac:dyDescent="0.2">
      <c r="B14" s="3" t="s">
        <v>20</v>
      </c>
      <c r="C14" s="5"/>
      <c r="D14" s="5">
        <v>372.50400000000002</v>
      </c>
      <c r="E14" s="5">
        <v>362.90300000000002</v>
      </c>
      <c r="F14" s="5">
        <v>367.90199999999999</v>
      </c>
      <c r="G14" s="5">
        <v>360.12099999999998</v>
      </c>
      <c r="H14" s="5">
        <v>340.846</v>
      </c>
      <c r="I14" s="5">
        <v>326.30599999999998</v>
      </c>
      <c r="J14" s="5">
        <v>345.26</v>
      </c>
      <c r="K14" s="5">
        <v>334.56799999999998</v>
      </c>
      <c r="L14" s="5"/>
      <c r="M14" s="5"/>
      <c r="N14" s="5"/>
      <c r="S14" s="3">
        <v>1589.604</v>
      </c>
      <c r="T14" s="3">
        <v>1879.729</v>
      </c>
      <c r="U14" s="3">
        <v>1654.654</v>
      </c>
      <c r="V14" s="3">
        <v>1501.011</v>
      </c>
      <c r="W14" s="3">
        <v>1372.5329999999999</v>
      </c>
    </row>
    <row r="15" spans="1:37" s="3" customFormat="1" x14ac:dyDescent="0.2">
      <c r="B15" s="3" t="s">
        <v>21</v>
      </c>
      <c r="C15" s="5"/>
      <c r="D15" s="5">
        <v>343.70699999999999</v>
      </c>
      <c r="E15" s="5">
        <v>351.36599999999999</v>
      </c>
      <c r="F15" s="5">
        <v>515.32600000000002</v>
      </c>
      <c r="G15" s="5">
        <v>390.23500000000001</v>
      </c>
      <c r="H15" s="5">
        <v>397.54899999999998</v>
      </c>
      <c r="I15" s="5">
        <v>387.28899999999999</v>
      </c>
      <c r="J15" s="5">
        <v>571.91</v>
      </c>
      <c r="K15" s="5">
        <v>397.40300000000002</v>
      </c>
      <c r="L15" s="5"/>
      <c r="M15" s="5"/>
      <c r="N15" s="5"/>
      <c r="S15" s="3">
        <v>20.826000000000001</v>
      </c>
      <c r="T15" s="3">
        <v>454.74299999999999</v>
      </c>
      <c r="U15" s="3">
        <v>919.00099999999998</v>
      </c>
      <c r="V15" s="3">
        <v>1541.1120000000001</v>
      </c>
      <c r="W15" s="3">
        <v>1746.9829999999999</v>
      </c>
    </row>
    <row r="16" spans="1:37" s="6" customFormat="1" x14ac:dyDescent="0.2">
      <c r="B16" s="6" t="s">
        <v>7</v>
      </c>
      <c r="C16" s="7"/>
      <c r="D16" s="7">
        <f t="shared" ref="D16:K16" si="2">+D15+D14</f>
        <v>716.21100000000001</v>
      </c>
      <c r="E16" s="7">
        <f t="shared" si="2"/>
        <v>714.26900000000001</v>
      </c>
      <c r="F16" s="7">
        <f t="shared" si="2"/>
        <v>883.22800000000007</v>
      </c>
      <c r="G16" s="7">
        <f t="shared" si="2"/>
        <v>750.35599999999999</v>
      </c>
      <c r="H16" s="7">
        <f t="shared" si="2"/>
        <v>738.39499999999998</v>
      </c>
      <c r="I16" s="7">
        <f t="shared" si="2"/>
        <v>713.59500000000003</v>
      </c>
      <c r="J16" s="7">
        <f t="shared" si="2"/>
        <v>917.17</v>
      </c>
      <c r="K16" s="7">
        <f t="shared" si="2"/>
        <v>731.971</v>
      </c>
      <c r="L16" s="7">
        <f>+H16*0.95</f>
        <v>701.47524999999996</v>
      </c>
      <c r="M16" s="7">
        <f t="shared" ref="M16:N16" si="3">+I16*0.95</f>
        <v>677.91525000000001</v>
      </c>
      <c r="N16" s="7">
        <f t="shared" si="3"/>
        <v>871.31149999999991</v>
      </c>
      <c r="P16" s="6">
        <v>5.0000000000000001E-3</v>
      </c>
      <c r="Q16" s="6">
        <v>14.54</v>
      </c>
      <c r="R16" s="6">
        <v>312.94099999999997</v>
      </c>
      <c r="S16" s="7">
        <f t="shared" ref="S16:W16" si="4">+S15+S14</f>
        <v>1610.43</v>
      </c>
      <c r="T16" s="7">
        <f t="shared" si="4"/>
        <v>2334.4720000000002</v>
      </c>
      <c r="U16" s="7">
        <f t="shared" si="4"/>
        <v>2573.6549999999997</v>
      </c>
      <c r="V16" s="7">
        <f t="shared" si="4"/>
        <v>3042.123</v>
      </c>
      <c r="W16" s="7">
        <f t="shared" si="4"/>
        <v>3119.5159999999996</v>
      </c>
      <c r="X16" s="6">
        <f>SUM(K16:N16)</f>
        <v>2982.6729999999998</v>
      </c>
      <c r="Y16" s="6">
        <f>+X16*1.04</f>
        <v>3101.9799199999998</v>
      </c>
      <c r="Z16" s="6">
        <f>+Y16*1.04</f>
        <v>3226.0591168000001</v>
      </c>
      <c r="AA16" s="6">
        <f>+Z16*1</f>
        <v>3226.0591168000001</v>
      </c>
      <c r="AB16" s="6">
        <f>+AA16*1</f>
        <v>3226.0591168000001</v>
      </c>
    </row>
    <row r="17" spans="2:133" s="3" customFormat="1" x14ac:dyDescent="0.2">
      <c r="B17" s="3" t="s">
        <v>22</v>
      </c>
      <c r="C17" s="5"/>
      <c r="D17" s="5">
        <v>48.756999999999998</v>
      </c>
      <c r="E17" s="5">
        <v>50.774000000000001</v>
      </c>
      <c r="F17" s="5">
        <v>49.725000000000001</v>
      </c>
      <c r="G17" s="5">
        <v>51.697000000000003</v>
      </c>
      <c r="H17" s="5">
        <v>47.545000000000002</v>
      </c>
      <c r="I17" s="5">
        <v>46.05</v>
      </c>
      <c r="J17" s="5">
        <v>43.64</v>
      </c>
      <c r="K17" s="5">
        <v>46.780999999999999</v>
      </c>
      <c r="L17" s="5"/>
      <c r="M17" s="5"/>
      <c r="N17" s="5"/>
      <c r="S17" s="3">
        <v>243.78899999999999</v>
      </c>
      <c r="T17" s="3">
        <v>297.73899999999998</v>
      </c>
      <c r="U17" s="3">
        <v>232.06200000000001</v>
      </c>
      <c r="V17" s="3">
        <v>203.05799999999999</v>
      </c>
      <c r="W17" s="3">
        <v>188.93199999999999</v>
      </c>
    </row>
    <row r="18" spans="2:133" s="3" customFormat="1" x14ac:dyDescent="0.2">
      <c r="B18" s="3" t="s">
        <v>23</v>
      </c>
      <c r="C18" s="5"/>
      <c r="D18" s="5">
        <v>301.04399999999998</v>
      </c>
      <c r="E18" s="5">
        <v>308.21699999999998</v>
      </c>
      <c r="F18" s="5">
        <v>455.39400000000001</v>
      </c>
      <c r="G18" s="5">
        <v>351.25299999999999</v>
      </c>
      <c r="H18" s="5">
        <v>353.84300000000002</v>
      </c>
      <c r="I18" s="5">
        <v>338.63299999999998</v>
      </c>
      <c r="J18" s="5">
        <v>501.79</v>
      </c>
      <c r="K18" s="5">
        <v>345.86200000000002</v>
      </c>
      <c r="L18" s="5"/>
      <c r="M18" s="5"/>
      <c r="N18" s="5"/>
      <c r="S18" s="3">
        <v>15.09</v>
      </c>
      <c r="T18" s="3">
        <v>421.20100000000002</v>
      </c>
      <c r="U18" s="3">
        <v>840.06</v>
      </c>
      <c r="V18" s="3">
        <v>1373.7560000000001</v>
      </c>
      <c r="W18" s="3">
        <v>1545.519</v>
      </c>
    </row>
    <row r="19" spans="2:133" s="3" customFormat="1" x14ac:dyDescent="0.2">
      <c r="B19" s="3" t="s">
        <v>24</v>
      </c>
      <c r="C19" s="5"/>
      <c r="D19" s="5">
        <f t="shared" ref="D19:K19" si="5">SUM(D17:D18)</f>
        <v>349.80099999999999</v>
      </c>
      <c r="E19" s="5">
        <f t="shared" si="5"/>
        <v>358.99099999999999</v>
      </c>
      <c r="F19" s="5">
        <f t="shared" si="5"/>
        <v>505.11900000000003</v>
      </c>
      <c r="G19" s="5">
        <f t="shared" si="5"/>
        <v>402.95</v>
      </c>
      <c r="H19" s="5">
        <f t="shared" si="5"/>
        <v>401.38800000000003</v>
      </c>
      <c r="I19" s="5">
        <f t="shared" si="5"/>
        <v>384.68299999999999</v>
      </c>
      <c r="J19" s="5">
        <f t="shared" si="5"/>
        <v>545.43000000000006</v>
      </c>
      <c r="K19" s="5">
        <f t="shared" si="5"/>
        <v>392.64300000000003</v>
      </c>
      <c r="L19" s="5"/>
      <c r="M19" s="5"/>
      <c r="N19" s="5"/>
      <c r="P19" s="3">
        <v>8.7999999999999995E-2</v>
      </c>
      <c r="Q19" s="3">
        <v>4.7160000000000002</v>
      </c>
      <c r="R19" s="3">
        <v>42.896000000000001</v>
      </c>
      <c r="S19" s="3">
        <f>+S18+S17</f>
        <v>258.87899999999996</v>
      </c>
      <c r="T19" s="3">
        <f t="shared" ref="T19:W19" si="6">+T18+T17</f>
        <v>718.94</v>
      </c>
      <c r="U19" s="3">
        <f t="shared" si="6"/>
        <v>1072.1219999999998</v>
      </c>
      <c r="V19" s="3">
        <f t="shared" si="6"/>
        <v>1576.8140000000001</v>
      </c>
      <c r="W19" s="3">
        <f t="shared" si="6"/>
        <v>1734.451</v>
      </c>
    </row>
    <row r="20" spans="2:133" s="3" customFormat="1" x14ac:dyDescent="0.2">
      <c r="B20" s="3" t="s">
        <v>33</v>
      </c>
      <c r="C20" s="5"/>
      <c r="D20" s="5">
        <f t="shared" ref="D20:K20" si="7">D16-D19</f>
        <v>366.41</v>
      </c>
      <c r="E20" s="5">
        <f t="shared" si="7"/>
        <v>355.27800000000002</v>
      </c>
      <c r="F20" s="5">
        <f t="shared" si="7"/>
        <v>378.10900000000004</v>
      </c>
      <c r="G20" s="5">
        <f t="shared" si="7"/>
        <v>347.40600000000001</v>
      </c>
      <c r="H20" s="5">
        <f t="shared" si="7"/>
        <v>337.00699999999995</v>
      </c>
      <c r="I20" s="5">
        <f t="shared" si="7"/>
        <v>328.91200000000003</v>
      </c>
      <c r="J20" s="5">
        <f t="shared" si="7"/>
        <v>371.7399999999999</v>
      </c>
      <c r="K20" s="5">
        <f t="shared" si="7"/>
        <v>339.32799999999997</v>
      </c>
      <c r="L20" s="5">
        <f>+L16*0.46</f>
        <v>322.67861499999998</v>
      </c>
      <c r="M20" s="5">
        <f t="shared" ref="M20" si="8">+M16*0.46</f>
        <v>311.84101500000003</v>
      </c>
      <c r="N20" s="5">
        <f>+N16*0.47</f>
        <v>409.51640499999991</v>
      </c>
      <c r="P20" s="3">
        <f>+P16-P19</f>
        <v>-8.299999999999999E-2</v>
      </c>
      <c r="Q20" s="3">
        <f>+Q16-Q19</f>
        <v>9.8239999999999981</v>
      </c>
      <c r="R20" s="3">
        <f>+R16-R19</f>
        <v>270.04499999999996</v>
      </c>
      <c r="S20" s="3">
        <f>+S16-S19</f>
        <v>1351.5510000000002</v>
      </c>
      <c r="T20" s="3">
        <f t="shared" ref="T20:W20" si="9">+T16-T19</f>
        <v>1615.5320000000002</v>
      </c>
      <c r="U20" s="3">
        <f t="shared" si="9"/>
        <v>1501.5329999999999</v>
      </c>
      <c r="V20" s="3">
        <f t="shared" si="9"/>
        <v>1465.309</v>
      </c>
      <c r="W20" s="3">
        <f t="shared" si="9"/>
        <v>1385.0649999999996</v>
      </c>
      <c r="X20" s="3">
        <f>+X16*0.46</f>
        <v>1372.0295799999999</v>
      </c>
      <c r="Y20" s="3">
        <f>+Y16*0.47</f>
        <v>1457.9305623999999</v>
      </c>
      <c r="Z20" s="3">
        <f>+Z16*0.48</f>
        <v>1548.508376064</v>
      </c>
      <c r="AA20" s="3">
        <f t="shared" ref="AA20:AB20" si="10">+AA16*0.48</f>
        <v>1548.508376064</v>
      </c>
      <c r="AB20" s="3">
        <f t="shared" si="10"/>
        <v>1548.508376064</v>
      </c>
    </row>
    <row r="21" spans="2:133" s="3" customFormat="1" x14ac:dyDescent="0.2">
      <c r="B21" s="3" t="s">
        <v>32</v>
      </c>
      <c r="C21" s="5"/>
      <c r="D21" s="5">
        <v>57.698999999999998</v>
      </c>
      <c r="E21" s="5">
        <v>55.258000000000003</v>
      </c>
      <c r="F21" s="5">
        <v>59.811999999999998</v>
      </c>
      <c r="G21" s="5">
        <v>52.533000000000001</v>
      </c>
      <c r="H21" s="5">
        <v>57.006999999999998</v>
      </c>
      <c r="I21" s="5">
        <v>61.587000000000003</v>
      </c>
      <c r="J21" s="5">
        <v>83.207999999999998</v>
      </c>
      <c r="K21" s="35">
        <v>89.765000000000001</v>
      </c>
      <c r="L21" s="5">
        <f>+H21</f>
        <v>57.006999999999998</v>
      </c>
      <c r="M21" s="5">
        <f t="shared" ref="M21:N21" si="11">+I21</f>
        <v>61.587000000000003</v>
      </c>
      <c r="N21" s="5">
        <f t="shared" si="11"/>
        <v>83.207999999999998</v>
      </c>
      <c r="P21" s="3">
        <v>0.16300000000000001</v>
      </c>
      <c r="Q21" s="3">
        <v>5.0529999999999999</v>
      </c>
      <c r="R21" s="3">
        <v>290.56900000000002</v>
      </c>
      <c r="S21" s="3">
        <v>768.47199999999998</v>
      </c>
      <c r="T21" s="3">
        <v>336.85399999999998</v>
      </c>
      <c r="U21" s="3">
        <v>214.82400000000001</v>
      </c>
      <c r="V21" s="3">
        <v>241.95400000000001</v>
      </c>
      <c r="W21" s="3">
        <v>254.33500000000001</v>
      </c>
      <c r="X21" s="3">
        <f>SUM(K21:N21)</f>
        <v>291.56700000000001</v>
      </c>
      <c r="Y21" s="3">
        <f>+X21*1.05</f>
        <v>306.14535000000001</v>
      </c>
      <c r="Z21" s="3">
        <f t="shared" ref="Z21:AB21" si="12">+Y21*1.05</f>
        <v>321.45261750000003</v>
      </c>
      <c r="AA21" s="3">
        <f t="shared" si="12"/>
        <v>337.52524837500005</v>
      </c>
      <c r="AB21" s="3">
        <f t="shared" si="12"/>
        <v>354.40151079375005</v>
      </c>
    </row>
    <row r="22" spans="2:133" s="3" customFormat="1" x14ac:dyDescent="0.2">
      <c r="B22" s="3" t="s">
        <v>31</v>
      </c>
      <c r="C22" s="5"/>
      <c r="D22" s="5">
        <v>305.738</v>
      </c>
      <c r="E22" s="5">
        <v>299.27499999999998</v>
      </c>
      <c r="F22" s="5">
        <v>285.46600000000001</v>
      </c>
      <c r="G22" s="5">
        <v>289.84699999999998</v>
      </c>
      <c r="H22" s="5">
        <v>353.84300000000002</v>
      </c>
      <c r="I22" s="5">
        <v>326.24799999999999</v>
      </c>
      <c r="J22" s="5">
        <v>287.976</v>
      </c>
      <c r="K22" s="5">
        <v>280.988</v>
      </c>
      <c r="L22" s="5">
        <f>+K22-5</f>
        <v>275.988</v>
      </c>
      <c r="M22" s="5">
        <f t="shared" ref="M22:N22" si="13">+L22-5</f>
        <v>270.988</v>
      </c>
      <c r="N22" s="5">
        <f t="shared" si="13"/>
        <v>265.988</v>
      </c>
      <c r="P22" s="3">
        <v>1.3859999999999999</v>
      </c>
      <c r="Q22" s="3">
        <v>5.8479999999999999</v>
      </c>
      <c r="R22" s="3">
        <v>196.637</v>
      </c>
      <c r="S22" s="3">
        <v>821.00199999999995</v>
      </c>
      <c r="T22" s="3">
        <v>1179.08</v>
      </c>
      <c r="U22" s="3">
        <v>1210.9659999999999</v>
      </c>
      <c r="V22" s="3">
        <v>1191.385</v>
      </c>
      <c r="W22" s="3">
        <v>1192.7919999999999</v>
      </c>
      <c r="X22" s="3">
        <f t="shared" ref="X22" si="14">SUM(K22:N22)</f>
        <v>1093.952</v>
      </c>
      <c r="Y22" s="3">
        <f>+X22-50</f>
        <v>1043.952</v>
      </c>
      <c r="Z22" s="3">
        <f t="shared" ref="Z22:AB22" si="15">+Y22-50</f>
        <v>993.952</v>
      </c>
      <c r="AA22" s="3">
        <f t="shared" si="15"/>
        <v>943.952</v>
      </c>
      <c r="AB22" s="3">
        <f t="shared" si="15"/>
        <v>893.952</v>
      </c>
    </row>
    <row r="23" spans="2:133" s="3" customFormat="1" x14ac:dyDescent="0.2">
      <c r="B23" s="3" t="s">
        <v>30</v>
      </c>
      <c r="C23" s="5"/>
      <c r="D23" s="5">
        <f t="shared" ref="D23:K23" si="16">+D22+D21</f>
        <v>363.43700000000001</v>
      </c>
      <c r="E23" s="5">
        <f t="shared" si="16"/>
        <v>354.53299999999996</v>
      </c>
      <c r="F23" s="5">
        <f t="shared" si="16"/>
        <v>345.27800000000002</v>
      </c>
      <c r="G23" s="5">
        <f t="shared" si="16"/>
        <v>342.38</v>
      </c>
      <c r="H23" s="5">
        <f t="shared" si="16"/>
        <v>410.85</v>
      </c>
      <c r="I23" s="5">
        <f t="shared" si="16"/>
        <v>387.83499999999998</v>
      </c>
      <c r="J23" s="5">
        <f t="shared" si="16"/>
        <v>371.18399999999997</v>
      </c>
      <c r="K23" s="5">
        <f t="shared" si="16"/>
        <v>370.75299999999999</v>
      </c>
      <c r="L23" s="5">
        <f t="shared" ref="L23" si="17">+L22+L21</f>
        <v>332.995</v>
      </c>
      <c r="M23" s="5">
        <f t="shared" ref="M23" si="18">+M22+M21</f>
        <v>332.57499999999999</v>
      </c>
      <c r="N23" s="5">
        <f t="shared" ref="N23:P23" si="19">+N22+N21</f>
        <v>349.19600000000003</v>
      </c>
      <c r="P23" s="5">
        <f t="shared" si="19"/>
        <v>1.5489999999999999</v>
      </c>
      <c r="Q23" s="5">
        <f t="shared" ref="Q23:R23" si="20">+Q22+Q21</f>
        <v>10.901</v>
      </c>
      <c r="R23" s="5">
        <f t="shared" si="20"/>
        <v>487.20600000000002</v>
      </c>
      <c r="S23" s="3">
        <f>+S22+S21</f>
        <v>1589.4739999999999</v>
      </c>
      <c r="T23" s="3">
        <f t="shared" ref="T23:W23" si="21">+T22+T21</f>
        <v>1515.934</v>
      </c>
      <c r="U23" s="3">
        <f t="shared" si="21"/>
        <v>1425.79</v>
      </c>
      <c r="V23" s="3">
        <f t="shared" si="21"/>
        <v>1433.3389999999999</v>
      </c>
      <c r="W23" s="3">
        <f t="shared" si="21"/>
        <v>1447.127</v>
      </c>
      <c r="X23" s="3">
        <f t="shared" ref="X23:AB23" si="22">+X22+X21</f>
        <v>1385.519</v>
      </c>
      <c r="Y23" s="3">
        <f t="shared" si="22"/>
        <v>1350.09735</v>
      </c>
      <c r="Z23" s="3">
        <f t="shared" si="22"/>
        <v>1315.4046175000001</v>
      </c>
      <c r="AA23" s="3">
        <f t="shared" si="22"/>
        <v>1281.477248375</v>
      </c>
      <c r="AB23" s="3">
        <f t="shared" si="22"/>
        <v>1248.35351079375</v>
      </c>
    </row>
    <row r="24" spans="2:133" s="3" customFormat="1" x14ac:dyDescent="0.2">
      <c r="B24" s="3" t="s">
        <v>29</v>
      </c>
      <c r="C24" s="5"/>
      <c r="D24" s="5">
        <f t="shared" ref="D24:K24" si="23">+D20-D23</f>
        <v>2.9730000000000132</v>
      </c>
      <c r="E24" s="5">
        <f t="shared" si="23"/>
        <v>0.74500000000006139</v>
      </c>
      <c r="F24" s="5">
        <f t="shared" si="23"/>
        <v>32.831000000000017</v>
      </c>
      <c r="G24" s="5">
        <f t="shared" si="23"/>
        <v>5.0260000000000105</v>
      </c>
      <c r="H24" s="5">
        <f t="shared" si="23"/>
        <v>-73.843000000000075</v>
      </c>
      <c r="I24" s="5">
        <f t="shared" si="23"/>
        <v>-58.922999999999945</v>
      </c>
      <c r="J24" s="5">
        <f t="shared" si="23"/>
        <v>0.55599999999992633</v>
      </c>
      <c r="K24" s="5">
        <f t="shared" si="23"/>
        <v>-31.425000000000011</v>
      </c>
      <c r="L24" s="5">
        <f t="shared" ref="L24" si="24">+L20-L23</f>
        <v>-10.316385000000025</v>
      </c>
      <c r="M24" s="5">
        <f t="shared" ref="M24" si="25">+M20-M23</f>
        <v>-20.733984999999961</v>
      </c>
      <c r="N24" s="5">
        <f t="shared" ref="N24:P24" si="26">+N20-N23</f>
        <v>60.32040499999988</v>
      </c>
      <c r="P24" s="5">
        <f t="shared" si="26"/>
        <v>-1.6319999999999999</v>
      </c>
      <c r="Q24" s="5">
        <f t="shared" ref="Q24:R24" si="27">+Q20-Q23</f>
        <v>-1.0770000000000017</v>
      </c>
      <c r="R24" s="5">
        <f t="shared" si="27"/>
        <v>-217.16100000000006</v>
      </c>
      <c r="S24" s="3">
        <f>+S20-S23</f>
        <v>-237.92299999999977</v>
      </c>
      <c r="T24" s="3">
        <f t="shared" ref="T24:W24" si="28">+T20-T23</f>
        <v>99.598000000000184</v>
      </c>
      <c r="U24" s="3">
        <f t="shared" si="28"/>
        <v>75.742999999999938</v>
      </c>
      <c r="V24" s="3">
        <f t="shared" si="28"/>
        <v>31.970000000000027</v>
      </c>
      <c r="W24" s="3">
        <f t="shared" si="28"/>
        <v>-62.062000000000353</v>
      </c>
      <c r="X24" s="3">
        <f t="shared" ref="X24:AB24" si="29">+X20-X23</f>
        <v>-13.489420000000109</v>
      </c>
      <c r="Y24" s="3">
        <f t="shared" si="29"/>
        <v>107.83321239999987</v>
      </c>
      <c r="Z24" s="3">
        <f t="shared" si="29"/>
        <v>233.10375856399992</v>
      </c>
      <c r="AA24" s="3">
        <f t="shared" si="29"/>
        <v>267.03112768899996</v>
      </c>
      <c r="AB24" s="3">
        <f t="shared" si="29"/>
        <v>300.15486527024996</v>
      </c>
    </row>
    <row r="25" spans="2:133" s="3" customFormat="1" x14ac:dyDescent="0.2">
      <c r="B25" s="3" t="s">
        <v>28</v>
      </c>
      <c r="C25" s="5"/>
      <c r="D25" s="5">
        <v>-1.0229999999999999</v>
      </c>
      <c r="E25" s="5">
        <v>1.0489999999999999</v>
      </c>
      <c r="F25" s="5">
        <v>-11.531000000000001</v>
      </c>
      <c r="G25" s="5">
        <v>-19.927</v>
      </c>
      <c r="H25" s="5">
        <v>2.9409999999999998</v>
      </c>
      <c r="I25" s="5">
        <v>-8.16</v>
      </c>
      <c r="J25" s="5">
        <v>-3.3929999999999998</v>
      </c>
      <c r="K25" s="5">
        <v>3.4860000000000002</v>
      </c>
      <c r="L25" s="5">
        <f>+K25</f>
        <v>3.4860000000000002</v>
      </c>
      <c r="M25" s="5">
        <f t="shared" ref="M25:N25" si="30">+L25</f>
        <v>3.4860000000000002</v>
      </c>
      <c r="N25" s="5">
        <f t="shared" si="30"/>
        <v>3.4860000000000002</v>
      </c>
      <c r="S25" s="3">
        <v>-20.678999999999998</v>
      </c>
      <c r="T25" s="3">
        <v>-3.7589999999999999</v>
      </c>
      <c r="U25" s="3">
        <v>-94.662999999999997</v>
      </c>
      <c r="V25" s="3">
        <v>-33.450000000000003</v>
      </c>
      <c r="W25" s="3">
        <v>-28.539000000000001</v>
      </c>
      <c r="X25" s="3">
        <f t="shared" ref="X25" si="31">SUM(K25:N25)</f>
        <v>13.944000000000001</v>
      </c>
      <c r="Y25" s="3">
        <v>0</v>
      </c>
      <c r="Z25" s="3">
        <v>0</v>
      </c>
      <c r="AA25" s="3">
        <v>0</v>
      </c>
      <c r="AB25" s="3">
        <v>0</v>
      </c>
    </row>
    <row r="26" spans="2:133" s="3" customFormat="1" x14ac:dyDescent="0.2">
      <c r="B26" s="3" t="s">
        <v>27</v>
      </c>
      <c r="C26" s="5"/>
      <c r="D26" s="5">
        <f t="shared" ref="D26:K26" si="32">+D25+D24</f>
        <v>1.9500000000000133</v>
      </c>
      <c r="E26" s="5">
        <f t="shared" si="32"/>
        <v>1.7940000000000613</v>
      </c>
      <c r="F26" s="5">
        <f t="shared" si="32"/>
        <v>21.300000000000018</v>
      </c>
      <c r="G26" s="5">
        <f t="shared" si="32"/>
        <v>-14.900999999999989</v>
      </c>
      <c r="H26" s="5">
        <f t="shared" si="32"/>
        <v>-70.902000000000072</v>
      </c>
      <c r="I26" s="5">
        <f t="shared" si="32"/>
        <v>-67.082999999999942</v>
      </c>
      <c r="J26" s="5">
        <f t="shared" si="32"/>
        <v>-2.8370000000000735</v>
      </c>
      <c r="K26" s="5">
        <f t="shared" si="32"/>
        <v>-27.939000000000011</v>
      </c>
      <c r="L26" s="5">
        <f t="shared" ref="L26" si="33">+L25+L24</f>
        <v>-6.8303850000000246</v>
      </c>
      <c r="M26" s="5">
        <f t="shared" ref="M26" si="34">+M25+M24</f>
        <v>-17.247984999999961</v>
      </c>
      <c r="N26" s="5">
        <f t="shared" ref="N26" si="35">+N25+N24</f>
        <v>63.806404999999877</v>
      </c>
      <c r="S26" s="5">
        <f>+S25+S24</f>
        <v>-258.60199999999975</v>
      </c>
      <c r="T26" s="5">
        <f t="shared" ref="T26:AB26" si="36">+T25+T24</f>
        <v>95.839000000000183</v>
      </c>
      <c r="U26" s="5">
        <f t="shared" si="36"/>
        <v>-18.920000000000059</v>
      </c>
      <c r="V26" s="5">
        <f t="shared" si="36"/>
        <v>-1.4799999999999756</v>
      </c>
      <c r="W26" s="5">
        <f t="shared" si="36"/>
        <v>-90.601000000000354</v>
      </c>
      <c r="X26" s="5">
        <f t="shared" si="36"/>
        <v>0.45457999999989163</v>
      </c>
      <c r="Y26" s="5">
        <f t="shared" si="36"/>
        <v>107.83321239999987</v>
      </c>
      <c r="Z26" s="5">
        <f t="shared" si="36"/>
        <v>233.10375856399992</v>
      </c>
      <c r="AA26" s="5">
        <f t="shared" si="36"/>
        <v>267.03112768899996</v>
      </c>
      <c r="AB26" s="5">
        <f t="shared" si="36"/>
        <v>300.15486527024996</v>
      </c>
    </row>
    <row r="27" spans="2:133" s="3" customFormat="1" x14ac:dyDescent="0.2">
      <c r="B27" s="3" t="s">
        <v>25</v>
      </c>
      <c r="C27" s="5"/>
      <c r="D27" s="5">
        <f>12.045+1.953</f>
        <v>13.997999999999999</v>
      </c>
      <c r="E27" s="5">
        <f>6.434+2.19</f>
        <v>8.6240000000000006</v>
      </c>
      <c r="F27" s="5">
        <f>-4.457+2.596</f>
        <v>-1.8609999999999998</v>
      </c>
      <c r="G27" s="5">
        <f>2.107+3.818</f>
        <v>5.9250000000000007</v>
      </c>
      <c r="H27" s="5">
        <f>8.982+2.828</f>
        <v>11.809999999999999</v>
      </c>
      <c r="I27" s="5">
        <f>53.97+3.002</f>
        <v>56.972000000000001</v>
      </c>
      <c r="J27" s="5">
        <f>23.736+3.363</f>
        <v>27.099</v>
      </c>
      <c r="K27" s="5">
        <f>1.749+3.523</f>
        <v>5.2720000000000002</v>
      </c>
      <c r="L27" s="5">
        <f>+L26*0.35</f>
        <v>-2.3906347500000082</v>
      </c>
      <c r="M27" s="5">
        <f t="shared" ref="M27:N27" si="37">+M26*0.35</f>
        <v>-6.0367947499999861</v>
      </c>
      <c r="N27" s="5">
        <f t="shared" si="37"/>
        <v>22.332241749999955</v>
      </c>
      <c r="S27" s="3">
        <v>43.697000000000003</v>
      </c>
      <c r="T27" s="3">
        <v>145.97300000000001</v>
      </c>
      <c r="U27" s="3">
        <v>70.037000000000006</v>
      </c>
      <c r="V27" s="3">
        <v>15.724</v>
      </c>
      <c r="W27" s="3">
        <v>-19.145</v>
      </c>
      <c r="X27" s="3">
        <f t="shared" ref="X27" si="38">SUM(K27:N27)</f>
        <v>19.176812249999962</v>
      </c>
      <c r="Y27" s="3">
        <f>+Y26*0.35</f>
        <v>37.741624339999952</v>
      </c>
      <c r="Z27" s="3">
        <f>+Z26*0.35</f>
        <v>81.586315497399966</v>
      </c>
      <c r="AA27" s="3">
        <f t="shared" ref="AA27:AB27" si="39">+AA26*0.35</f>
        <v>93.460894691149974</v>
      </c>
      <c r="AB27" s="3">
        <f t="shared" si="39"/>
        <v>105.05420284458748</v>
      </c>
    </row>
    <row r="28" spans="2:133" s="3" customFormat="1" x14ac:dyDescent="0.2">
      <c r="B28" s="3" t="s">
        <v>26</v>
      </c>
      <c r="C28" s="5"/>
      <c r="D28" s="5">
        <f t="shared" ref="D28:K28" si="40">+D26-D27</f>
        <v>-12.047999999999986</v>
      </c>
      <c r="E28" s="5">
        <f t="shared" si="40"/>
        <v>-6.8299999999999397</v>
      </c>
      <c r="F28" s="5">
        <f t="shared" si="40"/>
        <v>23.161000000000019</v>
      </c>
      <c r="G28" s="5">
        <f t="shared" si="40"/>
        <v>-20.82599999999999</v>
      </c>
      <c r="H28" s="5">
        <f t="shared" si="40"/>
        <v>-82.712000000000074</v>
      </c>
      <c r="I28" s="5">
        <f t="shared" si="40"/>
        <v>-124.05499999999995</v>
      </c>
      <c r="J28" s="5">
        <f t="shared" si="40"/>
        <v>-29.936000000000075</v>
      </c>
      <c r="K28" s="5">
        <f t="shared" si="40"/>
        <v>-33.211000000000013</v>
      </c>
      <c r="L28" s="5">
        <f t="shared" ref="L28" si="41">+L26-L27</f>
        <v>-4.4397502500000163</v>
      </c>
      <c r="M28" s="5">
        <f t="shared" ref="M28" si="42">+M26-M27</f>
        <v>-11.211190249999975</v>
      </c>
      <c r="N28" s="5">
        <f t="shared" ref="N28" si="43">+N26-N27</f>
        <v>41.474163249999918</v>
      </c>
      <c r="S28" s="5">
        <f t="shared" ref="S28:Y28" si="44">+S26-S27</f>
        <v>-302.29899999999975</v>
      </c>
      <c r="T28" s="5">
        <f t="shared" si="44"/>
        <v>-50.13399999999983</v>
      </c>
      <c r="U28" s="5">
        <f t="shared" si="44"/>
        <v>-88.957000000000065</v>
      </c>
      <c r="V28" s="5">
        <f t="shared" si="44"/>
        <v>-17.203999999999976</v>
      </c>
      <c r="W28" s="5">
        <f t="shared" si="44"/>
        <v>-71.456000000000358</v>
      </c>
      <c r="X28" s="5">
        <f t="shared" si="44"/>
        <v>-18.722232250000069</v>
      </c>
      <c r="Y28" s="5">
        <f t="shared" si="44"/>
        <v>70.091588059999907</v>
      </c>
      <c r="Z28" s="5">
        <f t="shared" ref="Z28:AB28" si="45">+Z26-Z27</f>
        <v>151.51744306659995</v>
      </c>
      <c r="AA28" s="5">
        <f t="shared" si="45"/>
        <v>173.57023299784998</v>
      </c>
      <c r="AB28" s="5">
        <f t="shared" si="45"/>
        <v>195.10066242566248</v>
      </c>
      <c r="AC28" s="3">
        <f>+AB28*(1+$AF$32)</f>
        <v>193.14965580140586</v>
      </c>
      <c r="AD28" s="3">
        <f t="shared" ref="AD28:CO28" si="46">+AC28*(1+$AF$32)</f>
        <v>191.2181592433918</v>
      </c>
      <c r="AE28" s="3">
        <f t="shared" si="46"/>
        <v>189.30597765095789</v>
      </c>
      <c r="AF28" s="3">
        <f t="shared" si="46"/>
        <v>187.41291787444831</v>
      </c>
      <c r="AG28" s="3">
        <f t="shared" si="46"/>
        <v>185.53878869570383</v>
      </c>
      <c r="AH28" s="3">
        <f t="shared" si="46"/>
        <v>183.6834008087468</v>
      </c>
      <c r="AI28" s="3">
        <f t="shared" si="46"/>
        <v>181.84656680065933</v>
      </c>
      <c r="AJ28" s="3">
        <f t="shared" si="46"/>
        <v>180.02810113265275</v>
      </c>
      <c r="AK28" s="3">
        <f t="shared" si="46"/>
        <v>178.22782012132623</v>
      </c>
      <c r="AL28" s="3">
        <f t="shared" si="46"/>
        <v>176.44554192011296</v>
      </c>
      <c r="AM28" s="3">
        <f t="shared" si="46"/>
        <v>174.68108650091182</v>
      </c>
      <c r="AN28" s="3">
        <f t="shared" si="46"/>
        <v>172.93427563590271</v>
      </c>
      <c r="AO28" s="3">
        <f t="shared" si="46"/>
        <v>171.20493287954369</v>
      </c>
      <c r="AP28" s="3">
        <f t="shared" si="46"/>
        <v>169.49288355074825</v>
      </c>
      <c r="AQ28" s="3">
        <f t="shared" si="46"/>
        <v>167.79795471524076</v>
      </c>
      <c r="AR28" s="3">
        <f t="shared" si="46"/>
        <v>166.11997516808836</v>
      </c>
      <c r="AS28" s="3">
        <f t="shared" si="46"/>
        <v>164.45877541640746</v>
      </c>
      <c r="AT28" s="3">
        <f t="shared" si="46"/>
        <v>162.8141876622434</v>
      </c>
      <c r="AU28" s="3">
        <f t="shared" si="46"/>
        <v>161.18604578562096</v>
      </c>
      <c r="AV28" s="3">
        <f t="shared" si="46"/>
        <v>159.57418532776475</v>
      </c>
      <c r="AW28" s="3">
        <f t="shared" si="46"/>
        <v>157.97844347448711</v>
      </c>
      <c r="AX28" s="3">
        <f t="shared" si="46"/>
        <v>156.39865903974223</v>
      </c>
      <c r="AY28" s="3">
        <f t="shared" si="46"/>
        <v>154.83467244934479</v>
      </c>
      <c r="AZ28" s="3">
        <f t="shared" si="46"/>
        <v>153.28632572485134</v>
      </c>
      <c r="BA28" s="3">
        <f t="shared" si="46"/>
        <v>151.75346246760282</v>
      </c>
      <c r="BB28" s="3">
        <f t="shared" si="46"/>
        <v>150.2359278429268</v>
      </c>
      <c r="BC28" s="3">
        <f t="shared" si="46"/>
        <v>148.73356856449752</v>
      </c>
      <c r="BD28" s="3">
        <f t="shared" si="46"/>
        <v>147.24623287885254</v>
      </c>
      <c r="BE28" s="3">
        <f t="shared" si="46"/>
        <v>145.773770550064</v>
      </c>
      <c r="BF28" s="3">
        <f t="shared" si="46"/>
        <v>144.31603284456335</v>
      </c>
      <c r="BG28" s="3">
        <f t="shared" si="46"/>
        <v>142.87287251611772</v>
      </c>
      <c r="BH28" s="3">
        <f t="shared" si="46"/>
        <v>141.44414379095656</v>
      </c>
      <c r="BI28" s="3">
        <f t="shared" si="46"/>
        <v>140.02970235304699</v>
      </c>
      <c r="BJ28" s="3">
        <f t="shared" si="46"/>
        <v>138.62940532951652</v>
      </c>
      <c r="BK28" s="3">
        <f t="shared" si="46"/>
        <v>137.24311127622136</v>
      </c>
      <c r="BL28" s="3">
        <f t="shared" si="46"/>
        <v>135.87068016345913</v>
      </c>
      <c r="BM28" s="3">
        <f t="shared" si="46"/>
        <v>134.51197336182454</v>
      </c>
      <c r="BN28" s="3">
        <f t="shared" si="46"/>
        <v>133.1668536282063</v>
      </c>
      <c r="BO28" s="3">
        <f t="shared" si="46"/>
        <v>131.83518509192425</v>
      </c>
      <c r="BP28" s="3">
        <f t="shared" si="46"/>
        <v>130.516833241005</v>
      </c>
      <c r="BQ28" s="3">
        <f t="shared" si="46"/>
        <v>129.21166490859494</v>
      </c>
      <c r="BR28" s="3">
        <f t="shared" si="46"/>
        <v>127.91954825950899</v>
      </c>
      <c r="BS28" s="3">
        <f t="shared" si="46"/>
        <v>126.6403527769139</v>
      </c>
      <c r="BT28" s="3">
        <f t="shared" si="46"/>
        <v>125.37394924914476</v>
      </c>
      <c r="BU28" s="3">
        <f t="shared" si="46"/>
        <v>124.12020975665331</v>
      </c>
      <c r="BV28" s="3">
        <f t="shared" si="46"/>
        <v>122.87900765908678</v>
      </c>
      <c r="BW28" s="3">
        <f t="shared" si="46"/>
        <v>121.65021758249591</v>
      </c>
      <c r="BX28" s="3">
        <f t="shared" si="46"/>
        <v>120.43371540667096</v>
      </c>
      <c r="BY28" s="3">
        <f t="shared" si="46"/>
        <v>119.22937825260425</v>
      </c>
      <c r="BZ28" s="3">
        <f t="shared" si="46"/>
        <v>118.0370844700782</v>
      </c>
      <c r="CA28" s="3">
        <f t="shared" si="46"/>
        <v>116.85671362537741</v>
      </c>
      <c r="CB28" s="3">
        <f t="shared" si="46"/>
        <v>115.68814648912364</v>
      </c>
      <c r="CC28" s="3">
        <f t="shared" si="46"/>
        <v>114.5312650242324</v>
      </c>
      <c r="CD28" s="3">
        <f t="shared" si="46"/>
        <v>113.38595237399007</v>
      </c>
      <c r="CE28" s="3">
        <f t="shared" si="46"/>
        <v>112.25209285025016</v>
      </c>
      <c r="CF28" s="3">
        <f t="shared" si="46"/>
        <v>111.12957192174767</v>
      </c>
      <c r="CG28" s="3">
        <f t="shared" si="46"/>
        <v>110.01827620253019</v>
      </c>
      <c r="CH28" s="3">
        <f t="shared" si="46"/>
        <v>108.91809344050489</v>
      </c>
      <c r="CI28" s="3">
        <f t="shared" si="46"/>
        <v>107.82891250609984</v>
      </c>
      <c r="CJ28" s="3">
        <f t="shared" si="46"/>
        <v>106.75062338103884</v>
      </c>
      <c r="CK28" s="3">
        <f t="shared" si="46"/>
        <v>105.68311714722844</v>
      </c>
      <c r="CL28" s="3">
        <f t="shared" si="46"/>
        <v>104.62628597575616</v>
      </c>
      <c r="CM28" s="3">
        <f t="shared" si="46"/>
        <v>103.5800231159986</v>
      </c>
      <c r="CN28" s="3">
        <f t="shared" si="46"/>
        <v>102.54422288483862</v>
      </c>
      <c r="CO28" s="3">
        <f t="shared" si="46"/>
        <v>101.51878065599023</v>
      </c>
      <c r="CP28" s="3">
        <f t="shared" ref="CP28:EC28" si="47">+CO28*(1+$AF$32)</f>
        <v>100.50359284943032</v>
      </c>
      <c r="CQ28" s="3">
        <f t="shared" si="47"/>
        <v>99.498556920936011</v>
      </c>
      <c r="CR28" s="3">
        <f t="shared" si="47"/>
        <v>98.503571351726649</v>
      </c>
      <c r="CS28" s="3">
        <f t="shared" si="47"/>
        <v>97.518535638209386</v>
      </c>
      <c r="CT28" s="3">
        <f t="shared" si="47"/>
        <v>96.543350281827287</v>
      </c>
      <c r="CU28" s="3">
        <f t="shared" si="47"/>
        <v>95.577916779009016</v>
      </c>
      <c r="CV28" s="3">
        <f t="shared" si="47"/>
        <v>94.622137611218918</v>
      </c>
      <c r="CW28" s="3">
        <f t="shared" si="47"/>
        <v>93.675916235106726</v>
      </c>
      <c r="CX28" s="3">
        <f t="shared" si="47"/>
        <v>92.73915707275566</v>
      </c>
      <c r="CY28" s="3">
        <f t="shared" si="47"/>
        <v>91.811765502028109</v>
      </c>
      <c r="CZ28" s="3">
        <f t="shared" si="47"/>
        <v>90.893647847007827</v>
      </c>
      <c r="DA28" s="3">
        <f t="shared" si="47"/>
        <v>89.984711368537745</v>
      </c>
      <c r="DB28" s="3">
        <f t="shared" si="47"/>
        <v>89.084864254852363</v>
      </c>
      <c r="DC28" s="3">
        <f t="shared" si="47"/>
        <v>88.194015612303843</v>
      </c>
      <c r="DD28" s="3">
        <f t="shared" si="47"/>
        <v>87.312075456180807</v>
      </c>
      <c r="DE28" s="3">
        <f t="shared" si="47"/>
        <v>86.438954701618997</v>
      </c>
      <c r="DF28" s="3">
        <f t="shared" si="47"/>
        <v>85.574565154602809</v>
      </c>
      <c r="DG28" s="3">
        <f t="shared" si="47"/>
        <v>84.718819503056778</v>
      </c>
      <c r="DH28" s="3">
        <f t="shared" si="47"/>
        <v>83.87163130802621</v>
      </c>
      <c r="DI28" s="3">
        <f t="shared" si="47"/>
        <v>83.032914994945941</v>
      </c>
      <c r="DJ28" s="3">
        <f t="shared" si="47"/>
        <v>82.202585844996477</v>
      </c>
      <c r="DK28" s="3">
        <f t="shared" si="47"/>
        <v>81.380559986546515</v>
      </c>
      <c r="DL28" s="3">
        <f t="shared" si="47"/>
        <v>80.566754386681055</v>
      </c>
      <c r="DM28" s="3">
        <f t="shared" si="47"/>
        <v>79.761086842814237</v>
      </c>
      <c r="DN28" s="3">
        <f t="shared" si="47"/>
        <v>78.9634759743861</v>
      </c>
      <c r="DO28" s="3">
        <f t="shared" si="47"/>
        <v>78.173841214642238</v>
      </c>
      <c r="DP28" s="3">
        <f t="shared" si="47"/>
        <v>77.392102802495813</v>
      </c>
      <c r="DQ28" s="3">
        <f t="shared" si="47"/>
        <v>76.618181774470855</v>
      </c>
      <c r="DR28" s="3">
        <f t="shared" si="47"/>
        <v>75.851999956726146</v>
      </c>
      <c r="DS28" s="3">
        <f t="shared" si="47"/>
        <v>75.093479957158891</v>
      </c>
      <c r="DT28" s="3">
        <f t="shared" si="47"/>
        <v>74.342545157587296</v>
      </c>
      <c r="DU28" s="3">
        <f t="shared" si="47"/>
        <v>73.599119706011422</v>
      </c>
      <c r="DV28" s="3">
        <f t="shared" si="47"/>
        <v>72.863128508951306</v>
      </c>
      <c r="DW28" s="3">
        <f t="shared" si="47"/>
        <v>72.134497223861786</v>
      </c>
      <c r="DX28" s="3">
        <f t="shared" si="47"/>
        <v>71.413152251623174</v>
      </c>
      <c r="DY28" s="3">
        <f t="shared" si="47"/>
        <v>70.699020729106948</v>
      </c>
      <c r="DZ28" s="3">
        <f t="shared" si="47"/>
        <v>69.992030521815877</v>
      </c>
      <c r="EA28" s="3">
        <f t="shared" si="47"/>
        <v>69.29211021659772</v>
      </c>
      <c r="EB28" s="3">
        <f t="shared" si="47"/>
        <v>68.599189114431738</v>
      </c>
      <c r="EC28" s="3">
        <f t="shared" si="47"/>
        <v>67.913197223287426</v>
      </c>
    </row>
    <row r="29" spans="2:133" x14ac:dyDescent="0.2">
      <c r="B29" t="s">
        <v>34</v>
      </c>
      <c r="D29" s="4">
        <f t="shared" ref="D29:K29" si="48">D28/D30</f>
        <v>-1.7834673993172828E-2</v>
      </c>
      <c r="E29" s="4">
        <f t="shared" si="48"/>
        <v>-1.0209267563527562E-2</v>
      </c>
      <c r="F29" s="4">
        <f t="shared" si="48"/>
        <v>3.3983140045867097E-2</v>
      </c>
      <c r="G29" s="4">
        <f t="shared" si="48"/>
        <v>-3.0790293059247572E-2</v>
      </c>
      <c r="H29" s="4">
        <f t="shared" si="48"/>
        <v>-0.12315110877635407</v>
      </c>
      <c r="I29" s="4">
        <f t="shared" si="48"/>
        <v>-0.19236494679745811</v>
      </c>
      <c r="J29" s="4">
        <f t="shared" si="48"/>
        <v>-4.927598733862603E-2</v>
      </c>
      <c r="K29" s="4">
        <f t="shared" si="48"/>
        <v>-5.6990035195134826E-2</v>
      </c>
      <c r="L29" s="4">
        <f t="shared" ref="L29" si="49">L28/L30</f>
        <v>-7.6186059740781511E-3</v>
      </c>
      <c r="M29" s="4">
        <f t="shared" ref="M29" si="50">M28/M30</f>
        <v>-1.9238388694313654E-2</v>
      </c>
      <c r="N29" s="4">
        <f t="shared" ref="N29" si="51">N28/N30</f>
        <v>7.116961317955682E-2</v>
      </c>
      <c r="S29" s="4">
        <f t="shared" ref="S29:Y29" si="52">S28/S30</f>
        <v>-0.83447845614073757</v>
      </c>
      <c r="T29" s="4">
        <f t="shared" si="52"/>
        <v>-7.7103845810763572E-2</v>
      </c>
      <c r="U29" s="4">
        <f t="shared" si="52"/>
        <v>-0.13398954677591854</v>
      </c>
      <c r="V29" s="4">
        <f t="shared" si="52"/>
        <v>-2.5493752519145471E-2</v>
      </c>
      <c r="W29" s="4">
        <f t="shared" si="52"/>
        <v>-0.10991438319289525</v>
      </c>
      <c r="X29" s="4">
        <f t="shared" si="52"/>
        <v>-3.2127327537833601E-2</v>
      </c>
      <c r="Y29" s="4">
        <f t="shared" si="52"/>
        <v>0.12027707899257128</v>
      </c>
      <c r="Z29" s="4">
        <f t="shared" ref="Z29:AB29" si="53">Z28/Z30</f>
        <v>0.26000374613960331</v>
      </c>
      <c r="AA29" s="4">
        <f t="shared" si="53"/>
        <v>0.29784630656635508</v>
      </c>
      <c r="AB29" s="4">
        <f t="shared" si="53"/>
        <v>0.33479249701100894</v>
      </c>
    </row>
    <row r="30" spans="2:133" s="3" customFormat="1" x14ac:dyDescent="0.2">
      <c r="B30" s="3" t="s">
        <v>1</v>
      </c>
      <c r="C30" s="5"/>
      <c r="D30" s="5">
        <v>675.53800000000001</v>
      </c>
      <c r="E30" s="5">
        <v>669</v>
      </c>
      <c r="F30" s="5">
        <v>681.54384700000003</v>
      </c>
      <c r="G30" s="5">
        <v>676.38199999999995</v>
      </c>
      <c r="H30" s="5">
        <v>671.63016900000002</v>
      </c>
      <c r="I30" s="5">
        <v>644.89400000000001</v>
      </c>
      <c r="J30" s="5">
        <v>607.51700000000005</v>
      </c>
      <c r="K30" s="5">
        <v>582.75099999999998</v>
      </c>
      <c r="L30" s="5">
        <f>+K30</f>
        <v>582.75099999999998</v>
      </c>
      <c r="M30" s="5">
        <f t="shared" ref="M30:N30" si="54">+L30</f>
        <v>582.75099999999998</v>
      </c>
      <c r="N30" s="5">
        <f t="shared" si="54"/>
        <v>582.75099999999998</v>
      </c>
      <c r="S30" s="3">
        <v>362.26100000000002</v>
      </c>
      <c r="T30" s="3">
        <v>650.21400000000006</v>
      </c>
      <c r="U30" s="3">
        <v>663.91</v>
      </c>
      <c r="V30" s="3">
        <v>674.83199999999999</v>
      </c>
      <c r="W30" s="3">
        <v>650.10599999999999</v>
      </c>
      <c r="X30" s="3">
        <f>AVERAGE(K30:N30)</f>
        <v>582.75099999999998</v>
      </c>
      <c r="Y30" s="3">
        <f>+X30</f>
        <v>582.75099999999998</v>
      </c>
      <c r="Z30" s="3">
        <f t="shared" ref="Z30:AB30" si="55">+Y30</f>
        <v>582.75099999999998</v>
      </c>
      <c r="AA30" s="3">
        <f t="shared" si="55"/>
        <v>582.75099999999998</v>
      </c>
      <c r="AB30" s="3">
        <f t="shared" si="55"/>
        <v>582.75099999999998</v>
      </c>
    </row>
    <row r="32" spans="2:133" x14ac:dyDescent="0.2">
      <c r="B32" s="3" t="s">
        <v>35</v>
      </c>
      <c r="H32" s="8">
        <f>H16/D16-1</f>
        <v>3.0974112377497587E-2</v>
      </c>
      <c r="I32" s="8">
        <f>I16/E16-1</f>
        <v>-9.4362208075671195E-4</v>
      </c>
      <c r="J32" s="8">
        <f>J16/F16-1</f>
        <v>3.8429488195573347E-2</v>
      </c>
      <c r="K32" s="8">
        <f>K16/G16-1</f>
        <v>-2.450170319155176E-2</v>
      </c>
      <c r="L32" s="8">
        <f t="shared" ref="L32:N32" si="56">L16/H16-1</f>
        <v>-5.0000000000000044E-2</v>
      </c>
      <c r="M32" s="8">
        <f t="shared" si="56"/>
        <v>-5.0000000000000044E-2</v>
      </c>
      <c r="N32" s="8">
        <f t="shared" si="56"/>
        <v>-5.0000000000000044E-2</v>
      </c>
      <c r="Q32" s="11">
        <f t="shared" ref="Q32" si="57">Q16/P16-1</f>
        <v>2906.9999999999995</v>
      </c>
      <c r="R32" s="11">
        <f t="shared" ref="R32" si="58">R16/Q16-1</f>
        <v>20.522764786795047</v>
      </c>
      <c r="S32" s="11">
        <f t="shared" ref="S32" si="59">S16/R16-1</f>
        <v>4.1461138041995147</v>
      </c>
      <c r="T32" s="11">
        <f t="shared" ref="T32:V32" si="60">T16/S16-1</f>
        <v>0.44959544966251253</v>
      </c>
      <c r="U32" s="11">
        <f t="shared" si="60"/>
        <v>0.10245700098351973</v>
      </c>
      <c r="V32" s="11">
        <f t="shared" si="60"/>
        <v>0.18202439720941621</v>
      </c>
      <c r="W32" s="11">
        <f>W16/V16-1</f>
        <v>2.5440457207022815E-2</v>
      </c>
      <c r="X32" s="11">
        <f>X16/W16-1</f>
        <v>-4.3866740866211229E-2</v>
      </c>
      <c r="Y32" s="11">
        <f t="shared" ref="Y32:AB32" si="61">Y16/X16-1</f>
        <v>4.0000000000000036E-2</v>
      </c>
      <c r="Z32" s="11">
        <f t="shared" si="61"/>
        <v>4.0000000000000036E-2</v>
      </c>
      <c r="AA32" s="11">
        <f t="shared" si="61"/>
        <v>0</v>
      </c>
      <c r="AB32" s="11">
        <f t="shared" si="61"/>
        <v>0</v>
      </c>
      <c r="AE32" t="s">
        <v>130</v>
      </c>
      <c r="AF32" s="11">
        <v>-0.01</v>
      </c>
    </row>
    <row r="33" spans="2:32" x14ac:dyDescent="0.2">
      <c r="AE33" t="s">
        <v>131</v>
      </c>
      <c r="AF33" s="11">
        <v>0.09</v>
      </c>
    </row>
    <row r="34" spans="2:32" x14ac:dyDescent="0.2">
      <c r="AE34" t="s">
        <v>132</v>
      </c>
      <c r="AF34" s="3">
        <f>NPV(AF33,Y28:EC28)</f>
        <v>1832.3405721895822</v>
      </c>
    </row>
    <row r="35" spans="2:32" x14ac:dyDescent="0.2">
      <c r="B35" t="s">
        <v>37</v>
      </c>
      <c r="D35" s="8">
        <f t="shared" ref="D35:K36" si="62">(D14-D17)/D14</f>
        <v>0.86911013036101625</v>
      </c>
      <c r="E35" s="8">
        <f t="shared" si="62"/>
        <v>0.86008933516669739</v>
      </c>
      <c r="F35" s="8">
        <f t="shared" si="62"/>
        <v>0.86484172415480198</v>
      </c>
      <c r="G35" s="8">
        <f t="shared" si="62"/>
        <v>0.8564454724939673</v>
      </c>
      <c r="H35" s="8">
        <f t="shared" si="62"/>
        <v>0.86050885150478507</v>
      </c>
      <c r="I35" s="8">
        <f t="shared" si="62"/>
        <v>0.85887479850201953</v>
      </c>
      <c r="J35" s="8">
        <f t="shared" si="62"/>
        <v>0.87360250246191284</v>
      </c>
      <c r="K35" s="8">
        <f t="shared" si="62"/>
        <v>0.86017491212548713</v>
      </c>
      <c r="L35" s="8"/>
      <c r="M35" s="8"/>
      <c r="N35" s="8"/>
      <c r="S35" s="8">
        <f t="shared" ref="S35:W35" si="63">(S14-S17)/S14</f>
        <v>0.84663538843636532</v>
      </c>
      <c r="T35" s="8">
        <f t="shared" si="63"/>
        <v>0.84160535907037659</v>
      </c>
      <c r="U35" s="8">
        <f t="shared" si="63"/>
        <v>0.85975194814142419</v>
      </c>
      <c r="V35" s="8">
        <f t="shared" si="63"/>
        <v>0.86471917927316988</v>
      </c>
      <c r="W35" s="8">
        <f t="shared" si="63"/>
        <v>0.86234793626091322</v>
      </c>
      <c r="X35" s="8"/>
      <c r="AE35" t="s">
        <v>3</v>
      </c>
      <c r="AF35" s="3">
        <f>Main!K5</f>
        <v>866.06499999999994</v>
      </c>
    </row>
    <row r="36" spans="2:32" x14ac:dyDescent="0.2">
      <c r="B36" t="s">
        <v>38</v>
      </c>
      <c r="D36" s="8">
        <f t="shared" si="62"/>
        <v>0.12412607249779613</v>
      </c>
      <c r="E36" s="8">
        <f t="shared" si="62"/>
        <v>0.12280357234336846</v>
      </c>
      <c r="F36" s="8">
        <f t="shared" si="62"/>
        <v>0.11629919701315286</v>
      </c>
      <c r="G36" s="8">
        <f t="shared" si="62"/>
        <v>9.9893653823977926E-2</v>
      </c>
      <c r="H36" s="8">
        <f t="shared" si="62"/>
        <v>0.10993864907218975</v>
      </c>
      <c r="I36" s="8">
        <f t="shared" si="62"/>
        <v>0.12563227977040403</v>
      </c>
      <c r="J36" s="8">
        <f t="shared" si="62"/>
        <v>0.1226067038520046</v>
      </c>
      <c r="K36" s="8">
        <f t="shared" si="62"/>
        <v>0.12969454181271906</v>
      </c>
      <c r="L36" s="8"/>
      <c r="M36" s="8"/>
      <c r="N36" s="8"/>
      <c r="S36" s="8">
        <f t="shared" ref="S36:W36" si="64">(S15-S18)/S15</f>
        <v>0.275424949582253</v>
      </c>
      <c r="T36" s="8">
        <f t="shared" si="64"/>
        <v>7.3760343754604191E-2</v>
      </c>
      <c r="U36" s="8">
        <f t="shared" si="64"/>
        <v>8.5898709577029872E-2</v>
      </c>
      <c r="V36" s="8">
        <f t="shared" si="64"/>
        <v>0.10859431371632949</v>
      </c>
      <c r="W36" s="8">
        <f t="shared" si="64"/>
        <v>0.11532109928946072</v>
      </c>
      <c r="X36" s="8"/>
      <c r="AE36" t="s">
        <v>134</v>
      </c>
      <c r="AF36" s="3">
        <f>AF35+AF34</f>
        <v>2698.405572189582</v>
      </c>
    </row>
    <row r="37" spans="2:32" x14ac:dyDescent="0.2">
      <c r="B37" s="3" t="s">
        <v>36</v>
      </c>
      <c r="D37" s="8">
        <f t="shared" ref="D37:K37" si="65">D20/D16</f>
        <v>0.5115950467110949</v>
      </c>
      <c r="E37" s="8">
        <f t="shared" si="65"/>
        <v>0.49740083917963684</v>
      </c>
      <c r="F37" s="8">
        <f t="shared" si="65"/>
        <v>0.42809897331153451</v>
      </c>
      <c r="G37" s="8">
        <f t="shared" si="65"/>
        <v>0.4629882349178257</v>
      </c>
      <c r="H37" s="8">
        <f t="shared" si="65"/>
        <v>0.45640476980477923</v>
      </c>
      <c r="I37" s="8">
        <f t="shared" si="65"/>
        <v>0.4609225120691709</v>
      </c>
      <c r="J37" s="8">
        <f t="shared" si="65"/>
        <v>0.40531199232421461</v>
      </c>
      <c r="K37" s="8">
        <f t="shared" si="65"/>
        <v>0.46358120745220777</v>
      </c>
      <c r="L37" s="8">
        <f t="shared" ref="L37:N37" si="66">L20/L16</f>
        <v>0.46</v>
      </c>
      <c r="M37" s="8">
        <f t="shared" si="66"/>
        <v>0.46</v>
      </c>
      <c r="N37" s="8">
        <f t="shared" si="66"/>
        <v>0.46999999999999992</v>
      </c>
      <c r="S37" s="8">
        <f t="shared" ref="S37:W37" si="67">S20/S16</f>
        <v>0.83924852368622049</v>
      </c>
      <c r="T37" s="8">
        <f t="shared" si="67"/>
        <v>0.69203314496811275</v>
      </c>
      <c r="U37" s="8">
        <f t="shared" si="67"/>
        <v>0.58342435174877749</v>
      </c>
      <c r="V37" s="8">
        <f t="shared" si="67"/>
        <v>0.48167316048693626</v>
      </c>
      <c r="W37" s="8">
        <f t="shared" si="67"/>
        <v>0.44399996666149483</v>
      </c>
      <c r="X37" s="8">
        <f t="shared" ref="X37:AB37" si="68">X20/X16</f>
        <v>0.46</v>
      </c>
      <c r="Y37" s="8">
        <f t="shared" si="68"/>
        <v>0.47</v>
      </c>
      <c r="Z37" s="8">
        <f t="shared" si="68"/>
        <v>0.48</v>
      </c>
      <c r="AA37" s="8">
        <f t="shared" si="68"/>
        <v>0.48</v>
      </c>
      <c r="AB37" s="8">
        <f t="shared" si="68"/>
        <v>0.48</v>
      </c>
      <c r="AE37" t="s">
        <v>133</v>
      </c>
      <c r="AF37" s="23">
        <f>AF36/Main!K3</f>
        <v>4.6522950611527651</v>
      </c>
    </row>
    <row r="38" spans="2:32" x14ac:dyDescent="0.2">
      <c r="AE38" t="s">
        <v>135</v>
      </c>
      <c r="AF38">
        <v>3.62</v>
      </c>
    </row>
    <row r="39" spans="2:32" x14ac:dyDescent="0.2">
      <c r="AE39" t="s">
        <v>136</v>
      </c>
      <c r="AF39" s="11">
        <f>AF37/AF38-1</f>
        <v>0.28516438153391288</v>
      </c>
    </row>
    <row r="40" spans="2:32" x14ac:dyDescent="0.2">
      <c r="B40" t="s">
        <v>39</v>
      </c>
      <c r="G40" s="5">
        <f t="shared" ref="G40:I40" si="69">+G41</f>
        <v>998.47400000000005</v>
      </c>
      <c r="H40" s="5">
        <f t="shared" si="69"/>
        <v>0</v>
      </c>
      <c r="I40" s="5">
        <f t="shared" si="69"/>
        <v>0</v>
      </c>
      <c r="J40" s="5">
        <f>+J41</f>
        <v>1031.598</v>
      </c>
      <c r="K40" s="5">
        <f>+K41</f>
        <v>866.06499999999994</v>
      </c>
    </row>
    <row r="41" spans="2:32" s="3" customFormat="1" x14ac:dyDescent="0.2">
      <c r="B41" s="3" t="s">
        <v>3</v>
      </c>
      <c r="C41" s="5"/>
      <c r="D41" s="5"/>
      <c r="E41" s="5"/>
      <c r="F41" s="5"/>
      <c r="G41" s="5">
        <f>975.504+22.97</f>
        <v>998.47400000000005</v>
      </c>
      <c r="H41" s="5"/>
      <c r="I41" s="5"/>
      <c r="J41" s="5">
        <f>853.362+178.236</f>
        <v>1031.598</v>
      </c>
      <c r="K41" s="5">
        <f>688.512+177.553</f>
        <v>866.06499999999994</v>
      </c>
      <c r="L41" s="5"/>
      <c r="M41" s="5"/>
      <c r="N41" s="5"/>
    </row>
    <row r="42" spans="2:32" s="3" customFormat="1" x14ac:dyDescent="0.2">
      <c r="B42" s="3" t="s">
        <v>40</v>
      </c>
      <c r="C42" s="5"/>
      <c r="D42" s="5"/>
      <c r="E42" s="5"/>
      <c r="F42" s="5"/>
      <c r="G42" s="5">
        <v>92.14</v>
      </c>
      <c r="H42" s="5"/>
      <c r="I42" s="5"/>
      <c r="J42" s="5">
        <v>68.174999999999997</v>
      </c>
      <c r="K42" s="5">
        <v>73.471000000000004</v>
      </c>
      <c r="L42" s="5"/>
      <c r="M42" s="5"/>
      <c r="N42" s="5"/>
    </row>
    <row r="43" spans="2:32" s="3" customFormat="1" x14ac:dyDescent="0.2">
      <c r="B43" s="3" t="s">
        <v>41</v>
      </c>
      <c r="C43" s="5"/>
      <c r="D43" s="5"/>
      <c r="E43" s="5"/>
      <c r="F43" s="5"/>
      <c r="G43" s="5">
        <v>184.09200000000001</v>
      </c>
      <c r="H43" s="5"/>
      <c r="I43" s="5"/>
      <c r="J43" s="5">
        <v>153.70500000000001</v>
      </c>
      <c r="K43" s="5">
        <v>134.83099999999999</v>
      </c>
      <c r="L43" s="5"/>
      <c r="M43" s="5"/>
      <c r="N43" s="5"/>
    </row>
    <row r="44" spans="2:32" s="3" customFormat="1" x14ac:dyDescent="0.2">
      <c r="B44" s="3" t="s">
        <v>42</v>
      </c>
      <c r="C44" s="5"/>
      <c r="D44" s="5"/>
      <c r="E44" s="5"/>
      <c r="F44" s="5"/>
      <c r="G44" s="5">
        <v>169.96600000000001</v>
      </c>
      <c r="H44" s="5"/>
      <c r="I44" s="5"/>
      <c r="J44" s="5">
        <v>198.89699999999999</v>
      </c>
      <c r="K44" s="5">
        <v>193.036</v>
      </c>
      <c r="L44" s="5"/>
      <c r="M44" s="5"/>
      <c r="N44" s="5"/>
    </row>
    <row r="45" spans="2:32" s="3" customFormat="1" x14ac:dyDescent="0.2">
      <c r="B45" s="3" t="s">
        <v>43</v>
      </c>
      <c r="C45" s="5"/>
      <c r="D45" s="5"/>
      <c r="E45" s="5"/>
      <c r="F45" s="5"/>
      <c r="G45" s="5">
        <f>224.685+24.854</f>
        <v>249.53899999999999</v>
      </c>
      <c r="H45" s="5"/>
      <c r="I45" s="5"/>
      <c r="J45" s="5">
        <f>287.332+36.483</f>
        <v>323.815</v>
      </c>
      <c r="K45" s="5">
        <f>291.747+32.769</f>
        <v>324.51600000000002</v>
      </c>
      <c r="L45" s="5"/>
      <c r="M45" s="5"/>
      <c r="N45" s="5"/>
    </row>
    <row r="46" spans="2:32" s="3" customFormat="1" x14ac:dyDescent="0.2">
      <c r="B46" s="3" t="s">
        <v>44</v>
      </c>
      <c r="C46" s="5"/>
      <c r="D46" s="5"/>
      <c r="E46" s="5"/>
      <c r="F46" s="5"/>
      <c r="G46" s="5">
        <f>44.379+39.453</f>
        <v>83.831999999999994</v>
      </c>
      <c r="H46" s="5"/>
      <c r="I46" s="5"/>
      <c r="J46" s="5">
        <v>3.4540000000000002</v>
      </c>
      <c r="K46" s="5">
        <v>4.2539999999999996</v>
      </c>
      <c r="L46" s="5"/>
      <c r="M46" s="5"/>
      <c r="N46" s="5"/>
    </row>
    <row r="47" spans="2:32" s="3" customFormat="1" x14ac:dyDescent="0.2">
      <c r="B47" s="3" t="s">
        <v>45</v>
      </c>
      <c r="C47" s="5"/>
      <c r="D47" s="5"/>
      <c r="E47" s="5"/>
      <c r="F47" s="5"/>
      <c r="G47" s="5">
        <v>13.877000000000001</v>
      </c>
      <c r="H47" s="5"/>
      <c r="I47" s="5"/>
      <c r="J47" s="5">
        <v>16.62</v>
      </c>
      <c r="K47" s="5">
        <v>22.507000000000001</v>
      </c>
      <c r="L47" s="5"/>
      <c r="M47" s="5"/>
      <c r="N47" s="5"/>
    </row>
    <row r="48" spans="2:32" s="3" customFormat="1" x14ac:dyDescent="0.2">
      <c r="B48" s="3" t="s">
        <v>77</v>
      </c>
      <c r="C48" s="5"/>
      <c r="D48" s="5"/>
      <c r="E48" s="5"/>
      <c r="F48" s="5"/>
      <c r="G48" s="5">
        <v>362.73099999999999</v>
      </c>
      <c r="H48" s="5"/>
      <c r="I48" s="5"/>
      <c r="J48" s="5">
        <v>0</v>
      </c>
      <c r="K48" s="5">
        <v>0</v>
      </c>
      <c r="L48" s="5"/>
      <c r="M48" s="5"/>
      <c r="N48" s="5"/>
    </row>
    <row r="49" spans="2:23" s="3" customFormat="1" x14ac:dyDescent="0.2">
      <c r="B49" s="3" t="s">
        <v>46</v>
      </c>
      <c r="C49" s="5"/>
      <c r="D49" s="5"/>
      <c r="E49" s="5"/>
      <c r="F49" s="5"/>
      <c r="G49" s="5">
        <f>SUM(G41:G48)</f>
        <v>2154.6509999999998</v>
      </c>
      <c r="H49" s="5"/>
      <c r="I49" s="5"/>
      <c r="J49" s="5">
        <f>SUM(J41:J48)</f>
        <v>1796.2639999999997</v>
      </c>
      <c r="K49" s="5">
        <f>SUM(K41:K48)</f>
        <v>1618.68</v>
      </c>
      <c r="L49" s="5"/>
      <c r="M49" s="5"/>
      <c r="N49" s="5"/>
    </row>
    <row r="50" spans="2:23" s="3" customFormat="1" x14ac:dyDescent="0.2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</row>
    <row r="51" spans="2:23" s="3" customFormat="1" x14ac:dyDescent="0.2">
      <c r="B51" s="3" t="s">
        <v>47</v>
      </c>
      <c r="C51" s="5"/>
      <c r="D51" s="5"/>
      <c r="E51" s="5"/>
      <c r="F51" s="5"/>
      <c r="G51" s="5">
        <v>17.539000000000001</v>
      </c>
      <c r="H51" s="5"/>
      <c r="I51" s="5"/>
      <c r="J51" s="5">
        <v>24.59</v>
      </c>
      <c r="K51" s="5">
        <v>21.97</v>
      </c>
      <c r="L51" s="5"/>
      <c r="M51" s="5"/>
      <c r="N51" s="5"/>
    </row>
    <row r="52" spans="2:23" s="3" customFormat="1" x14ac:dyDescent="0.2">
      <c r="B52" s="3" t="s">
        <v>48</v>
      </c>
      <c r="C52" s="5"/>
      <c r="D52" s="5"/>
      <c r="E52" s="5"/>
      <c r="F52" s="5"/>
      <c r="G52" s="5">
        <v>723.59299999999996</v>
      </c>
      <c r="H52" s="5"/>
      <c r="I52" s="5"/>
      <c r="J52" s="5">
        <v>776.21100000000001</v>
      </c>
      <c r="K52" s="5">
        <v>674.15300000000002</v>
      </c>
      <c r="L52" s="5"/>
      <c r="M52" s="5"/>
      <c r="N52" s="5"/>
    </row>
    <row r="53" spans="2:23" s="3" customFormat="1" x14ac:dyDescent="0.2">
      <c r="B53" s="3" t="s">
        <v>49</v>
      </c>
      <c r="C53" s="5"/>
      <c r="D53" s="5"/>
      <c r="E53" s="5"/>
      <c r="F53" s="5"/>
      <c r="G53" s="5">
        <v>194.31100000000001</v>
      </c>
      <c r="H53" s="5"/>
      <c r="I53" s="5"/>
      <c r="J53" s="5">
        <v>402.72399999999999</v>
      </c>
      <c r="K53" s="5">
        <v>406.57799999999997</v>
      </c>
      <c r="L53" s="5"/>
      <c r="M53" s="5"/>
      <c r="N53" s="5"/>
    </row>
    <row r="54" spans="2:23" s="3" customFormat="1" x14ac:dyDescent="0.2">
      <c r="B54" s="3" t="s">
        <v>44</v>
      </c>
      <c r="C54" s="5"/>
      <c r="D54" s="5"/>
      <c r="E54" s="5"/>
      <c r="F54" s="5"/>
      <c r="G54" s="5">
        <f>29.077+0.719</f>
        <v>29.796000000000003</v>
      </c>
      <c r="H54" s="5"/>
      <c r="I54" s="5"/>
      <c r="J54" s="5">
        <v>8.6120000000000001</v>
      </c>
      <c r="K54" s="5">
        <v>6.9370000000000003</v>
      </c>
      <c r="L54" s="5"/>
      <c r="M54" s="5"/>
      <c r="N54" s="5"/>
    </row>
    <row r="55" spans="2:23" s="3" customFormat="1" x14ac:dyDescent="0.2">
      <c r="B55" s="3" t="s">
        <v>50</v>
      </c>
      <c r="C55" s="5"/>
      <c r="D55" s="5"/>
      <c r="E55" s="5"/>
      <c r="F55" s="5"/>
      <c r="G55" s="5">
        <f>125.243+122.781</f>
        <v>248.024</v>
      </c>
      <c r="H55" s="5"/>
      <c r="I55" s="5"/>
      <c r="J55" s="5">
        <v>113.54</v>
      </c>
      <c r="K55" s="5">
        <v>123.371</v>
      </c>
      <c r="L55" s="5"/>
      <c r="M55" s="5"/>
      <c r="N55" s="5"/>
    </row>
    <row r="56" spans="2:23" s="3" customFormat="1" x14ac:dyDescent="0.2">
      <c r="B56" s="3" t="s">
        <v>77</v>
      </c>
      <c r="C56" s="5"/>
      <c r="D56" s="5"/>
      <c r="E56" s="5"/>
      <c r="F56" s="5"/>
      <c r="G56" s="5">
        <v>172.375</v>
      </c>
      <c r="H56" s="5"/>
      <c r="I56" s="5"/>
      <c r="J56" s="5">
        <v>0</v>
      </c>
      <c r="K56" s="5">
        <v>0</v>
      </c>
      <c r="L56" s="5"/>
      <c r="M56" s="5"/>
      <c r="N56" s="5"/>
    </row>
    <row r="57" spans="2:23" s="3" customFormat="1" x14ac:dyDescent="0.2">
      <c r="B57" s="3" t="s">
        <v>51</v>
      </c>
      <c r="C57" s="5"/>
      <c r="D57" s="5"/>
      <c r="E57" s="5"/>
      <c r="F57" s="5"/>
      <c r="G57" s="5">
        <v>769.01300000000003</v>
      </c>
      <c r="H57" s="5"/>
      <c r="I57" s="5"/>
      <c r="J57" s="5">
        <v>470.58699999999999</v>
      </c>
      <c r="K57" s="5">
        <v>385.67099999999999</v>
      </c>
      <c r="L57" s="5"/>
      <c r="M57" s="5"/>
      <c r="N57" s="5"/>
    </row>
    <row r="58" spans="2:23" s="3" customFormat="1" x14ac:dyDescent="0.2">
      <c r="B58" s="3" t="s">
        <v>52</v>
      </c>
      <c r="C58" s="5"/>
      <c r="D58" s="5"/>
      <c r="E58" s="5"/>
      <c r="F58" s="5"/>
      <c r="G58" s="5">
        <f>SUM(G51:G57)</f>
        <v>2154.6509999999998</v>
      </c>
      <c r="H58" s="5"/>
      <c r="I58" s="5"/>
      <c r="J58" s="5">
        <f>SUM(J51:J57)</f>
        <v>1796.2640000000001</v>
      </c>
      <c r="K58" s="5">
        <f>SUM(K51:K57)</f>
        <v>1618.68</v>
      </c>
      <c r="L58" s="5"/>
      <c r="M58" s="5"/>
      <c r="N58" s="5"/>
    </row>
    <row r="60" spans="2:23" s="3" customFormat="1" x14ac:dyDescent="0.2">
      <c r="B60" s="3" t="s">
        <v>53</v>
      </c>
      <c r="C60" s="5"/>
      <c r="D60" s="5"/>
      <c r="E60" s="5"/>
      <c r="F60" s="5"/>
      <c r="G60" s="5">
        <f>G28</f>
        <v>-20.82599999999999</v>
      </c>
      <c r="H60" s="5">
        <f t="shared" ref="H60:I60" si="70">H28</f>
        <v>-82.712000000000074</v>
      </c>
      <c r="I60" s="5">
        <f t="shared" si="70"/>
        <v>-124.05499999999995</v>
      </c>
      <c r="J60" s="5">
        <f>J28</f>
        <v>-29.936000000000075</v>
      </c>
      <c r="K60" s="5">
        <f>K28</f>
        <v>-33.211000000000013</v>
      </c>
      <c r="L60" s="5"/>
      <c r="M60" s="5"/>
      <c r="N60" s="5"/>
      <c r="S60" s="5">
        <f>S28</f>
        <v>-302.29899999999975</v>
      </c>
      <c r="T60" s="5">
        <f t="shared" ref="T60:U60" si="71">T28</f>
        <v>-50.13399999999983</v>
      </c>
      <c r="U60" s="5">
        <f t="shared" si="71"/>
        <v>-88.957000000000065</v>
      </c>
      <c r="V60" s="5">
        <f>V28</f>
        <v>-17.203999999999976</v>
      </c>
      <c r="W60" s="5">
        <f>W28</f>
        <v>-71.456000000000358</v>
      </c>
    </row>
    <row r="61" spans="2:23" s="3" customFormat="1" x14ac:dyDescent="0.2">
      <c r="B61" s="3" t="s">
        <v>54</v>
      </c>
      <c r="C61" s="5"/>
      <c r="D61" s="5"/>
      <c r="E61" s="5"/>
      <c r="F61" s="5"/>
      <c r="G61" s="5">
        <v>-16.739000000000001</v>
      </c>
      <c r="H61" s="5">
        <f>-32.006-G61</f>
        <v>-15.266999999999999</v>
      </c>
      <c r="I61" s="5">
        <f>-56.619-H61-G61</f>
        <v>-24.613000000000003</v>
      </c>
      <c r="J61" s="5">
        <v>-32.552</v>
      </c>
      <c r="K61" s="5">
        <v>-45.595999999999997</v>
      </c>
      <c r="L61" s="5"/>
      <c r="M61" s="5"/>
      <c r="N61" s="5"/>
      <c r="U61" s="3">
        <v>-88.945999999999998</v>
      </c>
      <c r="V61" s="3">
        <v>-18.472999999999999</v>
      </c>
      <c r="W61" s="9">
        <f t="shared" ref="W61:W71" si="72">SUM(G61:J61)</f>
        <v>-89.170999999999992</v>
      </c>
    </row>
    <row r="62" spans="2:23" s="3" customFormat="1" x14ac:dyDescent="0.2">
      <c r="B62" s="3" t="s">
        <v>62</v>
      </c>
      <c r="C62" s="5"/>
      <c r="D62" s="5"/>
      <c r="E62" s="5"/>
      <c r="F62" s="5"/>
      <c r="G62" s="5">
        <v>26.265999999999998</v>
      </c>
      <c r="H62" s="5">
        <f>53.766-G62</f>
        <v>27.5</v>
      </c>
      <c r="I62" s="5">
        <f>84.241-H62-G62</f>
        <v>30.475000000000001</v>
      </c>
      <c r="J62" s="5">
        <v>28.806999999999999</v>
      </c>
      <c r="K62" s="5">
        <v>30.143000000000001</v>
      </c>
      <c r="L62" s="5"/>
      <c r="M62" s="5"/>
      <c r="N62" s="5"/>
      <c r="V62" s="3">
        <v>94.144999999999996</v>
      </c>
      <c r="W62" s="9">
        <f t="shared" si="72"/>
        <v>113.048</v>
      </c>
    </row>
    <row r="63" spans="2:23" s="3" customFormat="1" x14ac:dyDescent="0.2">
      <c r="B63" s="3" t="s">
        <v>61</v>
      </c>
      <c r="C63" s="5"/>
      <c r="D63" s="5"/>
      <c r="E63" s="5"/>
      <c r="F63" s="5"/>
      <c r="G63" s="5">
        <v>5.9340000000000002</v>
      </c>
      <c r="H63" s="5">
        <f>9.806-G63</f>
        <v>3.871999999999999</v>
      </c>
      <c r="I63" s="5">
        <f>14.966-H63-G63</f>
        <v>5.160000000000001</v>
      </c>
      <c r="J63" s="5">
        <v>4.9560000000000004</v>
      </c>
      <c r="K63" s="5">
        <v>4.6539999999999999</v>
      </c>
      <c r="L63" s="5"/>
      <c r="M63" s="5"/>
      <c r="N63" s="5"/>
      <c r="V63" s="3">
        <v>20.896000000000001</v>
      </c>
      <c r="W63" s="9">
        <f t="shared" si="72"/>
        <v>19.922000000000001</v>
      </c>
    </row>
    <row r="64" spans="2:23" s="3" customFormat="1" x14ac:dyDescent="0.2">
      <c r="B64" s="3" t="s">
        <v>60</v>
      </c>
      <c r="C64" s="5"/>
      <c r="D64" s="5"/>
      <c r="E64" s="5"/>
      <c r="F64" s="5"/>
      <c r="G64" s="5">
        <v>35.143999999999998</v>
      </c>
      <c r="H64" s="5">
        <f>73.629-G64</f>
        <v>38.485000000000007</v>
      </c>
      <c r="I64" s="5">
        <f>109.204-H64-G64</f>
        <v>35.574999999999996</v>
      </c>
      <c r="J64" s="5">
        <v>32.865000000000002</v>
      </c>
      <c r="K64" s="5">
        <v>30.756</v>
      </c>
      <c r="L64" s="5"/>
      <c r="M64" s="5"/>
      <c r="N64" s="5"/>
      <c r="V64" s="3">
        <v>115.29</v>
      </c>
      <c r="W64" s="9">
        <f t="shared" si="72"/>
        <v>142.06900000000002</v>
      </c>
    </row>
    <row r="65" spans="2:23" s="3" customFormat="1" x14ac:dyDescent="0.2">
      <c r="B65" s="3" t="s">
        <v>59</v>
      </c>
      <c r="C65" s="5"/>
      <c r="D65" s="5"/>
      <c r="E65" s="5"/>
      <c r="F65" s="5"/>
      <c r="G65" s="5">
        <v>0</v>
      </c>
      <c r="H65" s="5">
        <v>0</v>
      </c>
      <c r="I65" s="5">
        <f>24.146-H65-G65</f>
        <v>24.146000000000001</v>
      </c>
      <c r="J65" s="5">
        <v>6.9219999999999997</v>
      </c>
      <c r="K65" s="5">
        <v>4.4999999999999998E-2</v>
      </c>
      <c r="L65" s="5"/>
      <c r="M65" s="5"/>
      <c r="N65" s="5"/>
      <c r="V65" s="3">
        <v>0</v>
      </c>
      <c r="W65" s="9">
        <f t="shared" si="72"/>
        <v>31.068000000000001</v>
      </c>
    </row>
    <row r="66" spans="2:23" s="3" customFormat="1" x14ac:dyDescent="0.2">
      <c r="B66" s="3" t="s">
        <v>44</v>
      </c>
      <c r="C66" s="5"/>
      <c r="D66" s="5"/>
      <c r="E66" s="5"/>
      <c r="F66" s="5"/>
      <c r="G66" s="5">
        <v>2.1999999999999999E-2</v>
      </c>
      <c r="H66" s="5">
        <f>-0.05-G66</f>
        <v>-7.2000000000000008E-2</v>
      </c>
      <c r="I66" s="5">
        <f>-15.252-H66-G66</f>
        <v>-15.202000000000002</v>
      </c>
      <c r="J66" s="5">
        <v>6.2670000000000003</v>
      </c>
      <c r="K66" s="5">
        <v>-2.31</v>
      </c>
      <c r="L66" s="5"/>
      <c r="M66" s="5"/>
      <c r="N66" s="5"/>
      <c r="V66" s="3">
        <v>-11.124000000000001</v>
      </c>
      <c r="W66" s="9">
        <f t="shared" si="72"/>
        <v>-8.985000000000003</v>
      </c>
    </row>
    <row r="67" spans="2:23" s="3" customFormat="1" x14ac:dyDescent="0.2">
      <c r="B67" s="3" t="s">
        <v>87</v>
      </c>
      <c r="C67" s="5"/>
      <c r="D67" s="5"/>
      <c r="E67" s="5"/>
      <c r="F67" s="5"/>
      <c r="G67" s="5">
        <v>0</v>
      </c>
      <c r="H67" s="5">
        <v>0</v>
      </c>
      <c r="I67" s="5">
        <v>-13.71</v>
      </c>
      <c r="J67" s="5">
        <v>0</v>
      </c>
      <c r="K67" s="5">
        <v>0</v>
      </c>
      <c r="L67" s="5"/>
      <c r="M67" s="5"/>
      <c r="N67" s="5"/>
      <c r="V67" s="3">
        <v>0</v>
      </c>
      <c r="W67" s="9">
        <f t="shared" si="72"/>
        <v>-13.71</v>
      </c>
    </row>
    <row r="68" spans="2:23" s="3" customFormat="1" x14ac:dyDescent="0.2">
      <c r="B68" s="3" t="s">
        <v>67</v>
      </c>
      <c r="C68" s="5"/>
      <c r="D68" s="5"/>
      <c r="E68" s="5"/>
      <c r="F68" s="5"/>
      <c r="G68" s="5">
        <v>-2.8959999999999999</v>
      </c>
      <c r="H68" s="5">
        <f>-6.226-G68</f>
        <v>-3.33</v>
      </c>
      <c r="I68" s="5">
        <f>-6.198-H68-G68</f>
        <v>2.7999999999999581E-2</v>
      </c>
      <c r="J68" s="5">
        <v>-1.431</v>
      </c>
      <c r="K68" s="5">
        <v>0</v>
      </c>
      <c r="L68" s="5"/>
      <c r="M68" s="5"/>
      <c r="N68" s="5"/>
      <c r="V68" s="3">
        <v>-15.98</v>
      </c>
      <c r="W68" s="9">
        <f t="shared" si="72"/>
        <v>-7.6290000000000004</v>
      </c>
    </row>
    <row r="69" spans="2:23" s="3" customFormat="1" x14ac:dyDescent="0.2">
      <c r="B69" s="3" t="s">
        <v>58</v>
      </c>
      <c r="C69" s="5"/>
      <c r="D69" s="5"/>
      <c r="E69" s="5"/>
      <c r="F69" s="5"/>
      <c r="G69" s="5">
        <v>-0.27900000000000003</v>
      </c>
      <c r="H69" s="5">
        <f>-0.703-G69</f>
        <v>-0.42399999999999993</v>
      </c>
      <c r="I69" s="5">
        <f>-0.268-H69-G69</f>
        <v>0.43499999999999994</v>
      </c>
      <c r="J69" s="5">
        <v>0.50800000000000001</v>
      </c>
      <c r="K69" s="5">
        <v>3.4420000000000002</v>
      </c>
      <c r="L69" s="5"/>
      <c r="M69" s="5"/>
      <c r="N69" s="5"/>
      <c r="V69" s="3">
        <v>-2.444</v>
      </c>
      <c r="W69" s="9">
        <f t="shared" si="72"/>
        <v>0.24</v>
      </c>
    </row>
    <row r="70" spans="2:23" s="3" customFormat="1" x14ac:dyDescent="0.2">
      <c r="B70" s="3" t="s">
        <v>57</v>
      </c>
      <c r="C70" s="5"/>
      <c r="D70" s="5"/>
      <c r="E70" s="5"/>
      <c r="F70" s="5"/>
      <c r="G70" s="5">
        <v>0</v>
      </c>
      <c r="H70" s="5">
        <f>-0.45-G70</f>
        <v>-0.45</v>
      </c>
      <c r="I70" s="5">
        <f>2.114-H70-G70</f>
        <v>2.5640000000000001</v>
      </c>
      <c r="J70" s="5">
        <v>0.82899999999999996</v>
      </c>
      <c r="K70" s="5">
        <v>1.1000000000000001</v>
      </c>
      <c r="L70" s="5"/>
      <c r="M70" s="5"/>
      <c r="N70" s="5"/>
      <c r="V70" s="3">
        <f>0.459+2.036</f>
        <v>2.4950000000000001</v>
      </c>
      <c r="W70" s="9">
        <f t="shared" si="72"/>
        <v>2.9429999999999996</v>
      </c>
    </row>
    <row r="71" spans="2:23" s="3" customFormat="1" x14ac:dyDescent="0.2">
      <c r="B71" s="3" t="s">
        <v>56</v>
      </c>
      <c r="C71" s="5"/>
      <c r="D71" s="5"/>
      <c r="E71" s="5"/>
      <c r="F71" s="5"/>
      <c r="G71" s="5">
        <f>3.245-8.901-2.513+2.244-17.034-2.47+18.688</f>
        <v>-6.7409999999999997</v>
      </c>
      <c r="H71" s="5">
        <f>3.163-10.282-6.447-6.315-50.533+6.045+17.309-G71</f>
        <v>-40.319000000000003</v>
      </c>
      <c r="I71" s="5">
        <f>4.555+6.353-39.813-0.944-101.852+33.413-1.242-H71-G71</f>
        <v>-52.47</v>
      </c>
      <c r="J71" s="5">
        <f>0.075+6.96+61.358+9.545+142.069-1.174-16.98</f>
        <v>201.85300000000001</v>
      </c>
      <c r="K71" s="5">
        <f>0.505-3.223+20.94-2.85-112.425+10.848-12.754</f>
        <v>-98.959000000000003</v>
      </c>
      <c r="L71" s="5"/>
      <c r="M71" s="5"/>
      <c r="N71" s="5"/>
      <c r="V71" s="3">
        <f>7.195-16.277+13.933-14.046+54.921-9.986+31.952</f>
        <v>67.691999999999993</v>
      </c>
      <c r="W71" s="9">
        <f t="shared" si="72"/>
        <v>102.32300000000001</v>
      </c>
    </row>
    <row r="72" spans="2:23" s="3" customFormat="1" x14ac:dyDescent="0.2">
      <c r="B72" s="3" t="s">
        <v>55</v>
      </c>
      <c r="C72" s="5"/>
      <c r="D72" s="5"/>
      <c r="E72" s="5"/>
      <c r="F72" s="5"/>
      <c r="G72" s="5">
        <f>SUM(G61:G71)</f>
        <v>40.710999999999991</v>
      </c>
      <c r="H72" s="5">
        <f>SUM(H61:H71)</f>
        <v>9.9949999999999974</v>
      </c>
      <c r="I72" s="5">
        <f t="shared" ref="I72" si="73">SUM(I61:I71)</f>
        <v>-7.6120000000000019</v>
      </c>
      <c r="J72" s="5">
        <f>SUM(J61:J71)</f>
        <v>249.024</v>
      </c>
      <c r="K72" s="5">
        <f>SUM(K61:K71)</f>
        <v>-76.724999999999994</v>
      </c>
      <c r="L72" s="5"/>
      <c r="M72" s="5"/>
      <c r="N72" s="5"/>
      <c r="V72" s="9">
        <f>SUM(V61:V71)</f>
        <v>252.49700000000001</v>
      </c>
      <c r="W72" s="9">
        <f>SUM(W61:W71)</f>
        <v>292.11800000000005</v>
      </c>
    </row>
    <row r="73" spans="2:23" s="18" customFormat="1" x14ac:dyDescent="0.2">
      <c r="B73" s="18" t="s">
        <v>119</v>
      </c>
      <c r="C73" s="19"/>
      <c r="D73" s="19"/>
      <c r="E73" s="19"/>
      <c r="F73" s="19"/>
      <c r="G73" s="19"/>
      <c r="H73" s="19"/>
      <c r="I73" s="19"/>
      <c r="J73" s="19">
        <f>SUM(G72:J72)</f>
        <v>292.11799999999999</v>
      </c>
      <c r="K73" s="19">
        <f>SUM(H72:K72)</f>
        <v>174.68199999999999</v>
      </c>
      <c r="L73" s="19"/>
      <c r="M73" s="19"/>
      <c r="N73" s="19"/>
      <c r="V73" s="20"/>
      <c r="W73" s="20"/>
    </row>
    <row r="75" spans="2:23" s="9" customFormat="1" x14ac:dyDescent="0.2">
      <c r="B75" s="9" t="s">
        <v>63</v>
      </c>
      <c r="C75" s="10"/>
      <c r="D75" s="10"/>
      <c r="E75" s="10"/>
      <c r="F75" s="10"/>
      <c r="G75" s="10">
        <v>-18.294</v>
      </c>
      <c r="H75" s="10">
        <f>-40.746-G75</f>
        <v>-22.452000000000002</v>
      </c>
      <c r="I75" s="10">
        <f>-68.481-H75-G75</f>
        <v>-27.734999999999996</v>
      </c>
      <c r="J75" s="10">
        <f>-83.988-I75-H75-G75</f>
        <v>-15.507000000000001</v>
      </c>
      <c r="K75" s="10">
        <v>-19.952000000000002</v>
      </c>
      <c r="L75" s="10"/>
      <c r="M75" s="10"/>
      <c r="N75" s="10"/>
      <c r="V75" s="9">
        <v>-83.56</v>
      </c>
      <c r="W75" s="9">
        <f t="shared" ref="W75:W77" si="74">SUM(G75:J75)</f>
        <v>-83.988</v>
      </c>
    </row>
    <row r="76" spans="2:23" s="9" customFormat="1" x14ac:dyDescent="0.2">
      <c r="B76" s="9" t="s">
        <v>64</v>
      </c>
      <c r="C76" s="10"/>
      <c r="D76" s="10"/>
      <c r="E76" s="10"/>
      <c r="F76" s="10"/>
      <c r="G76" s="10">
        <f>-0.8-0.349</f>
        <v>-1.149</v>
      </c>
      <c r="H76" s="10">
        <f>-3.12-G76-0.349</f>
        <v>-2.3200000000000003</v>
      </c>
      <c r="I76" s="10">
        <f>-70.13-H76-G76-1.072-1.156-1.404</f>
        <v>-70.293000000000006</v>
      </c>
      <c r="J76" s="10">
        <f>-69.888-1.072-1.619-I76-H76-G76-1.404</f>
        <v>-0.22100000000000097</v>
      </c>
      <c r="K76" s="10">
        <f>-0.04-0.786</f>
        <v>-0.82600000000000007</v>
      </c>
      <c r="L76" s="10"/>
      <c r="M76" s="10"/>
      <c r="N76" s="10"/>
      <c r="V76" s="9">
        <f>-59.735-0.5-2.297</f>
        <v>-62.531999999999996</v>
      </c>
      <c r="W76" s="9">
        <f t="shared" si="74"/>
        <v>-73.983000000000004</v>
      </c>
    </row>
    <row r="77" spans="2:23" s="9" customFormat="1" x14ac:dyDescent="0.2">
      <c r="B77" s="9" t="s">
        <v>86</v>
      </c>
      <c r="C77" s="10"/>
      <c r="D77" s="10"/>
      <c r="E77" s="10"/>
      <c r="F77" s="10"/>
      <c r="G77" s="10">
        <v>0</v>
      </c>
      <c r="H77" s="10">
        <f>-5+1.231</f>
        <v>-3.7690000000000001</v>
      </c>
      <c r="I77" s="10">
        <f>-5+1.231-H77-G77</f>
        <v>0</v>
      </c>
      <c r="J77" s="10">
        <f>-25.289+6.01-I77-H77-G77</f>
        <v>-15.510000000000003</v>
      </c>
      <c r="K77" s="10">
        <v>0</v>
      </c>
      <c r="L77" s="10"/>
      <c r="M77" s="10"/>
      <c r="N77" s="10"/>
      <c r="V77" s="9">
        <v>-6.726</v>
      </c>
      <c r="W77" s="9">
        <f t="shared" si="74"/>
        <v>-19.279000000000003</v>
      </c>
    </row>
    <row r="78" spans="2:23" s="9" customFormat="1" x14ac:dyDescent="0.2">
      <c r="B78" s="9" t="s">
        <v>65</v>
      </c>
      <c r="C78" s="10"/>
      <c r="D78" s="10"/>
      <c r="E78" s="10"/>
      <c r="F78" s="10"/>
      <c r="G78" s="10">
        <f>SUM(G75:G77)</f>
        <v>-19.443000000000001</v>
      </c>
      <c r="H78" s="10">
        <f t="shared" ref="H78:K78" si="75">SUM(H75:H77)</f>
        <v>-28.541000000000004</v>
      </c>
      <c r="I78" s="10">
        <f t="shared" si="75"/>
        <v>-98.028000000000006</v>
      </c>
      <c r="J78" s="10">
        <f t="shared" si="75"/>
        <v>-31.238000000000007</v>
      </c>
      <c r="K78" s="10">
        <f t="shared" si="75"/>
        <v>-20.778000000000002</v>
      </c>
      <c r="L78" s="10"/>
      <c r="M78" s="10"/>
      <c r="N78" s="10"/>
      <c r="V78" s="9">
        <f>SUM(V75:V77)</f>
        <v>-152.81799999999998</v>
      </c>
      <c r="W78" s="9">
        <f>SUM(W75:W77)</f>
        <v>-177.25</v>
      </c>
    </row>
    <row r="79" spans="2:23" s="9" customFormat="1" x14ac:dyDescent="0.2"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</row>
    <row r="80" spans="2:23" s="9" customFormat="1" x14ac:dyDescent="0.2">
      <c r="B80" s="9" t="s">
        <v>78</v>
      </c>
      <c r="C80" s="10"/>
      <c r="D80" s="10"/>
      <c r="E80" s="10"/>
      <c r="F80" s="10"/>
      <c r="G80" s="10">
        <v>-18.006</v>
      </c>
      <c r="H80" s="10">
        <f>-136.115-G80</f>
        <v>-118.10900000000001</v>
      </c>
      <c r="I80" s="10">
        <f>-329.378-H80-G80</f>
        <v>-193.26299999999998</v>
      </c>
      <c r="J80" s="10">
        <f>-442.767-I80-H80-G80</f>
        <v>-113.38900000000001</v>
      </c>
      <c r="K80" s="10">
        <v>-64.665000000000006</v>
      </c>
      <c r="L80" s="10"/>
      <c r="M80" s="10"/>
      <c r="N80" s="10"/>
      <c r="V80" s="9">
        <v>-153.25299999999999</v>
      </c>
      <c r="W80" s="9">
        <f t="shared" ref="W80:W87" si="76">SUM(G80:J80)</f>
        <v>-442.767</v>
      </c>
    </row>
    <row r="81" spans="2:23" s="9" customFormat="1" x14ac:dyDescent="0.2">
      <c r="B81" s="9" t="s">
        <v>88</v>
      </c>
      <c r="C81" s="10"/>
      <c r="D81" s="10"/>
      <c r="E81" s="10"/>
      <c r="F81" s="10"/>
      <c r="G81" s="10">
        <v>0</v>
      </c>
      <c r="H81" s="10">
        <v>0</v>
      </c>
      <c r="I81" s="10">
        <f>195-H81-G81</f>
        <v>195</v>
      </c>
      <c r="J81" s="10">
        <f>0-I81-H81-G81</f>
        <v>-195</v>
      </c>
      <c r="K81" s="10">
        <v>0</v>
      </c>
      <c r="L81" s="10"/>
      <c r="M81" s="10"/>
      <c r="N81" s="10"/>
      <c r="V81" s="9">
        <v>0</v>
      </c>
      <c r="W81" s="9">
        <f t="shared" si="76"/>
        <v>0</v>
      </c>
    </row>
    <row r="82" spans="2:23" s="9" customFormat="1" x14ac:dyDescent="0.2">
      <c r="B82" s="9" t="s">
        <v>79</v>
      </c>
      <c r="C82" s="10"/>
      <c r="D82" s="10"/>
      <c r="E82" s="10"/>
      <c r="F82" s="10"/>
      <c r="G82" s="10">
        <v>2.8959999999999999</v>
      </c>
      <c r="H82" s="10">
        <f>6.226-G82</f>
        <v>3.33</v>
      </c>
      <c r="I82" s="10">
        <f>6.198-H82-G82</f>
        <v>-2.7999999999999581E-2</v>
      </c>
      <c r="J82" s="10">
        <f>7.629-I82-H82-G82</f>
        <v>1.4309999999999992</v>
      </c>
      <c r="K82" s="10">
        <v>0</v>
      </c>
      <c r="L82" s="10"/>
      <c r="M82" s="10"/>
      <c r="N82" s="10"/>
      <c r="W82" s="9">
        <f t="shared" si="76"/>
        <v>7.6289999999999996</v>
      </c>
    </row>
    <row r="83" spans="2:23" s="9" customFormat="1" x14ac:dyDescent="0.2">
      <c r="B83" s="9" t="s">
        <v>80</v>
      </c>
      <c r="C83" s="10"/>
      <c r="D83" s="10"/>
      <c r="E83" s="10"/>
      <c r="F83" s="10"/>
      <c r="G83" s="10">
        <v>-14.584</v>
      </c>
      <c r="H83" s="10">
        <f>-27.301-G83</f>
        <v>-12.716999999999999</v>
      </c>
      <c r="I83" s="10">
        <f>-34.477-H83-G83</f>
        <v>-7.1759999999999984</v>
      </c>
      <c r="J83" s="10">
        <f>-40.101-I83-H83-G83</f>
        <v>-5.6239999999999988</v>
      </c>
      <c r="K83" s="10">
        <v>-4.9640000000000004</v>
      </c>
      <c r="L83" s="10"/>
      <c r="M83" s="10"/>
      <c r="N83" s="10"/>
      <c r="W83" s="9">
        <f t="shared" si="76"/>
        <v>-40.100999999999999</v>
      </c>
    </row>
    <row r="84" spans="2:23" s="9" customFormat="1" x14ac:dyDescent="0.2">
      <c r="B84" s="9" t="s">
        <v>81</v>
      </c>
      <c r="C84" s="10"/>
      <c r="D84" s="10"/>
      <c r="E84" s="10"/>
      <c r="F84" s="10"/>
      <c r="G84" s="10">
        <v>1.946</v>
      </c>
      <c r="H84" s="10">
        <f>2.199-G84</f>
        <v>0.25299999999999989</v>
      </c>
      <c r="I84" s="10">
        <f>5.673-H84-G84</f>
        <v>3.4740000000000002</v>
      </c>
      <c r="J84" s="10">
        <f>5.808-I84-H84-G84</f>
        <v>0.13499999999999956</v>
      </c>
      <c r="K84" s="10">
        <v>1.9330000000000001</v>
      </c>
      <c r="L84" s="10"/>
      <c r="M84" s="10"/>
      <c r="N84" s="10"/>
      <c r="W84" s="9">
        <f t="shared" si="76"/>
        <v>5.8079999999999998</v>
      </c>
    </row>
    <row r="85" spans="2:23" s="9" customFormat="1" x14ac:dyDescent="0.2">
      <c r="B85" s="9" t="s">
        <v>82</v>
      </c>
      <c r="C85" s="10"/>
      <c r="D85" s="10"/>
      <c r="E85" s="10"/>
      <c r="F85" s="10"/>
      <c r="G85" s="10">
        <v>-1.5580000000000001</v>
      </c>
      <c r="H85" s="10">
        <f>-7.894-G85</f>
        <v>-6.3360000000000003</v>
      </c>
      <c r="I85" s="10">
        <f>-10.954-H85-G85</f>
        <v>-3.0600000000000005</v>
      </c>
      <c r="J85" s="10">
        <f>-13.94-I85-H85-G85</f>
        <v>-2.9859999999999989</v>
      </c>
      <c r="K85" s="10">
        <v>-3.3650000000000002</v>
      </c>
      <c r="L85" s="10"/>
      <c r="M85" s="10"/>
      <c r="N85" s="10"/>
      <c r="W85" s="9">
        <f t="shared" si="76"/>
        <v>-13.94</v>
      </c>
    </row>
    <row r="86" spans="2:23" s="9" customFormat="1" x14ac:dyDescent="0.2">
      <c r="B86" s="9" t="s">
        <v>58</v>
      </c>
      <c r="C86" s="10"/>
      <c r="D86" s="10"/>
      <c r="E86" s="10"/>
      <c r="F86" s="10"/>
      <c r="G86" s="10">
        <v>0</v>
      </c>
      <c r="H86" s="10">
        <f>-0.382-G86</f>
        <v>-0.38200000000000001</v>
      </c>
      <c r="I86" s="10">
        <f>-0.382-H86-G86</f>
        <v>0</v>
      </c>
      <c r="J86" s="10">
        <f>-0.382-I86-H86-G86</f>
        <v>0</v>
      </c>
      <c r="K86" s="10">
        <v>0</v>
      </c>
      <c r="L86" s="10"/>
      <c r="M86" s="10"/>
      <c r="N86" s="10"/>
      <c r="W86" s="9">
        <f t="shared" si="76"/>
        <v>-0.38200000000000001</v>
      </c>
    </row>
    <row r="87" spans="2:23" s="9" customFormat="1" x14ac:dyDescent="0.2">
      <c r="B87" s="9" t="s">
        <v>84</v>
      </c>
      <c r="C87" s="10"/>
      <c r="D87" s="10"/>
      <c r="E87" s="10"/>
      <c r="F87" s="10"/>
      <c r="G87" s="10">
        <v>-3.6360000000000001</v>
      </c>
      <c r="H87" s="10">
        <f>-7.902-G87</f>
        <v>-4.266</v>
      </c>
      <c r="I87" s="10">
        <f>-17.67-H87-G87</f>
        <v>-9.7680000000000007</v>
      </c>
      <c r="J87" s="10">
        <f>-24.403-I87-H87-G87</f>
        <v>-6.7329999999999979</v>
      </c>
      <c r="K87" s="10">
        <v>-6.9539999999999997</v>
      </c>
      <c r="L87" s="10"/>
      <c r="M87" s="10"/>
      <c r="N87" s="10"/>
      <c r="W87" s="9">
        <f t="shared" si="76"/>
        <v>-24.402999999999999</v>
      </c>
    </row>
    <row r="88" spans="2:23" s="9" customFormat="1" x14ac:dyDescent="0.2">
      <c r="B88" s="9" t="s">
        <v>83</v>
      </c>
      <c r="C88" s="10"/>
      <c r="D88" s="10"/>
      <c r="E88" s="10"/>
      <c r="F88" s="10"/>
      <c r="G88" s="10">
        <f>SUM(G80:G87)</f>
        <v>-32.942</v>
      </c>
      <c r="H88" s="10">
        <f>SUM(H80:H87)</f>
        <v>-138.227</v>
      </c>
      <c r="I88" s="10">
        <f>SUM(I80:I87)</f>
        <v>-14.820999999999977</v>
      </c>
      <c r="J88" s="10">
        <f>SUM(J80:J87)</f>
        <v>-322.16600000000005</v>
      </c>
      <c r="K88" s="10">
        <f>SUM(K80:K87)</f>
        <v>-78.014999999999986</v>
      </c>
      <c r="L88" s="10"/>
      <c r="M88" s="10"/>
      <c r="N88" s="10"/>
    </row>
    <row r="89" spans="2:23" s="9" customFormat="1" x14ac:dyDescent="0.2">
      <c r="B89" s="9" t="s">
        <v>85</v>
      </c>
      <c r="C89" s="10"/>
      <c r="D89" s="10"/>
      <c r="E89" s="10"/>
      <c r="F89" s="10"/>
      <c r="G89" s="10">
        <v>-30.199000000000002</v>
      </c>
      <c r="H89" s="10">
        <f>-20.415-G89</f>
        <v>9.7840000000000025</v>
      </c>
      <c r="I89" s="10">
        <f>-27.338-H89-G89</f>
        <v>-6.9229999999999983</v>
      </c>
      <c r="J89" s="10">
        <f>-32.485-I89-H89-G89</f>
        <v>-5.147000000000002</v>
      </c>
      <c r="K89" s="10">
        <v>10.667999999999999</v>
      </c>
      <c r="L89" s="10"/>
      <c r="M89" s="10"/>
      <c r="N89" s="10"/>
    </row>
    <row r="91" spans="2:23" x14ac:dyDescent="0.2">
      <c r="B91" s="9" t="s">
        <v>66</v>
      </c>
      <c r="G91" s="5">
        <f t="shared" ref="G91:J91" si="77">G61+G62+G75+G63</f>
        <v>-2.8330000000000028</v>
      </c>
      <c r="H91" s="5">
        <f t="shared" si="77"/>
        <v>-6.3470000000000022</v>
      </c>
      <c r="I91" s="5">
        <f t="shared" si="77"/>
        <v>-16.712999999999997</v>
      </c>
      <c r="J91" s="5">
        <f t="shared" si="77"/>
        <v>-14.296000000000003</v>
      </c>
      <c r="K91" s="5">
        <f>K61+K62+K75+K63</f>
        <v>-30.751000000000001</v>
      </c>
      <c r="V91" s="5">
        <f>V61+V62+V75+V63</f>
        <v>13.007999999999996</v>
      </c>
      <c r="W91" s="5">
        <f>W61+W62+W75+W63</f>
        <v>-40.188999999999993</v>
      </c>
    </row>
    <row r="92" spans="2:23" x14ac:dyDescent="0.2">
      <c r="B92" s="9" t="s">
        <v>120</v>
      </c>
      <c r="G92" s="5">
        <f t="shared" ref="G92:J92" si="78">+G91+G64</f>
        <v>32.310999999999993</v>
      </c>
      <c r="H92" s="5">
        <f t="shared" si="78"/>
        <v>32.138000000000005</v>
      </c>
      <c r="I92" s="5">
        <f t="shared" si="78"/>
        <v>18.861999999999998</v>
      </c>
      <c r="J92" s="5">
        <f t="shared" si="78"/>
        <v>18.568999999999999</v>
      </c>
      <c r="K92" s="5">
        <f>+K91+K64</f>
        <v>4.9999999999990052E-3</v>
      </c>
      <c r="V92" s="5">
        <f t="shared" ref="V92:W92" si="79">+V91+V64</f>
        <v>128.298</v>
      </c>
      <c r="W92" s="5">
        <f t="shared" si="79"/>
        <v>101.88000000000002</v>
      </c>
    </row>
    <row r="93" spans="2:23" x14ac:dyDescent="0.2">
      <c r="B93" s="9" t="s">
        <v>128</v>
      </c>
      <c r="V93" s="3">
        <f>SUM(V61:V65)+V75-V139</f>
        <v>-0.7590652000000091</v>
      </c>
      <c r="W93" s="3">
        <f>SUM(W61:W65)+W75-W139</f>
        <v>17.682540000000031</v>
      </c>
    </row>
    <row r="94" spans="2:23" x14ac:dyDescent="0.2">
      <c r="B94" s="9" t="s">
        <v>138</v>
      </c>
      <c r="J94" s="5">
        <f t="shared" ref="J94" si="80">SUM(G62:J63)+SUM(G75:J75)</f>
        <v>48.981999999999999</v>
      </c>
      <c r="K94" s="5">
        <f>SUM(H62:K63)+SUM(H75:K75)</f>
        <v>49.920999999999978</v>
      </c>
      <c r="V94" s="3"/>
      <c r="W94" s="3"/>
    </row>
    <row r="96" spans="2:23" x14ac:dyDescent="0.2">
      <c r="B96" t="s">
        <v>100</v>
      </c>
      <c r="G96" s="5">
        <v>10815</v>
      </c>
      <c r="J96" s="5">
        <f>+J98+J101+J104</f>
        <v>9872</v>
      </c>
      <c r="K96" s="5">
        <v>9262</v>
      </c>
    </row>
    <row r="97" spans="2:23" x14ac:dyDescent="0.2">
      <c r="B97" t="s">
        <v>101</v>
      </c>
      <c r="G97" s="5">
        <v>4429</v>
      </c>
      <c r="J97" s="5"/>
      <c r="K97" s="5">
        <v>3711</v>
      </c>
    </row>
    <row r="98" spans="2:23" s="3" customFormat="1" x14ac:dyDescent="0.2">
      <c r="B98" s="3" t="s">
        <v>68</v>
      </c>
      <c r="C98" s="5"/>
      <c r="D98" s="5"/>
      <c r="E98" s="5"/>
      <c r="F98" s="5"/>
      <c r="G98" s="5"/>
      <c r="H98" s="5"/>
      <c r="I98" s="5"/>
      <c r="J98" s="5">
        <v>3846</v>
      </c>
      <c r="K98" s="5"/>
      <c r="L98" s="5"/>
      <c r="M98" s="5"/>
      <c r="N98" s="5"/>
      <c r="W98" s="5">
        <v>3846</v>
      </c>
    </row>
    <row r="99" spans="2:23" s="3" customFormat="1" x14ac:dyDescent="0.2">
      <c r="B99" s="3" t="s">
        <v>69</v>
      </c>
      <c r="C99" s="5"/>
      <c r="D99" s="5"/>
      <c r="E99" s="5"/>
      <c r="F99" s="5"/>
      <c r="G99" s="5"/>
      <c r="H99" s="5"/>
      <c r="I99" s="5"/>
      <c r="J99" s="5">
        <v>1347</v>
      </c>
      <c r="K99" s="5"/>
      <c r="L99" s="5"/>
      <c r="M99" s="5"/>
      <c r="N99" s="5"/>
      <c r="W99" s="5">
        <v>1347</v>
      </c>
    </row>
    <row r="100" spans="2:23" s="3" customFormat="1" x14ac:dyDescent="0.2">
      <c r="B100" s="3" t="s">
        <v>70</v>
      </c>
      <c r="C100" s="5"/>
      <c r="D100" s="5"/>
      <c r="E100" s="5"/>
      <c r="F100" s="5"/>
      <c r="G100" s="5"/>
      <c r="H100" s="5"/>
      <c r="I100" s="5"/>
      <c r="J100" s="5">
        <v>2499</v>
      </c>
      <c r="K100" s="5"/>
      <c r="L100" s="5"/>
      <c r="M100" s="5"/>
      <c r="N100" s="5"/>
      <c r="W100" s="5">
        <v>2499</v>
      </c>
    </row>
    <row r="101" spans="2:23" s="3" customFormat="1" x14ac:dyDescent="0.2">
      <c r="B101" s="3" t="s">
        <v>71</v>
      </c>
      <c r="C101" s="5"/>
      <c r="D101" s="5"/>
      <c r="E101" s="5"/>
      <c r="F101" s="5"/>
      <c r="G101" s="5"/>
      <c r="H101" s="5"/>
      <c r="I101" s="5"/>
      <c r="J101" s="5">
        <v>3159</v>
      </c>
      <c r="K101" s="5"/>
      <c r="L101" s="5"/>
      <c r="M101" s="5"/>
      <c r="N101" s="5"/>
      <c r="W101" s="5">
        <v>3159</v>
      </c>
    </row>
    <row r="102" spans="2:23" s="3" customFormat="1" x14ac:dyDescent="0.2">
      <c r="B102" s="3" t="s">
        <v>72</v>
      </c>
      <c r="C102" s="5"/>
      <c r="D102" s="5"/>
      <c r="E102" s="5"/>
      <c r="F102" s="5"/>
      <c r="G102" s="5"/>
      <c r="H102" s="5"/>
      <c r="I102" s="5"/>
      <c r="J102" s="5">
        <v>1643</v>
      </c>
      <c r="K102" s="5"/>
      <c r="L102" s="5"/>
      <c r="M102" s="5"/>
      <c r="N102" s="5"/>
      <c r="W102" s="5">
        <v>1643</v>
      </c>
    </row>
    <row r="103" spans="2:23" s="3" customFormat="1" x14ac:dyDescent="0.2">
      <c r="B103" s="3" t="s">
        <v>73</v>
      </c>
      <c r="C103" s="5"/>
      <c r="D103" s="5"/>
      <c r="E103" s="5"/>
      <c r="F103" s="5"/>
      <c r="G103" s="5"/>
      <c r="H103" s="5"/>
      <c r="I103" s="5"/>
      <c r="J103" s="5">
        <v>1516</v>
      </c>
      <c r="K103" s="5"/>
      <c r="L103" s="5"/>
      <c r="M103" s="5"/>
      <c r="N103" s="5"/>
      <c r="W103" s="5">
        <v>1516</v>
      </c>
    </row>
    <row r="104" spans="2:23" s="3" customFormat="1" x14ac:dyDescent="0.2">
      <c r="B104" s="3" t="s">
        <v>74</v>
      </c>
      <c r="C104" s="5"/>
      <c r="D104" s="5"/>
      <c r="E104" s="5"/>
      <c r="F104" s="5"/>
      <c r="G104" s="5"/>
      <c r="H104" s="5"/>
      <c r="I104" s="5"/>
      <c r="J104" s="5">
        <v>2867</v>
      </c>
      <c r="K104" s="5"/>
      <c r="L104" s="5"/>
      <c r="M104" s="5"/>
      <c r="N104" s="5"/>
      <c r="W104" s="5">
        <v>2867</v>
      </c>
    </row>
    <row r="105" spans="2:23" s="3" customFormat="1" x14ac:dyDescent="0.2">
      <c r="B105" s="3" t="s">
        <v>76</v>
      </c>
      <c r="C105" s="5"/>
      <c r="D105" s="5"/>
      <c r="E105" s="5"/>
      <c r="F105" s="5"/>
      <c r="G105" s="5"/>
      <c r="H105" s="5"/>
      <c r="I105" s="5"/>
      <c r="J105" s="5">
        <v>1002</v>
      </c>
      <c r="K105" s="5"/>
      <c r="L105" s="5"/>
      <c r="M105" s="5"/>
      <c r="N105" s="5"/>
      <c r="W105" s="5">
        <v>1002</v>
      </c>
    </row>
    <row r="106" spans="2:23" s="3" customFormat="1" x14ac:dyDescent="0.2">
      <c r="B106" s="3" t="s">
        <v>75</v>
      </c>
      <c r="C106" s="5"/>
      <c r="D106" s="5"/>
      <c r="E106" s="5"/>
      <c r="F106" s="5"/>
      <c r="G106" s="5"/>
      <c r="H106" s="5"/>
      <c r="I106" s="5"/>
      <c r="J106" s="5">
        <v>1865</v>
      </c>
      <c r="K106" s="5"/>
      <c r="L106" s="5"/>
      <c r="M106" s="5"/>
      <c r="N106" s="5"/>
      <c r="W106" s="5">
        <v>1865</v>
      </c>
    </row>
    <row r="109" spans="2:23" x14ac:dyDescent="0.2">
      <c r="B109" s="3" t="s">
        <v>93</v>
      </c>
      <c r="W109" s="3">
        <f>W10*1000000/W99</f>
        <v>1520224.2019302153</v>
      </c>
    </row>
    <row r="110" spans="2:23" x14ac:dyDescent="0.2">
      <c r="B110" s="3" t="s">
        <v>94</v>
      </c>
      <c r="W110" s="3">
        <f>W11*1000000/W102</f>
        <v>528228.84966524655</v>
      </c>
    </row>
    <row r="111" spans="2:23" x14ac:dyDescent="0.2">
      <c r="B111" s="3" t="s">
        <v>102</v>
      </c>
      <c r="G111" s="4">
        <f t="shared" ref="G111:J111" si="81">G22*1000/G96</f>
        <v>26.80046232085067</v>
      </c>
      <c r="H111" s="4" t="e">
        <f t="shared" si="81"/>
        <v>#DIV/0!</v>
      </c>
      <c r="I111" s="4" t="e">
        <f t="shared" si="81"/>
        <v>#DIV/0!</v>
      </c>
      <c r="J111" s="4">
        <f t="shared" si="81"/>
        <v>29.170988654781198</v>
      </c>
      <c r="K111" s="4">
        <f>K22*1000/K96</f>
        <v>30.33772403368603</v>
      </c>
    </row>
    <row r="112" spans="2:23" x14ac:dyDescent="0.2">
      <c r="B112" s="3" t="s">
        <v>103</v>
      </c>
      <c r="K112" s="8">
        <f>K96/G96-1</f>
        <v>-0.1435968562182155</v>
      </c>
    </row>
    <row r="113" spans="2:23" x14ac:dyDescent="0.2">
      <c r="B113" s="3" t="s">
        <v>104</v>
      </c>
      <c r="K113" s="8">
        <f>K22/G22-1</f>
        <v>-3.0564401218573845E-2</v>
      </c>
    </row>
    <row r="116" spans="2:23" x14ac:dyDescent="0.2">
      <c r="B116" s="12" t="s">
        <v>105</v>
      </c>
      <c r="U116" s="11">
        <f>U117/T117-1</f>
        <v>2.3787040151187488E-2</v>
      </c>
      <c r="V116" s="11">
        <f t="shared" ref="V116:W116" si="82">V117/U117-1</f>
        <v>4.2909300512447235E-2</v>
      </c>
      <c r="W116" s="11">
        <f t="shared" si="82"/>
        <v>2.620273261548256E-2</v>
      </c>
    </row>
    <row r="117" spans="2:23" s="13" customFormat="1" x14ac:dyDescent="0.2">
      <c r="B117" s="13" t="s">
        <v>106</v>
      </c>
      <c r="C117" s="14"/>
      <c r="D117" s="14"/>
      <c r="E117" s="14"/>
      <c r="F117" s="14"/>
      <c r="G117" s="14"/>
      <c r="H117" s="14"/>
      <c r="I117" s="14"/>
      <c r="J117" s="14">
        <v>719.78742199999999</v>
      </c>
      <c r="K117" s="14">
        <v>723.16694600000005</v>
      </c>
      <c r="L117" s="14"/>
      <c r="M117" s="14"/>
      <c r="N117" s="14"/>
      <c r="T117" s="13">
        <v>656.92368199999999</v>
      </c>
      <c r="U117" s="13">
        <v>672.54995199999996</v>
      </c>
      <c r="V117" s="13">
        <v>701.40859999999998</v>
      </c>
      <c r="W117" s="13">
        <f>+J117</f>
        <v>719.78742199999999</v>
      </c>
    </row>
    <row r="118" spans="2:23" s="13" customFormat="1" x14ac:dyDescent="0.2">
      <c r="B118" s="13" t="s">
        <v>107</v>
      </c>
      <c r="C118" s="14"/>
      <c r="D118" s="14"/>
      <c r="E118" s="14"/>
      <c r="F118" s="14"/>
      <c r="G118" s="14"/>
      <c r="H118" s="14"/>
      <c r="I118" s="14"/>
      <c r="J118" s="14">
        <v>128.468165</v>
      </c>
      <c r="K118" s="14">
        <v>147.28816499999999</v>
      </c>
      <c r="L118" s="14"/>
      <c r="M118" s="14"/>
      <c r="N118" s="14"/>
      <c r="T118" s="13">
        <v>0</v>
      </c>
      <c r="U118" s="13">
        <f>+T118+4.432</f>
        <v>4.4320000000000004</v>
      </c>
      <c r="V118" s="13">
        <f>+U118+22.806304</f>
        <v>27.238303999999999</v>
      </c>
      <c r="W118" s="13">
        <f>+V118+101.229061</f>
        <v>128.467365</v>
      </c>
    </row>
    <row r="119" spans="2:23" s="13" customFormat="1" x14ac:dyDescent="0.2">
      <c r="B119" s="13" t="s">
        <v>108</v>
      </c>
      <c r="C119" s="14"/>
      <c r="D119" s="14"/>
      <c r="E119" s="14"/>
      <c r="F119" s="14"/>
      <c r="G119" s="14"/>
      <c r="H119" s="14"/>
      <c r="I119" s="14"/>
      <c r="J119" s="14">
        <f t="shared" ref="J119" si="83">+J117-J118</f>
        <v>591.31925699999999</v>
      </c>
      <c r="K119" s="14">
        <f>+K117-K118</f>
        <v>575.87878100000012</v>
      </c>
      <c r="L119" s="14"/>
      <c r="M119" s="14"/>
      <c r="N119" s="14"/>
      <c r="T119" s="13">
        <f>+T117-T118</f>
        <v>656.92368199999999</v>
      </c>
      <c r="U119" s="13">
        <f>+U117-U118</f>
        <v>668.11795199999995</v>
      </c>
      <c r="V119" s="13">
        <f>+V117-V118</f>
        <v>674.17029600000001</v>
      </c>
      <c r="W119" s="13">
        <f>+W117-W118</f>
        <v>591.32005700000002</v>
      </c>
    </row>
    <row r="120" spans="2:23" s="13" customFormat="1" x14ac:dyDescent="0.2">
      <c r="B120" s="13" t="s">
        <v>125</v>
      </c>
      <c r="C120" s="14"/>
      <c r="D120" s="14"/>
      <c r="E120" s="14"/>
      <c r="F120" s="14"/>
      <c r="G120" s="14"/>
      <c r="H120" s="14"/>
      <c r="I120" s="14"/>
      <c r="J120" s="14"/>
      <c r="K120" s="14">
        <f>K118-J118</f>
        <v>18.819999999999993</v>
      </c>
      <c r="L120" s="14"/>
      <c r="M120" s="14"/>
      <c r="N120" s="14"/>
      <c r="T120" s="13">
        <v>0</v>
      </c>
      <c r="U120" s="13">
        <f>+U118-T118</f>
        <v>4.4320000000000004</v>
      </c>
      <c r="V120" s="13">
        <f>+V118-U118</f>
        <v>22.806303999999997</v>
      </c>
      <c r="W120" s="13">
        <f>+W118-V118</f>
        <v>101.229061</v>
      </c>
    </row>
    <row r="121" spans="2:23" s="13" customFormat="1" x14ac:dyDescent="0.2">
      <c r="B121" s="13" t="s">
        <v>109</v>
      </c>
      <c r="C121" s="14"/>
      <c r="D121" s="14"/>
      <c r="E121" s="14"/>
      <c r="F121" s="14"/>
      <c r="G121" s="14"/>
      <c r="H121" s="14"/>
      <c r="I121" s="14"/>
      <c r="J121" s="14"/>
      <c r="K121" s="14">
        <v>128.46799999999999</v>
      </c>
      <c r="L121" s="14"/>
      <c r="M121" s="14"/>
      <c r="N121" s="14"/>
      <c r="T121" s="13">
        <v>0</v>
      </c>
      <c r="U121" s="13">
        <v>46.587000000000003</v>
      </c>
      <c r="V121" s="13">
        <v>198.46700000000001</v>
      </c>
      <c r="W121" s="13">
        <v>446.57400000000001</v>
      </c>
    </row>
    <row r="122" spans="2:23" s="13" customFormat="1" x14ac:dyDescent="0.2">
      <c r="B122" s="13" t="s">
        <v>110</v>
      </c>
      <c r="C122" s="14"/>
      <c r="D122" s="14"/>
      <c r="E122" s="14"/>
      <c r="F122" s="14"/>
      <c r="G122" s="14"/>
      <c r="H122" s="14"/>
      <c r="I122" s="14"/>
      <c r="J122" s="14"/>
      <c r="K122" s="14">
        <v>645.04100000000005</v>
      </c>
      <c r="L122" s="14"/>
      <c r="M122" s="14"/>
      <c r="N122" s="14"/>
      <c r="T122" s="13">
        <v>0</v>
      </c>
      <c r="U122" s="13">
        <f>+T122+U121</f>
        <v>46.587000000000003</v>
      </c>
      <c r="V122" s="13">
        <f t="shared" ref="V122:W122" si="84">+U122+V121</f>
        <v>245.05400000000003</v>
      </c>
      <c r="W122" s="13">
        <f t="shared" si="84"/>
        <v>691.62800000000004</v>
      </c>
    </row>
    <row r="123" spans="2:23" s="15" customFormat="1" x14ac:dyDescent="0.2">
      <c r="B123" s="15" t="s">
        <v>111</v>
      </c>
      <c r="C123" s="16"/>
      <c r="D123" s="16"/>
      <c r="E123" s="16"/>
      <c r="F123" s="16"/>
      <c r="G123" s="16"/>
      <c r="H123" s="16"/>
      <c r="I123" s="16"/>
      <c r="J123" s="16"/>
      <c r="K123" s="17">
        <f>K122/K118</f>
        <v>4.3794489530099048</v>
      </c>
      <c r="L123" s="16"/>
      <c r="M123" s="16"/>
      <c r="N123" s="16"/>
      <c r="T123" s="17"/>
      <c r="U123" s="17">
        <f>U122/U118</f>
        <v>10.511507220216606</v>
      </c>
      <c r="V123" s="17">
        <f>V122/V118</f>
        <v>8.9966688087481526</v>
      </c>
      <c r="W123" s="17">
        <f t="shared" ref="W123" si="85">W122/W118</f>
        <v>5.3836863548964367</v>
      </c>
    </row>
    <row r="124" spans="2:23" s="13" customFormat="1" x14ac:dyDescent="0.2">
      <c r="C124" s="14"/>
      <c r="D124" s="14"/>
      <c r="E124" s="14"/>
      <c r="F124" s="14"/>
      <c r="G124" s="14"/>
      <c r="H124" s="14"/>
      <c r="I124" s="14"/>
      <c r="J124" s="14"/>
      <c r="K124" s="4"/>
      <c r="L124" s="14"/>
      <c r="M124" s="14"/>
      <c r="N124" s="14"/>
    </row>
    <row r="125" spans="2:23" s="13" customFormat="1" x14ac:dyDescent="0.2">
      <c r="B125" s="13" t="s">
        <v>113</v>
      </c>
      <c r="C125" s="14"/>
      <c r="D125" s="14"/>
      <c r="E125" s="14"/>
      <c r="F125" s="14"/>
      <c r="G125" s="14"/>
      <c r="H125" s="14"/>
      <c r="I125" s="14"/>
      <c r="J125" s="14"/>
      <c r="K125" s="14">
        <f>+K117-J117</f>
        <v>3.3795240000000604</v>
      </c>
      <c r="L125" s="14"/>
      <c r="M125" s="14"/>
      <c r="N125" s="14"/>
    </row>
    <row r="126" spans="2:23" s="13" customFormat="1" x14ac:dyDescent="0.2">
      <c r="B126" s="13" t="s">
        <v>114</v>
      </c>
      <c r="C126" s="14"/>
      <c r="D126" s="14"/>
      <c r="E126" s="14"/>
      <c r="F126" s="14"/>
      <c r="G126" s="14"/>
      <c r="H126" s="14"/>
      <c r="I126" s="14"/>
      <c r="J126" s="14"/>
      <c r="K126" s="14">
        <f>SUM(K127:K132)</f>
        <v>3.379524</v>
      </c>
      <c r="L126" s="14"/>
      <c r="M126" s="14"/>
      <c r="N126" s="14"/>
    </row>
    <row r="127" spans="2:23" s="13" customFormat="1" x14ac:dyDescent="0.2">
      <c r="B127" s="13" t="s">
        <v>112</v>
      </c>
      <c r="C127" s="14"/>
      <c r="D127" s="14"/>
      <c r="E127" s="14"/>
      <c r="F127" s="14"/>
      <c r="G127" s="14"/>
      <c r="H127" s="14"/>
      <c r="I127" s="14"/>
      <c r="J127" s="14"/>
      <c r="K127" s="14">
        <v>4.1043830000000003</v>
      </c>
      <c r="L127" s="14"/>
      <c r="M127" s="14"/>
      <c r="N127" s="14"/>
      <c r="U127" s="13">
        <v>15.565804999999999</v>
      </c>
      <c r="V127" s="13">
        <v>17.323096</v>
      </c>
      <c r="W127" s="13">
        <v>21.306000000000001</v>
      </c>
    </row>
    <row r="128" spans="2:23" s="13" customFormat="1" x14ac:dyDescent="0.2">
      <c r="B128" s="13" t="s">
        <v>115</v>
      </c>
      <c r="C128" s="14"/>
      <c r="D128" s="14"/>
      <c r="E128" s="14"/>
      <c r="F128" s="14"/>
      <c r="G128" s="14"/>
      <c r="H128" s="14"/>
      <c r="I128" s="14"/>
      <c r="J128" s="14"/>
      <c r="K128" s="14">
        <v>0.61831899999999995</v>
      </c>
      <c r="L128" s="14"/>
      <c r="M128" s="14"/>
      <c r="N128" s="14"/>
      <c r="W128" s="13">
        <v>1.0371980000000001</v>
      </c>
    </row>
    <row r="129" spans="2:23" s="13" customFormat="1" x14ac:dyDescent="0.2">
      <c r="B129" s="13" t="s">
        <v>116</v>
      </c>
      <c r="C129" s="14"/>
      <c r="D129" s="14"/>
      <c r="E129" s="14"/>
      <c r="F129" s="14"/>
      <c r="G129" s="14"/>
      <c r="H129" s="14"/>
      <c r="I129" s="14"/>
      <c r="J129" s="14"/>
      <c r="K129" s="14">
        <v>-1.399721</v>
      </c>
      <c r="L129" s="14"/>
      <c r="M129" s="14"/>
      <c r="N129" s="14"/>
      <c r="W129" s="13">
        <v>-6.8418390000000002</v>
      </c>
    </row>
    <row r="130" spans="2:23" x14ac:dyDescent="0.2">
      <c r="B130" s="13" t="s">
        <v>117</v>
      </c>
      <c r="K130" s="14">
        <v>0.25351099999999999</v>
      </c>
      <c r="W130" s="13">
        <v>0.67360799999999998</v>
      </c>
    </row>
    <row r="131" spans="2:23" x14ac:dyDescent="0.2">
      <c r="B131" s="13" t="s">
        <v>126</v>
      </c>
      <c r="K131" s="14"/>
      <c r="V131" s="13">
        <v>15.255179999999999</v>
      </c>
      <c r="W131" s="13">
        <v>0</v>
      </c>
    </row>
    <row r="132" spans="2:23" x14ac:dyDescent="0.2">
      <c r="B132" s="13" t="s">
        <v>118</v>
      </c>
      <c r="K132" s="14">
        <v>-0.196968</v>
      </c>
    </row>
    <row r="134" spans="2:23" x14ac:dyDescent="0.2">
      <c r="B134" s="13" t="s">
        <v>121</v>
      </c>
      <c r="J134" s="21">
        <v>1.584832</v>
      </c>
      <c r="K134" s="21">
        <v>1.269671</v>
      </c>
    </row>
    <row r="135" spans="2:23" x14ac:dyDescent="0.2">
      <c r="B135" s="13" t="s">
        <v>122</v>
      </c>
      <c r="J135" s="1">
        <v>0.95</v>
      </c>
      <c r="K135" s="1">
        <v>0.87</v>
      </c>
    </row>
    <row r="136" spans="2:23" x14ac:dyDescent="0.2">
      <c r="B136" s="13" t="s">
        <v>123</v>
      </c>
      <c r="J136" s="22">
        <v>39.143509000000002</v>
      </c>
      <c r="K136" s="22">
        <v>36.782063000000001</v>
      </c>
    </row>
    <row r="137" spans="2:23" x14ac:dyDescent="0.2">
      <c r="B137" s="13" t="s">
        <v>124</v>
      </c>
      <c r="J137" s="1">
        <v>6.53</v>
      </c>
      <c r="K137" s="1">
        <v>5.86</v>
      </c>
    </row>
    <row r="138" spans="2:23" x14ac:dyDescent="0.2">
      <c r="B138" s="13" t="s">
        <v>127</v>
      </c>
      <c r="T138">
        <v>10.27</v>
      </c>
      <c r="U138">
        <v>8.15</v>
      </c>
      <c r="V138">
        <v>7.45</v>
      </c>
      <c r="W138">
        <v>5.41</v>
      </c>
    </row>
    <row r="139" spans="2:23" x14ac:dyDescent="0.2">
      <c r="B139" s="13" t="s">
        <v>129</v>
      </c>
      <c r="U139" s="13">
        <f t="shared" ref="U139:V139" si="86">+U138*U127</f>
        <v>126.86131075</v>
      </c>
      <c r="V139" s="13">
        <f t="shared" si="86"/>
        <v>129.05706520000001</v>
      </c>
      <c r="W139" s="13">
        <f>+W138*W127</f>
        <v>115.26546</v>
      </c>
    </row>
  </sheetData>
  <hyperlinks>
    <hyperlink ref="A1" location="Main!A1" display="Main"/>
  </hyperlink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workbookViewId="0">
      <selection activeCell="C10" sqref="C10"/>
    </sheetView>
  </sheetViews>
  <sheetFormatPr defaultRowHeight="12.75" x14ac:dyDescent="0.2"/>
  <cols>
    <col min="2" max="2" width="18.5703125" customWidth="1"/>
  </cols>
  <sheetData>
    <row r="2" spans="2:4" x14ac:dyDescent="0.2">
      <c r="B2" t="s">
        <v>155</v>
      </c>
      <c r="C2" t="s">
        <v>156</v>
      </c>
      <c r="D2" t="s">
        <v>157</v>
      </c>
    </row>
    <row r="3" spans="2:4" x14ac:dyDescent="0.2">
      <c r="B3" t="s">
        <v>158</v>
      </c>
      <c r="C3" t="s">
        <v>156</v>
      </c>
      <c r="D3" t="s">
        <v>159</v>
      </c>
    </row>
    <row r="4" spans="2:4" x14ac:dyDescent="0.2">
      <c r="B4" t="s">
        <v>160</v>
      </c>
      <c r="C4" t="s">
        <v>161</v>
      </c>
      <c r="D4" t="s">
        <v>162</v>
      </c>
    </row>
    <row r="5" spans="2:4" x14ac:dyDescent="0.2">
      <c r="B5" t="s">
        <v>163</v>
      </c>
      <c r="C5" t="s">
        <v>156</v>
      </c>
      <c r="D5" t="s">
        <v>164</v>
      </c>
    </row>
    <row r="6" spans="2:4" x14ac:dyDescent="0.2">
      <c r="B6" t="s">
        <v>165</v>
      </c>
      <c r="C6" t="s">
        <v>166</v>
      </c>
      <c r="D6" t="s">
        <v>167</v>
      </c>
    </row>
    <row r="7" spans="2:4" x14ac:dyDescent="0.2">
      <c r="B7" t="s">
        <v>168</v>
      </c>
      <c r="C7" t="s">
        <v>161</v>
      </c>
      <c r="D7" t="s">
        <v>169</v>
      </c>
    </row>
    <row r="8" spans="2:4" x14ac:dyDescent="0.2">
      <c r="B8" t="s">
        <v>170</v>
      </c>
      <c r="C8" t="s">
        <v>171</v>
      </c>
      <c r="D8" t="s">
        <v>172</v>
      </c>
    </row>
    <row r="9" spans="2:4" x14ac:dyDescent="0.2">
      <c r="B9" t="s">
        <v>173</v>
      </c>
      <c r="C9" t="s">
        <v>171</v>
      </c>
      <c r="D9" t="s">
        <v>174</v>
      </c>
    </row>
    <row r="10" spans="2:4" x14ac:dyDescent="0.2">
      <c r="B10" t="s">
        <v>175</v>
      </c>
      <c r="C10" t="s">
        <v>156</v>
      </c>
      <c r="D10" t="s">
        <v>176</v>
      </c>
    </row>
    <row r="11" spans="2:4" x14ac:dyDescent="0.2">
      <c r="B11" t="s">
        <v>177</v>
      </c>
      <c r="C11" t="s">
        <v>178</v>
      </c>
      <c r="D11" t="s">
        <v>179</v>
      </c>
    </row>
    <row r="12" spans="2:4" x14ac:dyDescent="0.2">
      <c r="B12" t="s">
        <v>180</v>
      </c>
      <c r="C12" t="s">
        <v>171</v>
      </c>
      <c r="D12" t="s">
        <v>181</v>
      </c>
    </row>
    <row r="13" spans="2:4" x14ac:dyDescent="0.2">
      <c r="B13" t="s">
        <v>182</v>
      </c>
      <c r="C13" t="s">
        <v>178</v>
      </c>
      <c r="D13" t="s">
        <v>183</v>
      </c>
    </row>
    <row r="14" spans="2:4" x14ac:dyDescent="0.2">
      <c r="B14" t="s">
        <v>184</v>
      </c>
      <c r="C14" t="s">
        <v>171</v>
      </c>
      <c r="D14" t="s">
        <v>185</v>
      </c>
    </row>
    <row r="15" spans="2:4" x14ac:dyDescent="0.2">
      <c r="B15" t="s">
        <v>186</v>
      </c>
      <c r="C15" t="s">
        <v>187</v>
      </c>
      <c r="D15" t="s">
        <v>188</v>
      </c>
    </row>
    <row r="16" spans="2:4" x14ac:dyDescent="0.2">
      <c r="B16" t="s">
        <v>189</v>
      </c>
      <c r="C16" t="s">
        <v>190</v>
      </c>
      <c r="D16" t="s">
        <v>191</v>
      </c>
    </row>
    <row r="17" spans="2:4" x14ac:dyDescent="0.2">
      <c r="B17" t="s">
        <v>192</v>
      </c>
      <c r="C17" t="s">
        <v>166</v>
      </c>
      <c r="D17" t="s">
        <v>193</v>
      </c>
    </row>
    <row r="18" spans="2:4" x14ac:dyDescent="0.2">
      <c r="B18" t="s">
        <v>194</v>
      </c>
      <c r="C18" t="s">
        <v>171</v>
      </c>
      <c r="D18" t="s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2016-04-30T03:46:00Z</dcterms:created>
  <dcterms:modified xsi:type="dcterms:W3CDTF">2016-05-02T03:13:25Z</dcterms:modified>
</cp:coreProperties>
</file>