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16590" windowHeight="9525" activeTab="1"/>
  </bookViews>
  <sheets>
    <sheet name="Main" sheetId="1" r:id="rId1"/>
    <sheet name="Model" sheetId="2" r:id="rId2"/>
    <sheet name="Pennsai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1" i="2" l="1"/>
  <c r="X28" i="2"/>
  <c r="W28" i="2"/>
  <c r="N28" i="2"/>
  <c r="M28" i="2"/>
  <c r="L28" i="2"/>
  <c r="X14" i="2"/>
  <c r="W20" i="2"/>
  <c r="X12" i="2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X10" i="2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X9" i="2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Y7" i="2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X7" i="2"/>
  <c r="AJ5" i="2"/>
  <c r="AK5" i="2" s="1"/>
  <c r="AI5" i="2"/>
  <c r="AH5" i="2"/>
  <c r="AG5" i="2"/>
  <c r="AF5" i="2"/>
  <c r="AE5" i="2"/>
  <c r="AD5" i="2"/>
  <c r="Y5" i="2"/>
  <c r="Z5" i="2" s="1"/>
  <c r="AA5" i="2" s="1"/>
  <c r="AB5" i="2" s="1"/>
  <c r="AC5" i="2" s="1"/>
  <c r="X5" i="2"/>
  <c r="Y4" i="2"/>
  <c r="Z4" i="2" s="1"/>
  <c r="X4" i="2"/>
  <c r="Y26" i="2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X26" i="2"/>
  <c r="Z8" i="2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Y8" i="2"/>
  <c r="X8" i="2"/>
  <c r="Y6" i="2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X6" i="2"/>
  <c r="AK3" i="2"/>
  <c r="AJ3" i="2"/>
  <c r="AD3" i="2"/>
  <c r="AE3" i="2" s="1"/>
  <c r="AF3" i="2" s="1"/>
  <c r="AG3" i="2" s="1"/>
  <c r="AH3" i="2" s="1"/>
  <c r="AI3" i="2" s="1"/>
  <c r="AC3" i="2"/>
  <c r="AB3" i="2"/>
  <c r="AA3" i="2"/>
  <c r="Y3" i="2"/>
  <c r="Z3" i="2" s="1"/>
  <c r="X3" i="2"/>
  <c r="AJ2" i="2"/>
  <c r="AK2" i="2" s="1"/>
  <c r="W3" i="2"/>
  <c r="V31" i="2"/>
  <c r="N32" i="2"/>
  <c r="M32" i="2"/>
  <c r="L32" i="2"/>
  <c r="W26" i="2"/>
  <c r="N23" i="2"/>
  <c r="M23" i="2"/>
  <c r="L23" i="2"/>
  <c r="L24" i="2" s="1"/>
  <c r="L25" i="2" s="1"/>
  <c r="N24" i="2"/>
  <c r="N25" i="2" s="1"/>
  <c r="M24" i="2"/>
  <c r="M25" i="2" s="1"/>
  <c r="N22" i="2"/>
  <c r="M22" i="2"/>
  <c r="L22" i="2"/>
  <c r="W19" i="2"/>
  <c r="V19" i="2"/>
  <c r="V20" i="2" s="1"/>
  <c r="V15" i="2"/>
  <c r="W14" i="2"/>
  <c r="V14" i="2"/>
  <c r="W17" i="2"/>
  <c r="N17" i="2"/>
  <c r="N19" i="2" s="1"/>
  <c r="N20" i="2" s="1"/>
  <c r="M17" i="2"/>
  <c r="M19" i="2" s="1"/>
  <c r="M20" i="2" s="1"/>
  <c r="L17" i="2"/>
  <c r="L19" i="2" s="1"/>
  <c r="L20" i="2" s="1"/>
  <c r="V32" i="2"/>
  <c r="V17" i="2"/>
  <c r="G32" i="2"/>
  <c r="F32" i="2"/>
  <c r="E32" i="2"/>
  <c r="D32" i="2"/>
  <c r="J32" i="2"/>
  <c r="I32" i="2"/>
  <c r="H32" i="2"/>
  <c r="K32" i="2"/>
  <c r="W13" i="2"/>
  <c r="W32" i="2" s="1"/>
  <c r="V13" i="2"/>
  <c r="N31" i="2"/>
  <c r="M31" i="2"/>
  <c r="L31" i="2"/>
  <c r="W12" i="2"/>
  <c r="V12" i="2"/>
  <c r="W11" i="2"/>
  <c r="V11" i="2"/>
  <c r="W10" i="2"/>
  <c r="V10" i="2"/>
  <c r="W9" i="2"/>
  <c r="V9" i="2"/>
  <c r="W8" i="2"/>
  <c r="V8" i="2"/>
  <c r="W7" i="2"/>
  <c r="V7" i="2"/>
  <c r="W6" i="2"/>
  <c r="V6" i="2"/>
  <c r="W5" i="2"/>
  <c r="V5" i="2"/>
  <c r="W4" i="2"/>
  <c r="V4" i="2"/>
  <c r="V3" i="2"/>
  <c r="N15" i="2"/>
  <c r="M15" i="2"/>
  <c r="L15" i="2"/>
  <c r="N14" i="2"/>
  <c r="M14" i="2"/>
  <c r="L14" i="2"/>
  <c r="M12" i="2"/>
  <c r="N12" i="2" s="1"/>
  <c r="L12" i="2"/>
  <c r="M11" i="2"/>
  <c r="N11" i="2" s="1"/>
  <c r="L11" i="2"/>
  <c r="N10" i="2"/>
  <c r="M10" i="2"/>
  <c r="L10" i="2"/>
  <c r="N9" i="2"/>
  <c r="M9" i="2"/>
  <c r="L9" i="2"/>
  <c r="M8" i="2"/>
  <c r="N8" i="2" s="1"/>
  <c r="L8" i="2"/>
  <c r="N7" i="2"/>
  <c r="M7" i="2"/>
  <c r="L7" i="2"/>
  <c r="N6" i="2"/>
  <c r="M6" i="2"/>
  <c r="L6" i="2"/>
  <c r="N5" i="2"/>
  <c r="M5" i="2"/>
  <c r="L5" i="2"/>
  <c r="M4" i="2"/>
  <c r="N4" i="2" s="1"/>
  <c r="L4" i="2"/>
  <c r="M3" i="2"/>
  <c r="N3" i="2" s="1"/>
  <c r="L3" i="2"/>
  <c r="D31" i="2"/>
  <c r="D19" i="2"/>
  <c r="D15" i="2"/>
  <c r="H31" i="2"/>
  <c r="H21" i="2"/>
  <c r="H19" i="2"/>
  <c r="H15" i="2"/>
  <c r="H13" i="2"/>
  <c r="D13" i="2"/>
  <c r="E19" i="2"/>
  <c r="I21" i="2"/>
  <c r="I18" i="2"/>
  <c r="I17" i="2"/>
  <c r="I19" i="2" s="1"/>
  <c r="I16" i="2"/>
  <c r="I14" i="2"/>
  <c r="I15" i="2"/>
  <c r="I31" i="2" s="1"/>
  <c r="E13" i="2"/>
  <c r="E15" i="2" s="1"/>
  <c r="I13" i="2"/>
  <c r="F31" i="2"/>
  <c r="F21" i="2"/>
  <c r="F19" i="2"/>
  <c r="F15" i="2"/>
  <c r="J19" i="2"/>
  <c r="J15" i="2"/>
  <c r="J31" i="2" s="1"/>
  <c r="F13" i="2"/>
  <c r="J13" i="2"/>
  <c r="T2" i="2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S2" i="2"/>
  <c r="R2" i="2"/>
  <c r="K21" i="2"/>
  <c r="K17" i="2"/>
  <c r="K16" i="2"/>
  <c r="K14" i="2"/>
  <c r="K18" i="2"/>
  <c r="G21" i="2"/>
  <c r="G19" i="2"/>
  <c r="G13" i="2"/>
  <c r="G15" i="2" s="1"/>
  <c r="G31" i="2" s="1"/>
  <c r="K19" i="2"/>
  <c r="K13" i="2"/>
  <c r="K15" i="2" s="1"/>
  <c r="K6" i="1"/>
  <c r="K5" i="1"/>
  <c r="K4" i="1"/>
  <c r="K7" i="1" s="1"/>
  <c r="X13" i="2" l="1"/>
  <c r="X17" i="2" s="1"/>
  <c r="Y13" i="2"/>
  <c r="Y14" i="2" s="1"/>
  <c r="Z13" i="2"/>
  <c r="Z14" i="2" s="1"/>
  <c r="AA4" i="2"/>
  <c r="X19" i="2"/>
  <c r="X32" i="2"/>
  <c r="X15" i="2"/>
  <c r="AK26" i="2"/>
  <c r="W15" i="2"/>
  <c r="W31" i="2" s="1"/>
  <c r="M13" i="2"/>
  <c r="L13" i="2"/>
  <c r="N13" i="2"/>
  <c r="D20" i="2"/>
  <c r="D22" i="2" s="1"/>
  <c r="D24" i="2" s="1"/>
  <c r="D25" i="2" s="1"/>
  <c r="H20" i="2"/>
  <c r="H22" i="2" s="1"/>
  <c r="H24" i="2" s="1"/>
  <c r="H25" i="2" s="1"/>
  <c r="E20" i="2"/>
  <c r="E22" i="2" s="1"/>
  <c r="E24" i="2" s="1"/>
  <c r="E25" i="2" s="1"/>
  <c r="E31" i="2"/>
  <c r="I20" i="2"/>
  <c r="I22" i="2" s="1"/>
  <c r="I24" i="2" s="1"/>
  <c r="I25" i="2" s="1"/>
  <c r="F20" i="2"/>
  <c r="F22" i="2" s="1"/>
  <c r="F24" i="2" s="1"/>
  <c r="F25" i="2" s="1"/>
  <c r="J20" i="2"/>
  <c r="K31" i="2"/>
  <c r="K20" i="2"/>
  <c r="K22" i="2" s="1"/>
  <c r="K24" i="2" s="1"/>
  <c r="K25" i="2" s="1"/>
  <c r="G20" i="2"/>
  <c r="G22" i="2"/>
  <c r="G24" i="2" s="1"/>
  <c r="G25" i="2" s="1"/>
  <c r="X31" i="2" l="1"/>
  <c r="X20" i="2"/>
  <c r="Y17" i="2"/>
  <c r="Y15" i="2"/>
  <c r="AA13" i="2"/>
  <c r="AA14" i="2" s="1"/>
  <c r="AB4" i="2"/>
  <c r="Z17" i="2"/>
  <c r="Z15" i="2"/>
  <c r="X22" i="2"/>
  <c r="X23" i="2" s="1"/>
  <c r="X24" i="2" s="1"/>
  <c r="X25" i="2" s="1"/>
  <c r="W22" i="2"/>
  <c r="W23" i="2" s="1"/>
  <c r="W24" i="2" s="1"/>
  <c r="W25" i="2" s="1"/>
  <c r="J22" i="2"/>
  <c r="J24" i="2" s="1"/>
  <c r="J25" i="2" s="1"/>
  <c r="Y31" i="2" l="1"/>
  <c r="Y19" i="2"/>
  <c r="Y32" i="2"/>
  <c r="AB13" i="2"/>
  <c r="AB14" i="2" s="1"/>
  <c r="AC4" i="2"/>
  <c r="Z31" i="2"/>
  <c r="Z32" i="2"/>
  <c r="Z19" i="2"/>
  <c r="AA17" i="2"/>
  <c r="AA15" i="2"/>
  <c r="Y20" i="2" l="1"/>
  <c r="Y22" i="2" s="1"/>
  <c r="Y23" i="2" s="1"/>
  <c r="Y24" i="2" s="1"/>
  <c r="Y28" i="2" s="1"/>
  <c r="Z20" i="2"/>
  <c r="AA31" i="2"/>
  <c r="AA19" i="2"/>
  <c r="AA32" i="2"/>
  <c r="AC13" i="2"/>
  <c r="AC14" i="2" s="1"/>
  <c r="AD4" i="2"/>
  <c r="AB17" i="2"/>
  <c r="AB15" i="2"/>
  <c r="Z21" i="2" l="1"/>
  <c r="Z22" i="2" s="1"/>
  <c r="Z23" i="2" s="1"/>
  <c r="Z24" i="2" s="1"/>
  <c r="Y25" i="2"/>
  <c r="AA20" i="2"/>
  <c r="AC17" i="2"/>
  <c r="AC15" i="2"/>
  <c r="AB31" i="2"/>
  <c r="AB32" i="2"/>
  <c r="AB19" i="2"/>
  <c r="AB20" i="2" s="1"/>
  <c r="AD13" i="2"/>
  <c r="AD14" i="2" s="1"/>
  <c r="AE4" i="2"/>
  <c r="Z25" i="2" l="1"/>
  <c r="Z28" i="2"/>
  <c r="AC31" i="2"/>
  <c r="AD17" i="2"/>
  <c r="AD15" i="2"/>
  <c r="AE13" i="2"/>
  <c r="AE14" i="2" s="1"/>
  <c r="AF4" i="2"/>
  <c r="AG4" i="2" s="1"/>
  <c r="AH4" i="2" s="1"/>
  <c r="AC19" i="2"/>
  <c r="AC32" i="2"/>
  <c r="AA21" i="2" l="1"/>
  <c r="AA22" i="2" s="1"/>
  <c r="AA23" i="2" s="1"/>
  <c r="AA24" i="2" s="1"/>
  <c r="AA28" i="2" s="1"/>
  <c r="AI4" i="2"/>
  <c r="AH13" i="2"/>
  <c r="AC20" i="2"/>
  <c r="AD31" i="2"/>
  <c r="AG13" i="2"/>
  <c r="AG14" i="2" s="1"/>
  <c r="AF13" i="2"/>
  <c r="AF14" i="2" s="1"/>
  <c r="AD32" i="2"/>
  <c r="AD19" i="2"/>
  <c r="AE17" i="2"/>
  <c r="AE15" i="2"/>
  <c r="AB21" i="2" l="1"/>
  <c r="AB22" i="2" s="1"/>
  <c r="AB23" i="2" s="1"/>
  <c r="AB24" i="2" s="1"/>
  <c r="AB25" i="2" s="1"/>
  <c r="AA25" i="2"/>
  <c r="AH17" i="2"/>
  <c r="AH14" i="2"/>
  <c r="AH15" i="2" s="1"/>
  <c r="AD20" i="2"/>
  <c r="AI13" i="2"/>
  <c r="AJ4" i="2"/>
  <c r="AE31" i="2"/>
  <c r="AF15" i="2"/>
  <c r="AF31" i="2" s="1"/>
  <c r="AF17" i="2"/>
  <c r="AE19" i="2"/>
  <c r="AE20" i="2" s="1"/>
  <c r="AE32" i="2"/>
  <c r="AG17" i="2"/>
  <c r="AG15" i="2"/>
  <c r="AB28" i="2" l="1"/>
  <c r="AH31" i="2"/>
  <c r="AK4" i="2"/>
  <c r="AK13" i="2" s="1"/>
  <c r="AJ13" i="2"/>
  <c r="AH19" i="2"/>
  <c r="AH20" i="2" s="1"/>
  <c r="AH32" i="2"/>
  <c r="AI17" i="2"/>
  <c r="AI14" i="2"/>
  <c r="AI15" i="2"/>
  <c r="AG31" i="2"/>
  <c r="AG19" i="2"/>
  <c r="AG32" i="2"/>
  <c r="AF19" i="2"/>
  <c r="AF20" i="2" s="1"/>
  <c r="AF32" i="2"/>
  <c r="AC21" i="2" l="1"/>
  <c r="AC22" i="2" s="1"/>
  <c r="AC23" i="2" s="1"/>
  <c r="AC24" i="2" s="1"/>
  <c r="AC25" i="2" s="1"/>
  <c r="AI19" i="2"/>
  <c r="AI32" i="2"/>
  <c r="AK14" i="2"/>
  <c r="AK17" i="2"/>
  <c r="AK15" i="2"/>
  <c r="AK31" i="2" s="1"/>
  <c r="AG20" i="2"/>
  <c r="AJ14" i="2"/>
  <c r="AJ17" i="2"/>
  <c r="AJ15" i="2"/>
  <c r="AJ31" i="2" s="1"/>
  <c r="AI31" i="2"/>
  <c r="AI20" i="2"/>
  <c r="AC28" i="2" l="1"/>
  <c r="AJ19" i="2"/>
  <c r="AJ20" i="2" s="1"/>
  <c r="AJ32" i="2"/>
  <c r="AK19" i="2"/>
  <c r="AK20" i="2" s="1"/>
  <c r="AK32" i="2"/>
  <c r="AD21" i="2" l="1"/>
  <c r="AD22" i="2" s="1"/>
  <c r="AD23" i="2" s="1"/>
  <c r="AD24" i="2" s="1"/>
  <c r="AD25" i="2" s="1"/>
  <c r="AD28" i="2" l="1"/>
  <c r="AE21" i="2" l="1"/>
  <c r="AE22" i="2" s="1"/>
  <c r="AE23" i="2" s="1"/>
  <c r="AE24" i="2" s="1"/>
  <c r="AE25" i="2" l="1"/>
  <c r="AE28" i="2"/>
  <c r="AF28" i="2" l="1"/>
  <c r="AF21" i="2"/>
  <c r="AF22" i="2" s="1"/>
  <c r="AF23" i="2" s="1"/>
  <c r="AF24" i="2" s="1"/>
  <c r="AF25" i="2" l="1"/>
  <c r="AG21" i="2"/>
  <c r="AG22" i="2" s="1"/>
  <c r="AG23" i="2" s="1"/>
  <c r="AG24" i="2" s="1"/>
  <c r="AG25" i="2" s="1"/>
  <c r="AG28" i="2" l="1"/>
  <c r="AH28" i="2" l="1"/>
  <c r="AH21" i="2"/>
  <c r="AH22" i="2" s="1"/>
  <c r="AH23" i="2" s="1"/>
  <c r="AH24" i="2" s="1"/>
  <c r="AH25" i="2" l="1"/>
  <c r="AI21" i="2"/>
  <c r="AI22" i="2" s="1"/>
  <c r="AI23" i="2" s="1"/>
  <c r="AI24" i="2" s="1"/>
  <c r="AI25" i="2" s="1"/>
  <c r="AI28" i="2" l="1"/>
  <c r="AJ21" i="2" l="1"/>
  <c r="AJ22" i="2" s="1"/>
  <c r="AJ23" i="2" s="1"/>
  <c r="AJ24" i="2" s="1"/>
  <c r="AJ28" i="2" s="1"/>
  <c r="AK28" i="2" l="1"/>
  <c r="AK21" i="2"/>
  <c r="AK22" i="2" s="1"/>
  <c r="AK23" i="2" s="1"/>
  <c r="AK24" i="2" s="1"/>
  <c r="AJ25" i="2"/>
  <c r="AL24" i="2" l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AK25" i="2"/>
  <c r="BL24" i="2" l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AN31" i="2"/>
  <c r="AN32" i="2" s="1"/>
</calcChain>
</file>

<file path=xl/comments1.xml><?xml version="1.0" encoding="utf-8"?>
<comments xmlns="http://schemas.openxmlformats.org/spreadsheetml/2006/main">
  <authors>
    <author>Martin Shkreli</author>
  </authors>
  <commentList>
    <comment ref="AB3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Allergan
Taro
Lupin still not settled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Teligent settlement
Amneal settlement
Perrigo settlement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2023 settlement with Par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2026 expiry</t>
        </r>
      </text>
    </comment>
  </commentList>
</comments>
</file>

<file path=xl/sharedStrings.xml><?xml version="1.0" encoding="utf-8"?>
<sst xmlns="http://schemas.openxmlformats.org/spreadsheetml/2006/main" count="100" uniqueCount="78">
  <si>
    <t>Price</t>
  </si>
  <si>
    <t>Shares</t>
  </si>
  <si>
    <t>MC</t>
  </si>
  <si>
    <t>Cash</t>
  </si>
  <si>
    <t>Debt</t>
  </si>
  <si>
    <t>EV</t>
  </si>
  <si>
    <t>Q116</t>
  </si>
  <si>
    <t>Brand</t>
  </si>
  <si>
    <t>Generic</t>
  </si>
  <si>
    <t>Main</t>
  </si>
  <si>
    <t>Revenue</t>
  </si>
  <si>
    <t>Q114</t>
  </si>
  <si>
    <t>Q214</t>
  </si>
  <si>
    <t>Q314</t>
  </si>
  <si>
    <t>Q414</t>
  </si>
  <si>
    <t>Q115</t>
  </si>
  <si>
    <t>Vimovo</t>
  </si>
  <si>
    <t>Pennsaid</t>
  </si>
  <si>
    <t>Krystexxa</t>
  </si>
  <si>
    <t>Actimmune</t>
  </si>
  <si>
    <t>Ravicti</t>
  </si>
  <si>
    <t>Duexis</t>
  </si>
  <si>
    <t>Rayos</t>
  </si>
  <si>
    <t>Buphenyl</t>
  </si>
  <si>
    <t>Migergot</t>
  </si>
  <si>
    <t>Lodotra</t>
  </si>
  <si>
    <t>Q215</t>
  </si>
  <si>
    <t>Q315</t>
  </si>
  <si>
    <t>Q415</t>
  </si>
  <si>
    <t>Q216</t>
  </si>
  <si>
    <t>Q316</t>
  </si>
  <si>
    <t>Q416</t>
  </si>
  <si>
    <t>Gross Margin</t>
  </si>
  <si>
    <t>EPS</t>
  </si>
  <si>
    <t>Net Income</t>
  </si>
  <si>
    <t>Taxes</t>
  </si>
  <si>
    <t>Pretax Income</t>
  </si>
  <si>
    <t>Interest Income</t>
  </si>
  <si>
    <t>Operating Expenses</t>
  </si>
  <si>
    <t>Operating Income</t>
  </si>
  <si>
    <t>G&amp;A</t>
  </si>
  <si>
    <t>S&amp;M</t>
  </si>
  <si>
    <t>R&amp;D</t>
  </si>
  <si>
    <t>COGS</t>
  </si>
  <si>
    <t>Brand Name</t>
  </si>
  <si>
    <t>Generic Name</t>
  </si>
  <si>
    <t>diclofenac</t>
  </si>
  <si>
    <t>Administration</t>
  </si>
  <si>
    <t>Topical</t>
  </si>
  <si>
    <t>IP</t>
  </si>
  <si>
    <t>8217078 (MOU, not impressive, 7/10/2029)</t>
  </si>
  <si>
    <t>8252838 (formulation patent, not impressive, 4/21/2028)</t>
  </si>
  <si>
    <t>8546450 (MOU, not impressive, 8/9/2030)</t>
  </si>
  <si>
    <t>8563613 (formulation patent, 10/17/2027)</t>
  </si>
  <si>
    <t>8618164 (MOU, not impressive, 7/10/2029)</t>
  </si>
  <si>
    <t>8741956 (MOU, not impressive, 7/10/2029)</t>
  </si>
  <si>
    <t>8871809 (formulation, not impressive, 10/17/2027)</t>
  </si>
  <si>
    <t>9066913 (formulation with humidity claim, 10/17/2027)</t>
  </si>
  <si>
    <t>ANDAs</t>
  </si>
  <si>
    <t>Diclofenac Sodium Topical Solution 1.5% Pennsaid 7/11/2012</t>
  </si>
  <si>
    <t>Diclofenac Sodium Topical Solution 2.0% Pennsaid 6/3/2014</t>
  </si>
  <si>
    <t>SKUs</t>
  </si>
  <si>
    <t>2.0% approved 1/16/2014</t>
  </si>
  <si>
    <t>1.5% approved 11/4/2009</t>
  </si>
  <si>
    <t>3/30/2015: $1.1bn for Hyperion.</t>
  </si>
  <si>
    <t>Approved</t>
  </si>
  <si>
    <t>MOA</t>
  </si>
  <si>
    <t>Economics</t>
  </si>
  <si>
    <t>pegloticase</t>
  </si>
  <si>
    <t>interferon</t>
  </si>
  <si>
    <t>famotidine, ibuprofen</t>
  </si>
  <si>
    <t>Oral</t>
  </si>
  <si>
    <t>Ibuprofen</t>
  </si>
  <si>
    <t>NPV</t>
  </si>
  <si>
    <t>Discount</t>
  </si>
  <si>
    <t>Share</t>
  </si>
  <si>
    <t>Maturity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</si>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</sst>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0" fontId="2" fillId="0" borderId="0" xfId="1"/>
    <xf numFmtId="0" fontId="0" fillId="0" borderId="0" xfId="0" applyAlignment="1"/>
    <xf numFmtId="0" fontId="0" fillId="0" borderId="0" xfId="0" applyFill="1" applyBorder="1"/>
    <xf numFmtId="14" fontId="0" fillId="0" borderId="0" xfId="0" applyNumberFormat="1" applyBorder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66675</xdr:rowOff>
    </xdr:from>
    <xdr:to>
      <xdr:col>11</xdr:col>
      <xdr:colOff>28575</xdr:colOff>
      <xdr:row>43</xdr:row>
      <xdr:rowOff>47625</xdr:rowOff>
    </xdr:to>
    <xdr:cxnSp macro="">
      <xdr:nvCxnSpPr>
        <xdr:cNvPr id="3" name="Straight Connector 2"/>
        <xdr:cNvCxnSpPr/>
      </xdr:nvCxnSpPr>
      <xdr:spPr>
        <a:xfrm>
          <a:off x="7058025" y="66675"/>
          <a:ext cx="0" cy="678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0</xdr:row>
      <xdr:rowOff>114300</xdr:rowOff>
    </xdr:from>
    <xdr:to>
      <xdr:col>22</xdr:col>
      <xdr:colOff>28575</xdr:colOff>
      <xdr:row>45</xdr:row>
      <xdr:rowOff>57150</xdr:rowOff>
    </xdr:to>
    <xdr:cxnSp macro="">
      <xdr:nvCxnSpPr>
        <xdr:cNvPr id="4" name="Straight Connector 3"/>
        <xdr:cNvCxnSpPr/>
      </xdr:nvCxnSpPr>
      <xdr:spPr>
        <a:xfrm>
          <a:off x="13763625" y="114300"/>
          <a:ext cx="0" cy="706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K8" sqref="K8"/>
    </sheetView>
  </sheetViews>
  <sheetFormatPr defaultRowHeight="12.75" x14ac:dyDescent="0.2"/>
  <cols>
    <col min="1" max="1" width="6.28515625" customWidth="1"/>
    <col min="2" max="2" width="13" customWidth="1"/>
    <col min="3" max="3" width="18.28515625" bestFit="1" customWidth="1"/>
    <col min="4" max="4" width="14.42578125" customWidth="1"/>
    <col min="5" max="5" width="10.5703125" customWidth="1"/>
    <col min="7" max="7" width="11.28515625" customWidth="1"/>
  </cols>
  <sheetData>
    <row r="2" spans="2:12" x14ac:dyDescent="0.2">
      <c r="B2" s="4" t="s">
        <v>7</v>
      </c>
      <c r="C2" s="5" t="s">
        <v>8</v>
      </c>
      <c r="D2" s="5" t="s">
        <v>47</v>
      </c>
      <c r="E2" s="5" t="s">
        <v>65</v>
      </c>
      <c r="F2" s="5" t="s">
        <v>66</v>
      </c>
      <c r="G2" s="5" t="s">
        <v>67</v>
      </c>
      <c r="H2" s="6" t="s">
        <v>49</v>
      </c>
      <c r="J2" t="s">
        <v>0</v>
      </c>
      <c r="K2" s="1">
        <v>18</v>
      </c>
    </row>
    <row r="3" spans="2:12" x14ac:dyDescent="0.2">
      <c r="B3" s="7" t="s">
        <v>16</v>
      </c>
      <c r="C3" s="8"/>
      <c r="D3" s="8"/>
      <c r="E3" s="8"/>
      <c r="F3" s="8"/>
      <c r="G3" s="8"/>
      <c r="H3" s="9"/>
      <c r="J3" t="s">
        <v>1</v>
      </c>
      <c r="K3" s="2">
        <v>160.35670500000001</v>
      </c>
      <c r="L3" s="3" t="s">
        <v>6</v>
      </c>
    </row>
    <row r="4" spans="2:12" x14ac:dyDescent="0.2">
      <c r="B4" s="7" t="s">
        <v>17</v>
      </c>
      <c r="C4" s="8" t="s">
        <v>46</v>
      </c>
      <c r="D4" s="8" t="s">
        <v>48</v>
      </c>
      <c r="E4" s="8"/>
      <c r="F4" s="8"/>
      <c r="G4" s="8"/>
      <c r="H4" s="9"/>
      <c r="J4" t="s">
        <v>2</v>
      </c>
      <c r="K4" s="2">
        <f>+K3*K2</f>
        <v>2886.4206899999999</v>
      </c>
      <c r="L4" s="3"/>
    </row>
    <row r="5" spans="2:12" x14ac:dyDescent="0.2">
      <c r="B5" s="7" t="s">
        <v>18</v>
      </c>
      <c r="C5" s="8" t="s">
        <v>68</v>
      </c>
      <c r="D5" s="8"/>
      <c r="E5" s="8"/>
      <c r="F5" s="8"/>
      <c r="G5" s="8"/>
      <c r="H5" s="9"/>
      <c r="J5" t="s">
        <v>3</v>
      </c>
      <c r="K5" s="2">
        <f>385.853+2.778</f>
        <v>388.63100000000003</v>
      </c>
      <c r="L5" s="3" t="s">
        <v>6</v>
      </c>
    </row>
    <row r="6" spans="2:12" x14ac:dyDescent="0.2">
      <c r="B6" s="7" t="s">
        <v>19</v>
      </c>
      <c r="C6" s="22" t="s">
        <v>69</v>
      </c>
      <c r="D6" s="8"/>
      <c r="E6" s="8"/>
      <c r="F6" s="8"/>
      <c r="G6" s="8"/>
      <c r="H6" s="9"/>
      <c r="J6" t="s">
        <v>4</v>
      </c>
      <c r="K6" s="2">
        <f>4+286.558+849.622</f>
        <v>1140.1799999999998</v>
      </c>
      <c r="L6" s="3" t="s">
        <v>6</v>
      </c>
    </row>
    <row r="7" spans="2:12" x14ac:dyDescent="0.2">
      <c r="B7" s="7" t="s">
        <v>20</v>
      </c>
      <c r="C7" s="8"/>
      <c r="D7" s="8"/>
      <c r="E7" s="8"/>
      <c r="F7" s="8"/>
      <c r="G7" s="8"/>
      <c r="H7" s="9"/>
      <c r="J7" t="s">
        <v>5</v>
      </c>
      <c r="K7" s="2">
        <f>+K4-K5+K6</f>
        <v>3637.9696899999999</v>
      </c>
    </row>
    <row r="8" spans="2:12" x14ac:dyDescent="0.2">
      <c r="B8" s="7" t="s">
        <v>21</v>
      </c>
      <c r="C8" s="22" t="s">
        <v>70</v>
      </c>
      <c r="D8" s="8" t="s">
        <v>71</v>
      </c>
      <c r="E8" s="23">
        <v>40656</v>
      </c>
      <c r="F8" s="22" t="s">
        <v>72</v>
      </c>
      <c r="G8" s="8"/>
      <c r="H8" s="9">
        <v>2026</v>
      </c>
      <c r="K8" s="1"/>
    </row>
    <row r="9" spans="2:12" x14ac:dyDescent="0.2">
      <c r="B9" s="7" t="s">
        <v>22</v>
      </c>
      <c r="C9" s="8"/>
      <c r="D9" s="8"/>
      <c r="E9" s="8"/>
      <c r="F9" s="8"/>
      <c r="G9" s="8"/>
      <c r="H9" s="9"/>
      <c r="K9" s="1"/>
    </row>
    <row r="10" spans="2:12" x14ac:dyDescent="0.2">
      <c r="B10" s="7" t="s">
        <v>23</v>
      </c>
      <c r="C10" s="8"/>
      <c r="D10" s="8"/>
      <c r="E10" s="8"/>
      <c r="F10" s="8"/>
      <c r="G10" s="8"/>
      <c r="H10" s="9"/>
      <c r="K10" s="2"/>
    </row>
    <row r="11" spans="2:12" x14ac:dyDescent="0.2">
      <c r="B11" s="7" t="s">
        <v>24</v>
      </c>
      <c r="C11" s="8"/>
      <c r="D11" s="8"/>
      <c r="E11" s="8"/>
      <c r="F11" s="8"/>
      <c r="G11" s="8"/>
      <c r="H11" s="9"/>
      <c r="K11" s="2"/>
    </row>
    <row r="12" spans="2:12" x14ac:dyDescent="0.2">
      <c r="B12" s="7" t="s">
        <v>25</v>
      </c>
      <c r="C12" s="8"/>
      <c r="D12" s="8"/>
      <c r="E12" s="8"/>
      <c r="F12" s="8"/>
      <c r="G12" s="8"/>
      <c r="H12" s="9"/>
      <c r="K12" s="2"/>
    </row>
    <row r="13" spans="2:12" x14ac:dyDescent="0.2">
      <c r="B13" s="4"/>
      <c r="C13" s="5"/>
      <c r="D13" s="5"/>
      <c r="E13" s="5"/>
      <c r="F13" s="5"/>
      <c r="G13" s="5"/>
      <c r="H13" s="6"/>
    </row>
    <row r="14" spans="2:12" x14ac:dyDescent="0.2">
      <c r="B14" s="7"/>
      <c r="C14" s="8"/>
      <c r="D14" s="8"/>
      <c r="E14" s="8"/>
      <c r="F14" s="8"/>
      <c r="G14" s="8"/>
      <c r="H14" s="9"/>
    </row>
    <row r="15" spans="2:12" x14ac:dyDescent="0.2">
      <c r="B15" s="7"/>
      <c r="C15" s="8"/>
      <c r="D15" s="8"/>
      <c r="E15" s="8"/>
      <c r="F15" s="8"/>
      <c r="G15" s="8"/>
      <c r="H15" s="9"/>
    </row>
    <row r="16" spans="2:12" x14ac:dyDescent="0.2">
      <c r="B16" s="7"/>
      <c r="C16" s="8"/>
      <c r="D16" s="8"/>
      <c r="E16" s="8"/>
      <c r="F16" s="8"/>
      <c r="G16" s="8"/>
      <c r="H16" s="9"/>
    </row>
    <row r="17" spans="2:8" x14ac:dyDescent="0.2">
      <c r="B17" s="7"/>
      <c r="C17" s="8"/>
      <c r="D17" s="8"/>
      <c r="E17" s="8"/>
      <c r="F17" s="8"/>
      <c r="G17" s="8"/>
      <c r="H17" s="9"/>
    </row>
    <row r="18" spans="2:8" x14ac:dyDescent="0.2">
      <c r="B18" s="7"/>
      <c r="C18" s="8"/>
      <c r="D18" s="8"/>
      <c r="E18" s="8"/>
      <c r="F18" s="8"/>
      <c r="G18" s="8"/>
      <c r="H18" s="9"/>
    </row>
    <row r="19" spans="2:8" x14ac:dyDescent="0.2">
      <c r="B19" s="7"/>
      <c r="C19" s="8"/>
      <c r="D19" s="8"/>
      <c r="E19" s="8"/>
      <c r="F19" s="8"/>
      <c r="G19" s="8"/>
      <c r="H19" s="9"/>
    </row>
    <row r="20" spans="2:8" x14ac:dyDescent="0.2">
      <c r="B20" s="7"/>
      <c r="C20" s="8"/>
      <c r="D20" s="8"/>
      <c r="E20" s="8"/>
      <c r="F20" s="8"/>
      <c r="G20" s="8"/>
      <c r="H20" s="9"/>
    </row>
    <row r="21" spans="2:8" x14ac:dyDescent="0.2">
      <c r="B21" s="7"/>
      <c r="C21" s="8"/>
      <c r="D21" s="8"/>
      <c r="E21" s="8"/>
      <c r="F21" s="8"/>
      <c r="G21" s="8"/>
      <c r="H21" s="9"/>
    </row>
    <row r="22" spans="2:8" x14ac:dyDescent="0.2">
      <c r="B22" s="10"/>
      <c r="C22" s="11"/>
      <c r="D22" s="11"/>
      <c r="E22" s="11"/>
      <c r="F22" s="11"/>
      <c r="G22" s="11"/>
      <c r="H22" s="12"/>
    </row>
    <row r="25" spans="2:8" x14ac:dyDescent="0.2">
      <c r="B2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32"/>
  <sheetViews>
    <sheetView tabSelected="1"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M21" sqref="AM21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3"/>
    <col min="40" max="40" width="9.7109375" bestFit="1" customWidth="1"/>
  </cols>
  <sheetData>
    <row r="1" spans="1:37" x14ac:dyDescent="0.2">
      <c r="A1" s="20" t="s">
        <v>9</v>
      </c>
    </row>
    <row r="2" spans="1:37" x14ac:dyDescent="0.2"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26</v>
      </c>
      <c r="I2" s="3" t="s">
        <v>27</v>
      </c>
      <c r="J2" s="3" t="s">
        <v>28</v>
      </c>
      <c r="K2" s="3" t="s">
        <v>6</v>
      </c>
      <c r="L2" s="3" t="s">
        <v>29</v>
      </c>
      <c r="M2" s="3" t="s">
        <v>30</v>
      </c>
      <c r="N2" s="3" t="s">
        <v>31</v>
      </c>
      <c r="Q2">
        <v>2010</v>
      </c>
      <c r="R2">
        <f>+Q2+1</f>
        <v>2011</v>
      </c>
      <c r="S2">
        <f t="shared" ref="S2:AK2" si="0">+R2+1</f>
        <v>2012</v>
      </c>
      <c r="T2">
        <f t="shared" si="0"/>
        <v>2013</v>
      </c>
      <c r="U2">
        <f t="shared" si="0"/>
        <v>2014</v>
      </c>
      <c r="V2">
        <f t="shared" si="0"/>
        <v>2015</v>
      </c>
      <c r="W2">
        <f t="shared" si="0"/>
        <v>2016</v>
      </c>
      <c r="X2">
        <f t="shared" si="0"/>
        <v>2017</v>
      </c>
      <c r="Y2">
        <f t="shared" si="0"/>
        <v>2018</v>
      </c>
      <c r="Z2">
        <f t="shared" si="0"/>
        <v>2019</v>
      </c>
      <c r="AA2">
        <f t="shared" si="0"/>
        <v>2020</v>
      </c>
      <c r="AB2">
        <f t="shared" si="0"/>
        <v>2021</v>
      </c>
      <c r="AC2">
        <f t="shared" si="0"/>
        <v>2022</v>
      </c>
      <c r="AD2">
        <f t="shared" si="0"/>
        <v>2023</v>
      </c>
      <c r="AE2">
        <f t="shared" si="0"/>
        <v>2024</v>
      </c>
      <c r="AF2">
        <f t="shared" si="0"/>
        <v>2025</v>
      </c>
      <c r="AG2">
        <f t="shared" si="0"/>
        <v>2026</v>
      </c>
      <c r="AH2">
        <f t="shared" si="0"/>
        <v>2027</v>
      </c>
      <c r="AI2">
        <f t="shared" si="0"/>
        <v>2028</v>
      </c>
      <c r="AJ2">
        <f t="shared" si="0"/>
        <v>2029</v>
      </c>
      <c r="AK2">
        <f t="shared" si="0"/>
        <v>2030</v>
      </c>
    </row>
    <row r="3" spans="1:37" s="13" customFormat="1" x14ac:dyDescent="0.2">
      <c r="B3" s="13" t="s">
        <v>17</v>
      </c>
      <c r="C3" s="14"/>
      <c r="D3" s="14">
        <v>0</v>
      </c>
      <c r="E3" s="14">
        <v>0</v>
      </c>
      <c r="F3" s="14">
        <v>0</v>
      </c>
      <c r="G3" s="19">
        <v>18.260000000000002</v>
      </c>
      <c r="H3" s="19">
        <v>29.4</v>
      </c>
      <c r="I3" s="19">
        <v>43.9</v>
      </c>
      <c r="J3" s="19">
        <v>55.4</v>
      </c>
      <c r="K3" s="19">
        <v>54.993000000000002</v>
      </c>
      <c r="L3" s="14">
        <f>+K3+5</f>
        <v>59.993000000000002</v>
      </c>
      <c r="M3" s="14">
        <f t="shared" ref="M3:N3" si="1">+L3+5</f>
        <v>64.992999999999995</v>
      </c>
      <c r="N3" s="14">
        <f t="shared" si="1"/>
        <v>69.992999999999995</v>
      </c>
      <c r="V3" s="13">
        <f>SUM(G3:J3)</f>
        <v>146.96</v>
      </c>
      <c r="W3" s="13">
        <f>SUM(K3:N3)</f>
        <v>249.97199999999998</v>
      </c>
      <c r="X3" s="13">
        <f>+W3*1.05</f>
        <v>262.47059999999999</v>
      </c>
      <c r="Y3" s="13">
        <f t="shared" ref="Y3:Z3" si="2">+X3*1.05</f>
        <v>275.59413000000001</v>
      </c>
      <c r="Z3" s="13">
        <f t="shared" si="2"/>
        <v>289.37383650000004</v>
      </c>
      <c r="AA3" s="13">
        <f>+Z3*0.3</f>
        <v>86.812150950000003</v>
      </c>
      <c r="AB3" s="13">
        <f>+AA3*0.5</f>
        <v>43.406075475000002</v>
      </c>
      <c r="AC3" s="13">
        <f>+AB3*0.8</f>
        <v>34.724860380000003</v>
      </c>
      <c r="AD3" s="13">
        <f t="shared" ref="AD3:AI3" si="3">+AC3*0.8</f>
        <v>27.779888304000004</v>
      </c>
      <c r="AE3" s="13">
        <f t="shared" si="3"/>
        <v>22.223910643200004</v>
      </c>
      <c r="AF3" s="13">
        <f t="shared" si="3"/>
        <v>17.779128514560004</v>
      </c>
      <c r="AG3" s="13">
        <f t="shared" si="3"/>
        <v>14.223302811648004</v>
      </c>
      <c r="AH3" s="13">
        <f t="shared" si="3"/>
        <v>11.378642249318403</v>
      </c>
      <c r="AI3" s="13">
        <f t="shared" si="3"/>
        <v>9.1029137994547238</v>
      </c>
      <c r="AJ3" s="13">
        <f>+AI3</f>
        <v>9.1029137994547238</v>
      </c>
      <c r="AK3" s="13">
        <f>+AJ3</f>
        <v>9.1029137994547238</v>
      </c>
    </row>
    <row r="4" spans="1:37" s="13" customFormat="1" x14ac:dyDescent="0.2">
      <c r="B4" s="13" t="s">
        <v>20</v>
      </c>
      <c r="C4" s="14"/>
      <c r="D4" s="14">
        <v>0</v>
      </c>
      <c r="E4" s="14">
        <v>0</v>
      </c>
      <c r="F4" s="14">
        <v>0</v>
      </c>
      <c r="G4" s="14">
        <v>0</v>
      </c>
      <c r="H4" s="19">
        <v>19</v>
      </c>
      <c r="I4" s="14">
        <v>33.4</v>
      </c>
      <c r="J4" s="14">
        <v>34.5</v>
      </c>
      <c r="K4" s="14">
        <v>37.07</v>
      </c>
      <c r="L4" s="14">
        <f>+K4+1</f>
        <v>38.07</v>
      </c>
      <c r="M4" s="14">
        <f t="shared" ref="M4:N4" si="4">+L4+1</f>
        <v>39.07</v>
      </c>
      <c r="N4" s="14">
        <f t="shared" si="4"/>
        <v>40.07</v>
      </c>
      <c r="V4" s="13">
        <f t="shared" ref="V4:V12" si="5">SUM(G4:J4)</f>
        <v>86.9</v>
      </c>
      <c r="W4" s="13">
        <f t="shared" ref="W4:W12" si="6">SUM(K4:N4)</f>
        <v>154.28</v>
      </c>
      <c r="X4" s="13">
        <f>+W4*1.05</f>
        <v>161.994</v>
      </c>
      <c r="Y4" s="13">
        <f t="shared" ref="Y4:AF4" si="7">+X4*1.05</f>
        <v>170.09370000000001</v>
      </c>
      <c r="Z4" s="13">
        <f t="shared" si="7"/>
        <v>178.59838500000001</v>
      </c>
      <c r="AA4" s="13">
        <f t="shared" si="7"/>
        <v>187.52830425000002</v>
      </c>
      <c r="AB4" s="13">
        <f t="shared" si="7"/>
        <v>196.90471946250003</v>
      </c>
      <c r="AC4" s="13">
        <f t="shared" si="7"/>
        <v>206.74995543562503</v>
      </c>
      <c r="AD4" s="13">
        <f t="shared" si="7"/>
        <v>217.0874532074063</v>
      </c>
      <c r="AE4" s="13">
        <f t="shared" si="7"/>
        <v>227.94182586777663</v>
      </c>
      <c r="AF4" s="13">
        <f t="shared" si="7"/>
        <v>239.33891716116548</v>
      </c>
      <c r="AG4" s="13">
        <f>+AF4*0.8</f>
        <v>191.47113372893239</v>
      </c>
      <c r="AH4" s="13">
        <f t="shared" ref="AH4:AK4" si="8">+AG4*0.8</f>
        <v>153.17690698314593</v>
      </c>
      <c r="AI4" s="13">
        <f t="shared" si="8"/>
        <v>122.54152558651674</v>
      </c>
      <c r="AJ4" s="13">
        <f t="shared" si="8"/>
        <v>98.033220469213404</v>
      </c>
      <c r="AK4" s="13">
        <f t="shared" si="8"/>
        <v>78.426576375370729</v>
      </c>
    </row>
    <row r="5" spans="1:37" s="13" customFormat="1" x14ac:dyDescent="0.2">
      <c r="B5" s="13" t="s">
        <v>21</v>
      </c>
      <c r="C5" s="14"/>
      <c r="D5" s="14">
        <v>17.8</v>
      </c>
      <c r="E5" s="14">
        <v>22.8</v>
      </c>
      <c r="F5" s="14">
        <v>28.8</v>
      </c>
      <c r="G5" s="14">
        <v>28.873999999999999</v>
      </c>
      <c r="H5" s="14">
        <v>44.2</v>
      </c>
      <c r="I5" s="14">
        <v>56.9</v>
      </c>
      <c r="J5" s="14">
        <v>60.4</v>
      </c>
      <c r="K5" s="14">
        <v>29.648</v>
      </c>
      <c r="L5" s="14">
        <f>+H5*1.01</f>
        <v>44.642000000000003</v>
      </c>
      <c r="M5" s="14">
        <f t="shared" ref="M5:N5" si="9">+I5*1.01</f>
        <v>57.469000000000001</v>
      </c>
      <c r="N5" s="14">
        <f t="shared" si="9"/>
        <v>61.003999999999998</v>
      </c>
      <c r="V5" s="13">
        <f t="shared" si="5"/>
        <v>190.374</v>
      </c>
      <c r="W5" s="13">
        <f t="shared" si="6"/>
        <v>192.76300000000001</v>
      </c>
      <c r="X5" s="13">
        <f>+W5*1.01</f>
        <v>194.69063</v>
      </c>
      <c r="Y5" s="13">
        <f t="shared" ref="Y5:AC5" si="10">+X5*1.01</f>
        <v>196.63753629999999</v>
      </c>
      <c r="Z5" s="13">
        <f t="shared" si="10"/>
        <v>198.60391166299999</v>
      </c>
      <c r="AA5" s="13">
        <f t="shared" si="10"/>
        <v>200.58995077962999</v>
      </c>
      <c r="AB5" s="13">
        <f t="shared" si="10"/>
        <v>202.59585028742629</v>
      </c>
      <c r="AC5" s="13">
        <f t="shared" si="10"/>
        <v>204.62180879030055</v>
      </c>
      <c r="AD5" s="13">
        <f>+AC5*0.5</f>
        <v>102.31090439515027</v>
      </c>
      <c r="AE5" s="13">
        <f>+AD5*0.2</f>
        <v>20.462180879030058</v>
      </c>
      <c r="AF5" s="13">
        <f>+AE5*0.5</f>
        <v>10.231090439515029</v>
      </c>
      <c r="AG5" s="13">
        <f>+AF5*0.5</f>
        <v>5.1155452197575144</v>
      </c>
      <c r="AH5" s="13">
        <f>+AG5</f>
        <v>5.1155452197575144</v>
      </c>
      <c r="AI5" s="13">
        <f t="shared" ref="AI5:AK5" si="11">+AH5</f>
        <v>5.1155452197575144</v>
      </c>
      <c r="AJ5" s="13">
        <f t="shared" si="11"/>
        <v>5.1155452197575144</v>
      </c>
      <c r="AK5" s="13">
        <f t="shared" si="11"/>
        <v>5.1155452197575144</v>
      </c>
    </row>
    <row r="6" spans="1:37" s="13" customFormat="1" x14ac:dyDescent="0.2">
      <c r="B6" s="13" t="s">
        <v>19</v>
      </c>
      <c r="C6" s="14"/>
      <c r="D6" s="14">
        <v>0</v>
      </c>
      <c r="E6" s="14">
        <v>2.7</v>
      </c>
      <c r="F6" s="14">
        <v>22.5</v>
      </c>
      <c r="G6" s="14">
        <v>24.797000000000001</v>
      </c>
      <c r="H6" s="14">
        <v>25.8</v>
      </c>
      <c r="I6" s="14">
        <v>28.7</v>
      </c>
      <c r="J6" s="14">
        <v>28.1</v>
      </c>
      <c r="K6" s="14">
        <v>25.512</v>
      </c>
      <c r="L6" s="14">
        <f>+H6*1.03</f>
        <v>26.574000000000002</v>
      </c>
      <c r="M6" s="14">
        <f t="shared" ref="M6:N6" si="12">+I6*1.03</f>
        <v>29.561</v>
      </c>
      <c r="N6" s="14">
        <f t="shared" si="12"/>
        <v>28.943000000000001</v>
      </c>
      <c r="V6" s="13">
        <f t="shared" si="5"/>
        <v>107.39699999999999</v>
      </c>
      <c r="W6" s="13">
        <f t="shared" si="6"/>
        <v>110.58999999999999</v>
      </c>
      <c r="X6" s="13">
        <f>+W6*1.01</f>
        <v>111.69589999999999</v>
      </c>
      <c r="Y6" s="13">
        <f t="shared" ref="Y6:AK6" si="13">+X6*1.01</f>
        <v>112.81285899999999</v>
      </c>
      <c r="Z6" s="13">
        <f t="shared" si="13"/>
        <v>113.94098758999999</v>
      </c>
      <c r="AA6" s="13">
        <f t="shared" si="13"/>
        <v>115.08039746589999</v>
      </c>
      <c r="AB6" s="13">
        <f t="shared" si="13"/>
        <v>116.23120144055899</v>
      </c>
      <c r="AC6" s="13">
        <f t="shared" si="13"/>
        <v>117.39351345496458</v>
      </c>
      <c r="AD6" s="13">
        <f t="shared" si="13"/>
        <v>118.56744858951423</v>
      </c>
      <c r="AE6" s="13">
        <f t="shared" si="13"/>
        <v>119.75312307540938</v>
      </c>
      <c r="AF6" s="13">
        <f t="shared" si="13"/>
        <v>120.95065430616347</v>
      </c>
      <c r="AG6" s="13">
        <f t="shared" si="13"/>
        <v>122.16016084922511</v>
      </c>
      <c r="AH6" s="13">
        <f t="shared" si="13"/>
        <v>123.38176245771736</v>
      </c>
      <c r="AI6" s="13">
        <f t="shared" si="13"/>
        <v>124.61558008229453</v>
      </c>
      <c r="AJ6" s="13">
        <f t="shared" si="13"/>
        <v>125.86173588311748</v>
      </c>
      <c r="AK6" s="13">
        <f t="shared" si="13"/>
        <v>127.12035324194865</v>
      </c>
    </row>
    <row r="7" spans="1:37" s="13" customFormat="1" x14ac:dyDescent="0.2">
      <c r="B7" s="13" t="s">
        <v>16</v>
      </c>
      <c r="C7" s="14"/>
      <c r="D7" s="14">
        <v>42.4</v>
      </c>
      <c r="E7" s="14">
        <v>43.2</v>
      </c>
      <c r="F7" s="14">
        <v>43.3</v>
      </c>
      <c r="G7" s="14">
        <v>32.968000000000004</v>
      </c>
      <c r="H7" s="14">
        <v>39.799999999999997</v>
      </c>
      <c r="I7" s="14">
        <v>46.8</v>
      </c>
      <c r="J7" s="14">
        <v>47</v>
      </c>
      <c r="K7" s="14">
        <v>25.451000000000001</v>
      </c>
      <c r="L7" s="14">
        <f>+H7*0.5</f>
        <v>19.899999999999999</v>
      </c>
      <c r="M7" s="14">
        <f t="shared" ref="M7:N7" si="14">+I7*0.5</f>
        <v>23.4</v>
      </c>
      <c r="N7" s="14">
        <f t="shared" si="14"/>
        <v>23.5</v>
      </c>
      <c r="V7" s="13">
        <f t="shared" si="5"/>
        <v>166.56799999999998</v>
      </c>
      <c r="W7" s="13">
        <f t="shared" si="6"/>
        <v>92.251000000000005</v>
      </c>
      <c r="X7" s="13">
        <f>+W7*0.9</f>
        <v>83.025900000000007</v>
      </c>
      <c r="Y7" s="13">
        <f t="shared" ref="Y7:AK12" si="15">+X7*0.9</f>
        <v>74.723310000000012</v>
      </c>
      <c r="Z7" s="13">
        <f t="shared" si="15"/>
        <v>67.250979000000015</v>
      </c>
      <c r="AA7" s="13">
        <f t="shared" si="15"/>
        <v>60.525881100000014</v>
      </c>
      <c r="AB7" s="13">
        <f t="shared" si="15"/>
        <v>54.473292990000012</v>
      </c>
      <c r="AC7" s="13">
        <f t="shared" si="15"/>
        <v>49.025963691000008</v>
      </c>
      <c r="AD7" s="13">
        <f t="shared" si="15"/>
        <v>44.123367321900005</v>
      </c>
      <c r="AE7" s="13">
        <f t="shared" si="15"/>
        <v>39.711030589710006</v>
      </c>
      <c r="AF7" s="13">
        <f t="shared" si="15"/>
        <v>35.73992753073901</v>
      </c>
      <c r="AG7" s="13">
        <f t="shared" si="15"/>
        <v>32.165934777665107</v>
      </c>
      <c r="AH7" s="13">
        <f t="shared" si="15"/>
        <v>28.949341299898599</v>
      </c>
      <c r="AI7" s="13">
        <f t="shared" si="15"/>
        <v>26.054407169908739</v>
      </c>
      <c r="AJ7" s="13">
        <f t="shared" si="15"/>
        <v>23.448966452917865</v>
      </c>
      <c r="AK7" s="13">
        <f t="shared" si="15"/>
        <v>21.104069807626079</v>
      </c>
    </row>
    <row r="8" spans="1:37" s="13" customFormat="1" x14ac:dyDescent="0.2">
      <c r="B8" s="13" t="s">
        <v>18</v>
      </c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16.155999999999999</v>
      </c>
      <c r="L8" s="14">
        <f>+K8+2</f>
        <v>18.155999999999999</v>
      </c>
      <c r="M8" s="14">
        <f t="shared" ref="M8:N8" si="16">+L8+2</f>
        <v>20.155999999999999</v>
      </c>
      <c r="N8" s="14">
        <f t="shared" si="16"/>
        <v>22.155999999999999</v>
      </c>
      <c r="V8" s="13">
        <f t="shared" si="5"/>
        <v>0</v>
      </c>
      <c r="W8" s="13">
        <f t="shared" si="6"/>
        <v>76.623999999999995</v>
      </c>
      <c r="X8" s="13">
        <f>+W8*1.1</f>
        <v>84.2864</v>
      </c>
      <c r="Y8" s="13">
        <f>+X8*1.01</f>
        <v>85.129264000000006</v>
      </c>
      <c r="Z8" s="13">
        <f t="shared" ref="Z8:AK8" si="17">+Y8*1.01</f>
        <v>85.980556640000003</v>
      </c>
      <c r="AA8" s="13">
        <f t="shared" si="17"/>
        <v>86.840362206400002</v>
      </c>
      <c r="AB8" s="13">
        <f t="shared" si="17"/>
        <v>87.708765828463996</v>
      </c>
      <c r="AC8" s="13">
        <f t="shared" si="17"/>
        <v>88.585853486748633</v>
      </c>
      <c r="AD8" s="13">
        <f t="shared" si="17"/>
        <v>89.471712021616113</v>
      </c>
      <c r="AE8" s="13">
        <f t="shared" si="17"/>
        <v>90.36642914183227</v>
      </c>
      <c r="AF8" s="13">
        <f t="shared" si="17"/>
        <v>91.270093433250594</v>
      </c>
      <c r="AG8" s="13">
        <f t="shared" si="17"/>
        <v>92.182794367583099</v>
      </c>
      <c r="AH8" s="13">
        <f t="shared" si="17"/>
        <v>93.104622311258936</v>
      </c>
      <c r="AI8" s="13">
        <f t="shared" si="17"/>
        <v>94.035668534371524</v>
      </c>
      <c r="AJ8" s="13">
        <f t="shared" si="17"/>
        <v>94.97602521971524</v>
      </c>
      <c r="AK8" s="13">
        <f t="shared" si="17"/>
        <v>95.925785471912391</v>
      </c>
    </row>
    <row r="9" spans="1:37" s="13" customFormat="1" x14ac:dyDescent="0.2">
      <c r="B9" s="13" t="s">
        <v>22</v>
      </c>
      <c r="C9" s="14"/>
      <c r="D9" s="14">
        <v>5.9</v>
      </c>
      <c r="E9" s="14">
        <v>5.7</v>
      </c>
      <c r="F9" s="14">
        <v>6.1</v>
      </c>
      <c r="G9" s="14">
        <v>7.2050000000000001</v>
      </c>
      <c r="H9" s="14">
        <v>10.7</v>
      </c>
      <c r="I9" s="14">
        <v>11.7</v>
      </c>
      <c r="J9" s="14">
        <v>11.1</v>
      </c>
      <c r="K9" s="14">
        <v>10.509</v>
      </c>
      <c r="L9" s="14">
        <f>+H9*1.01</f>
        <v>10.806999999999999</v>
      </c>
      <c r="M9" s="14">
        <f t="shared" ref="M9:M12" si="18">+I9*1.01</f>
        <v>11.817</v>
      </c>
      <c r="N9" s="14">
        <f t="shared" ref="N9:N12" si="19">+J9*1.01</f>
        <v>11.211</v>
      </c>
      <c r="V9" s="13">
        <f t="shared" si="5"/>
        <v>40.704999999999998</v>
      </c>
      <c r="W9" s="13">
        <f t="shared" si="6"/>
        <v>44.343999999999994</v>
      </c>
      <c r="X9" s="13">
        <f>+W9*0.9</f>
        <v>39.909599999999998</v>
      </c>
      <c r="Y9" s="13">
        <f t="shared" si="15"/>
        <v>35.918639999999996</v>
      </c>
      <c r="Z9" s="13">
        <f t="shared" si="15"/>
        <v>32.326775999999995</v>
      </c>
      <c r="AA9" s="13">
        <f t="shared" si="15"/>
        <v>29.094098399999996</v>
      </c>
      <c r="AB9" s="13">
        <f t="shared" si="15"/>
        <v>26.184688559999998</v>
      </c>
      <c r="AC9" s="13">
        <f t="shared" si="15"/>
        <v>23.566219703999998</v>
      </c>
      <c r="AD9" s="13">
        <f t="shared" si="15"/>
        <v>21.209597733599999</v>
      </c>
      <c r="AE9" s="13">
        <f t="shared" si="15"/>
        <v>19.08863796024</v>
      </c>
      <c r="AF9" s="13">
        <f t="shared" si="15"/>
        <v>17.179774164215999</v>
      </c>
      <c r="AG9" s="13">
        <f t="shared" si="15"/>
        <v>15.4617967477944</v>
      </c>
      <c r="AH9" s="13">
        <f t="shared" si="15"/>
        <v>13.91561707301496</v>
      </c>
      <c r="AI9" s="13">
        <f t="shared" si="15"/>
        <v>12.524055365713465</v>
      </c>
      <c r="AJ9" s="13">
        <f t="shared" si="15"/>
        <v>11.271649829142119</v>
      </c>
      <c r="AK9" s="13">
        <f t="shared" si="15"/>
        <v>10.144484846227908</v>
      </c>
    </row>
    <row r="10" spans="1:37" s="13" customFormat="1" x14ac:dyDescent="0.2">
      <c r="B10" s="13" t="s">
        <v>23</v>
      </c>
      <c r="C10" s="14"/>
      <c r="D10" s="14">
        <v>0</v>
      </c>
      <c r="E10" s="14">
        <v>0</v>
      </c>
      <c r="F10" s="14">
        <v>0</v>
      </c>
      <c r="G10" s="14">
        <v>0</v>
      </c>
      <c r="H10" s="14">
        <v>3.9</v>
      </c>
      <c r="I10" s="14">
        <v>4</v>
      </c>
      <c r="J10" s="14">
        <v>5.6</v>
      </c>
      <c r="K10" s="14">
        <v>3.7440000000000002</v>
      </c>
      <c r="L10" s="14">
        <f t="shared" ref="L10:L12" si="20">+H10*1.01</f>
        <v>3.9390000000000001</v>
      </c>
      <c r="M10" s="14">
        <f t="shared" si="18"/>
        <v>4.04</v>
      </c>
      <c r="N10" s="14">
        <f t="shared" si="19"/>
        <v>5.6559999999999997</v>
      </c>
      <c r="V10" s="13">
        <f t="shared" si="5"/>
        <v>13.5</v>
      </c>
      <c r="W10" s="13">
        <f t="shared" si="6"/>
        <v>17.378999999999998</v>
      </c>
      <c r="X10" s="13">
        <f>+W10*0.9</f>
        <v>15.641099999999998</v>
      </c>
      <c r="Y10" s="13">
        <f t="shared" si="15"/>
        <v>14.076989999999999</v>
      </c>
      <c r="Z10" s="13">
        <f t="shared" si="15"/>
        <v>12.669290999999999</v>
      </c>
      <c r="AA10" s="13">
        <f t="shared" si="15"/>
        <v>11.402361899999999</v>
      </c>
      <c r="AB10" s="13">
        <f t="shared" si="15"/>
        <v>10.262125709999999</v>
      </c>
      <c r="AC10" s="13">
        <f t="shared" si="15"/>
        <v>9.2359131389999991</v>
      </c>
      <c r="AD10" s="13">
        <f t="shared" si="15"/>
        <v>8.3123218250999997</v>
      </c>
      <c r="AE10" s="13">
        <f t="shared" si="15"/>
        <v>7.4810896425899998</v>
      </c>
      <c r="AF10" s="13">
        <f t="shared" si="15"/>
        <v>6.7329806783309998</v>
      </c>
      <c r="AG10" s="13">
        <f t="shared" si="15"/>
        <v>6.0596826104978998</v>
      </c>
      <c r="AH10" s="13">
        <f t="shared" si="15"/>
        <v>5.4537143494481102</v>
      </c>
      <c r="AI10" s="13">
        <f t="shared" si="15"/>
        <v>4.9083429145032991</v>
      </c>
      <c r="AJ10" s="13">
        <f t="shared" si="15"/>
        <v>4.417508623052969</v>
      </c>
      <c r="AK10" s="13">
        <f t="shared" si="15"/>
        <v>3.9757577607476722</v>
      </c>
    </row>
    <row r="11" spans="1:37" s="13" customFormat="1" x14ac:dyDescent="0.2">
      <c r="B11" s="13" t="s">
        <v>24</v>
      </c>
      <c r="C11" s="14"/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0.90700000000000003</v>
      </c>
      <c r="L11" s="14">
        <f>+K11+0.1</f>
        <v>1.0070000000000001</v>
      </c>
      <c r="M11" s="14">
        <f t="shared" ref="M11:N11" si="21">+L11+0.1</f>
        <v>1.1070000000000002</v>
      </c>
      <c r="N11" s="14">
        <f t="shared" si="21"/>
        <v>1.2070000000000003</v>
      </c>
      <c r="V11" s="13">
        <f t="shared" si="5"/>
        <v>0</v>
      </c>
      <c r="W11" s="13">
        <f t="shared" si="6"/>
        <v>4.2280000000000006</v>
      </c>
      <c r="X11" s="13">
        <f>+W11*0.9</f>
        <v>3.8052000000000006</v>
      </c>
      <c r="Y11" s="13">
        <f t="shared" si="15"/>
        <v>3.4246800000000004</v>
      </c>
      <c r="Z11" s="13">
        <f t="shared" si="15"/>
        <v>3.0822120000000006</v>
      </c>
      <c r="AA11" s="13">
        <f t="shared" si="15"/>
        <v>2.7739908000000004</v>
      </c>
      <c r="AB11" s="13">
        <f t="shared" si="15"/>
        <v>2.4965917200000005</v>
      </c>
      <c r="AC11" s="13">
        <f t="shared" si="15"/>
        <v>2.2469325480000006</v>
      </c>
      <c r="AD11" s="13">
        <f t="shared" si="15"/>
        <v>2.0222392932000006</v>
      </c>
      <c r="AE11" s="13">
        <f t="shared" si="15"/>
        <v>1.8200153638800005</v>
      </c>
      <c r="AF11" s="13">
        <f t="shared" si="15"/>
        <v>1.6380138274920004</v>
      </c>
      <c r="AG11" s="13">
        <f t="shared" si="15"/>
        <v>1.4742124447428004</v>
      </c>
      <c r="AH11" s="13">
        <f t="shared" si="15"/>
        <v>1.3267912002685205</v>
      </c>
      <c r="AI11" s="13">
        <f t="shared" si="15"/>
        <v>1.1941120802416685</v>
      </c>
      <c r="AJ11" s="13">
        <f t="shared" si="15"/>
        <v>1.0747008722175018</v>
      </c>
      <c r="AK11" s="13">
        <f t="shared" si="15"/>
        <v>0.96723078499575166</v>
      </c>
    </row>
    <row r="12" spans="1:37" s="13" customFormat="1" x14ac:dyDescent="0.2">
      <c r="B12" s="13" t="s">
        <v>25</v>
      </c>
      <c r="C12" s="14"/>
      <c r="D12" s="14">
        <v>0</v>
      </c>
      <c r="E12" s="14">
        <v>0.7</v>
      </c>
      <c r="F12" s="14">
        <v>3.1</v>
      </c>
      <c r="G12" s="14">
        <v>1.0369999999999999</v>
      </c>
      <c r="H12" s="14">
        <v>0</v>
      </c>
      <c r="I12" s="14">
        <v>1.1000000000000001</v>
      </c>
      <c r="J12" s="14">
        <v>2.4</v>
      </c>
      <c r="K12" s="14">
        <v>0.7</v>
      </c>
      <c r="L12" s="14">
        <f t="shared" ref="L12:N12" si="22">+K12+0.1</f>
        <v>0.79999999999999993</v>
      </c>
      <c r="M12" s="14">
        <f t="shared" si="22"/>
        <v>0.89999999999999991</v>
      </c>
      <c r="N12" s="14">
        <f t="shared" si="22"/>
        <v>0.99999999999999989</v>
      </c>
      <c r="V12" s="13">
        <f t="shared" si="5"/>
        <v>4.5369999999999999</v>
      </c>
      <c r="W12" s="13">
        <f t="shared" si="6"/>
        <v>3.4</v>
      </c>
      <c r="X12" s="13">
        <f>+W12*0.9</f>
        <v>3.06</v>
      </c>
      <c r="Y12" s="13">
        <f t="shared" si="15"/>
        <v>2.754</v>
      </c>
      <c r="Z12" s="13">
        <f t="shared" si="15"/>
        <v>2.4786000000000001</v>
      </c>
      <c r="AA12" s="13">
        <f t="shared" si="15"/>
        <v>2.2307400000000004</v>
      </c>
      <c r="AB12" s="13">
        <f t="shared" si="15"/>
        <v>2.0076660000000004</v>
      </c>
      <c r="AC12" s="13">
        <f t="shared" si="15"/>
        <v>1.8068994000000005</v>
      </c>
      <c r="AD12" s="13">
        <f t="shared" si="15"/>
        <v>1.6262094600000006</v>
      </c>
      <c r="AE12" s="13">
        <f t="shared" si="15"/>
        <v>1.4635885140000005</v>
      </c>
      <c r="AF12" s="13">
        <f t="shared" si="15"/>
        <v>1.3172296626000004</v>
      </c>
      <c r="AG12" s="13">
        <f t="shared" si="15"/>
        <v>1.1855066963400005</v>
      </c>
      <c r="AH12" s="13">
        <f t="shared" si="15"/>
        <v>1.0669560267060005</v>
      </c>
      <c r="AI12" s="13">
        <f t="shared" si="15"/>
        <v>0.96026042403540046</v>
      </c>
      <c r="AJ12" s="13">
        <f t="shared" si="15"/>
        <v>0.86423438163186039</v>
      </c>
      <c r="AK12" s="13">
        <f t="shared" si="15"/>
        <v>0.77781094346867441</v>
      </c>
    </row>
    <row r="13" spans="1:37" s="15" customFormat="1" x14ac:dyDescent="0.2">
      <c r="B13" s="15" t="s">
        <v>10</v>
      </c>
      <c r="C13" s="16"/>
      <c r="D13" s="16">
        <f>SUM(D3:D12)</f>
        <v>66.100000000000009</v>
      </c>
      <c r="E13" s="16">
        <f>SUM(E3:E12)</f>
        <v>75.100000000000009</v>
      </c>
      <c r="F13" s="16">
        <f>SUM(F3:F12)</f>
        <v>103.79999999999998</v>
      </c>
      <c r="G13" s="16">
        <f>SUM(G3:G12)</f>
        <v>113.14100000000001</v>
      </c>
      <c r="H13" s="16">
        <f>SUM(H3:H12)</f>
        <v>172.79999999999998</v>
      </c>
      <c r="I13" s="16">
        <f>SUM(I3:I12)</f>
        <v>226.49999999999997</v>
      </c>
      <c r="J13" s="16">
        <f>SUM(J3:J12)</f>
        <v>244.5</v>
      </c>
      <c r="K13" s="16">
        <f>SUM(K3:K12)</f>
        <v>204.69</v>
      </c>
      <c r="L13" s="16">
        <f t="shared" ref="L13:N13" si="23">SUM(L3:L12)</f>
        <v>223.88800000000003</v>
      </c>
      <c r="M13" s="16">
        <f t="shared" si="23"/>
        <v>252.51300000000001</v>
      </c>
      <c r="N13" s="16">
        <f t="shared" si="23"/>
        <v>264.74</v>
      </c>
      <c r="V13" s="15">
        <f>SUM(V3:V12)</f>
        <v>756.94100000000014</v>
      </c>
      <c r="W13" s="15">
        <f t="shared" ref="W13" si="24">SUM(W3:W12)</f>
        <v>945.83100000000002</v>
      </c>
      <c r="X13" s="15">
        <f t="shared" ref="X13" si="25">SUM(X3:X12)</f>
        <v>960.57932999999991</v>
      </c>
      <c r="Y13" s="15">
        <f t="shared" ref="Y13" si="26">SUM(Y3:Y12)</f>
        <v>971.16510930000004</v>
      </c>
      <c r="Z13" s="15">
        <f t="shared" ref="Z13" si="27">SUM(Z3:Z12)</f>
        <v>984.30553539300013</v>
      </c>
      <c r="AA13" s="15">
        <f t="shared" ref="AA13" si="28">SUM(AA3:AA12)</f>
        <v>782.87823785192984</v>
      </c>
      <c r="AB13" s="15">
        <f t="shared" ref="AB13" si="29">SUM(AB3:AB12)</f>
        <v>742.2709774739493</v>
      </c>
      <c r="AC13" s="15">
        <f t="shared" ref="AC13" si="30">SUM(AC3:AC12)</f>
        <v>737.95792002963879</v>
      </c>
      <c r="AD13" s="15">
        <f t="shared" ref="AD13" si="31">SUM(AD3:AD12)</f>
        <v>632.51114215148698</v>
      </c>
      <c r="AE13" s="15">
        <f t="shared" ref="AE13" si="32">SUM(AE3:AE12)</f>
        <v>550.31183167766824</v>
      </c>
      <c r="AF13" s="15">
        <f t="shared" ref="AF13" si="33">SUM(AF3:AF12)</f>
        <v>542.17780971803268</v>
      </c>
      <c r="AG13" s="15">
        <f t="shared" ref="AG13" si="34">SUM(AG3:AG12)</f>
        <v>481.50007025418626</v>
      </c>
      <c r="AH13" s="15">
        <f t="shared" ref="AH13" si="35">SUM(AH3:AH12)</f>
        <v>436.86989917053432</v>
      </c>
      <c r="AI13" s="15">
        <f t="shared" ref="AI13" si="36">SUM(AI3:AI12)</f>
        <v>401.05241117679759</v>
      </c>
      <c r="AJ13" s="15">
        <f t="shared" ref="AJ13" si="37">SUM(AJ3:AJ12)</f>
        <v>374.16650075022068</v>
      </c>
      <c r="AK13" s="15">
        <f t="shared" ref="AK13" si="38">SUM(AK3:AK12)</f>
        <v>352.66052825151013</v>
      </c>
    </row>
    <row r="14" spans="1:37" s="13" customFormat="1" x14ac:dyDescent="0.2">
      <c r="B14" s="13" t="s">
        <v>43</v>
      </c>
      <c r="C14" s="14"/>
      <c r="D14" s="14">
        <v>24.81</v>
      </c>
      <c r="E14" s="14">
        <v>13.644</v>
      </c>
      <c r="F14" s="14">
        <v>32.68</v>
      </c>
      <c r="G14" s="14">
        <v>28.853000000000002</v>
      </c>
      <c r="H14" s="14">
        <v>61.826000000000001</v>
      </c>
      <c r="I14" s="14">
        <f>61.25-43.407</f>
        <v>17.843000000000004</v>
      </c>
      <c r="J14" s="14">
        <v>20.573</v>
      </c>
      <c r="K14" s="14">
        <f>77.233-57.987</f>
        <v>19.246000000000002</v>
      </c>
      <c r="L14" s="14">
        <f>+L13*0.1</f>
        <v>22.388800000000003</v>
      </c>
      <c r="M14" s="14">
        <f t="shared" ref="M14:N14" si="39">+M13*0.1</f>
        <v>25.251300000000001</v>
      </c>
      <c r="N14" s="14">
        <f t="shared" si="39"/>
        <v>26.474000000000004</v>
      </c>
      <c r="V14" s="13">
        <f>SUM(G14:J14)</f>
        <v>129.095</v>
      </c>
      <c r="W14" s="13">
        <f>SUM(K14:N14)</f>
        <v>93.360100000000003</v>
      </c>
      <c r="X14" s="13">
        <f>+X13*0.1</f>
        <v>96.057932999999991</v>
      </c>
      <c r="Y14" s="13">
        <f t="shared" ref="Y14:AK14" si="40">+Y13*0.1</f>
        <v>97.116510930000004</v>
      </c>
      <c r="Z14" s="13">
        <f t="shared" si="40"/>
        <v>98.430553539300021</v>
      </c>
      <c r="AA14" s="13">
        <f t="shared" si="40"/>
        <v>78.287823785192984</v>
      </c>
      <c r="AB14" s="13">
        <f t="shared" si="40"/>
        <v>74.227097747394936</v>
      </c>
      <c r="AC14" s="13">
        <f t="shared" si="40"/>
        <v>73.795792002963879</v>
      </c>
      <c r="AD14" s="13">
        <f t="shared" si="40"/>
        <v>63.251114215148704</v>
      </c>
      <c r="AE14" s="13">
        <f t="shared" si="40"/>
        <v>55.031183167766827</v>
      </c>
      <c r="AF14" s="13">
        <f t="shared" si="40"/>
        <v>54.217780971803272</v>
      </c>
      <c r="AG14" s="13">
        <f t="shared" si="40"/>
        <v>48.150007025418631</v>
      </c>
      <c r="AH14" s="13">
        <f t="shared" si="40"/>
        <v>43.686989917053438</v>
      </c>
      <c r="AI14" s="13">
        <f t="shared" si="40"/>
        <v>40.105241117679761</v>
      </c>
      <c r="AJ14" s="13">
        <f t="shared" si="40"/>
        <v>37.416650075022069</v>
      </c>
      <c r="AK14" s="13">
        <f t="shared" si="40"/>
        <v>35.266052825151014</v>
      </c>
    </row>
    <row r="15" spans="1:37" s="13" customFormat="1" x14ac:dyDescent="0.2">
      <c r="B15" s="13" t="s">
        <v>32</v>
      </c>
      <c r="C15" s="14"/>
      <c r="D15" s="14">
        <f t="shared" ref="D15:F15" si="41">+D13-D14</f>
        <v>41.290000000000006</v>
      </c>
      <c r="E15" s="14">
        <f t="shared" si="41"/>
        <v>61.45600000000001</v>
      </c>
      <c r="F15" s="14">
        <f t="shared" si="41"/>
        <v>71.119999999999976</v>
      </c>
      <c r="G15" s="14">
        <f>+G13-G14</f>
        <v>84.288000000000011</v>
      </c>
      <c r="H15" s="14">
        <f>+H13-H14</f>
        <v>110.97399999999999</v>
      </c>
      <c r="I15" s="14">
        <f>+I13-I14</f>
        <v>208.65699999999998</v>
      </c>
      <c r="J15" s="14">
        <f>+J13-J14</f>
        <v>223.92699999999999</v>
      </c>
      <c r="K15" s="14">
        <f>+K13-K14</f>
        <v>185.44399999999999</v>
      </c>
      <c r="L15" s="14">
        <f t="shared" ref="L15:N15" si="42">+L13-L14</f>
        <v>201.49920000000003</v>
      </c>
      <c r="M15" s="14">
        <f t="shared" si="42"/>
        <v>227.26170000000002</v>
      </c>
      <c r="N15" s="14">
        <f t="shared" si="42"/>
        <v>238.26600000000002</v>
      </c>
      <c r="V15" s="13">
        <f t="shared" ref="V15" si="43">+V13-V14</f>
        <v>627.84600000000012</v>
      </c>
      <c r="W15" s="13">
        <f>+W13-W14</f>
        <v>852.47090000000003</v>
      </c>
      <c r="X15" s="13">
        <f t="shared" ref="X15:AK15" si="44">+X13-X14</f>
        <v>864.52139699999998</v>
      </c>
      <c r="Y15" s="13">
        <f t="shared" si="44"/>
        <v>874.04859837000004</v>
      </c>
      <c r="Z15" s="13">
        <f t="shared" si="44"/>
        <v>885.87498185370009</v>
      </c>
      <c r="AA15" s="13">
        <f t="shared" si="44"/>
        <v>704.59041406673691</v>
      </c>
      <c r="AB15" s="13">
        <f t="shared" si="44"/>
        <v>668.04387972655434</v>
      </c>
      <c r="AC15" s="13">
        <f t="shared" si="44"/>
        <v>664.16212802667496</v>
      </c>
      <c r="AD15" s="13">
        <f t="shared" si="44"/>
        <v>569.26002793633825</v>
      </c>
      <c r="AE15" s="13">
        <f t="shared" si="44"/>
        <v>495.28064850990143</v>
      </c>
      <c r="AF15" s="13">
        <f t="shared" si="44"/>
        <v>487.9600287462294</v>
      </c>
      <c r="AG15" s="13">
        <f t="shared" si="44"/>
        <v>433.35006322876762</v>
      </c>
      <c r="AH15" s="13">
        <f t="shared" si="44"/>
        <v>393.18290925348089</v>
      </c>
      <c r="AI15" s="13">
        <f t="shared" si="44"/>
        <v>360.94717005911781</v>
      </c>
      <c r="AJ15" s="13">
        <f t="shared" si="44"/>
        <v>336.74985067519862</v>
      </c>
      <c r="AK15" s="13">
        <f t="shared" si="44"/>
        <v>317.39447542635912</v>
      </c>
    </row>
    <row r="16" spans="1:37" s="13" customFormat="1" x14ac:dyDescent="0.2">
      <c r="B16" s="13" t="s">
        <v>42</v>
      </c>
      <c r="C16" s="14"/>
      <c r="D16" s="14">
        <v>3.5449999999999999</v>
      </c>
      <c r="E16" s="14">
        <v>4.2229999999999999</v>
      </c>
      <c r="F16" s="14">
        <v>6.859</v>
      </c>
      <c r="G16" s="14">
        <v>6.181</v>
      </c>
      <c r="H16" s="14">
        <v>8.9220000000000006</v>
      </c>
      <c r="I16" s="14">
        <f>13.073-4.2</f>
        <v>8.8730000000000011</v>
      </c>
      <c r="J16" s="14">
        <v>10.843999999999999</v>
      </c>
      <c r="K16" s="14">
        <f>12.722-4.187</f>
        <v>8.5350000000000001</v>
      </c>
      <c r="L16" s="14"/>
      <c r="M16" s="14"/>
      <c r="N16" s="14"/>
    </row>
    <row r="17" spans="2:95" s="13" customFormat="1" x14ac:dyDescent="0.2">
      <c r="B17" s="13" t="s">
        <v>41</v>
      </c>
      <c r="C17" s="14"/>
      <c r="D17" s="14">
        <v>27.126000000000001</v>
      </c>
      <c r="E17" s="14">
        <v>31.111000000000001</v>
      </c>
      <c r="F17" s="14">
        <v>33.344000000000001</v>
      </c>
      <c r="G17" s="14">
        <v>47.063000000000002</v>
      </c>
      <c r="H17" s="14">
        <v>58.055999999999997</v>
      </c>
      <c r="I17" s="14">
        <f>51.973-7.237</f>
        <v>44.735999999999997</v>
      </c>
      <c r="J17" s="14">
        <v>55.658999999999999</v>
      </c>
      <c r="K17" s="14">
        <f>75.544-5.892</f>
        <v>69.652000000000001</v>
      </c>
      <c r="L17" s="14">
        <f>+L13*0.27</f>
        <v>60.449760000000012</v>
      </c>
      <c r="M17" s="14">
        <f t="shared" ref="M17:N17" si="45">+M13*0.27</f>
        <v>68.178510000000003</v>
      </c>
      <c r="N17" s="14">
        <f t="shared" si="45"/>
        <v>71.479800000000012</v>
      </c>
      <c r="V17" s="13">
        <f>SUM(G17:J17)</f>
        <v>205.51399999999998</v>
      </c>
      <c r="W17" s="13">
        <f>SUM(K17:N17)</f>
        <v>269.76007000000004</v>
      </c>
      <c r="X17" s="13">
        <f>X13*0.27</f>
        <v>259.35641909999998</v>
      </c>
      <c r="Y17" s="13">
        <f t="shared" ref="Y17:AK17" si="46">Y13*0.27</f>
        <v>262.21457951100001</v>
      </c>
      <c r="Z17" s="13">
        <f t="shared" si="46"/>
        <v>265.76249455611003</v>
      </c>
      <c r="AA17" s="13">
        <f t="shared" si="46"/>
        <v>211.37712422002107</v>
      </c>
      <c r="AB17" s="13">
        <f t="shared" si="46"/>
        <v>200.41316391796633</v>
      </c>
      <c r="AC17" s="13">
        <f t="shared" si="46"/>
        <v>199.24863840800248</v>
      </c>
      <c r="AD17" s="13">
        <f t="shared" si="46"/>
        <v>170.7780083809015</v>
      </c>
      <c r="AE17" s="13">
        <f t="shared" si="46"/>
        <v>148.58419455297044</v>
      </c>
      <c r="AF17" s="13">
        <f t="shared" si="46"/>
        <v>146.38800862386884</v>
      </c>
      <c r="AG17" s="13">
        <f t="shared" si="46"/>
        <v>130.00501896863031</v>
      </c>
      <c r="AH17" s="13">
        <f>AH13*0.27</f>
        <v>117.95487277604427</v>
      </c>
      <c r="AI17" s="13">
        <f t="shared" si="46"/>
        <v>108.28415101773535</v>
      </c>
      <c r="AJ17" s="13">
        <f t="shared" si="46"/>
        <v>101.0249552025596</v>
      </c>
      <c r="AK17" s="13">
        <f t="shared" si="46"/>
        <v>95.218342627907745</v>
      </c>
    </row>
    <row r="18" spans="2:95" s="13" customFormat="1" x14ac:dyDescent="0.2">
      <c r="B18" s="13" t="s">
        <v>40</v>
      </c>
      <c r="C18" s="14"/>
      <c r="D18" s="14">
        <v>17.681000000000001</v>
      </c>
      <c r="E18" s="14">
        <v>38.109000000000002</v>
      </c>
      <c r="F18" s="14">
        <v>21.975000000000001</v>
      </c>
      <c r="G18" s="14">
        <v>26.28</v>
      </c>
      <c r="H18" s="14">
        <v>77.19</v>
      </c>
      <c r="I18" s="14">
        <f>54.516-31.233</f>
        <v>23.282999999999998</v>
      </c>
      <c r="J18" s="14">
        <v>34.417999999999999</v>
      </c>
      <c r="K18" s="14">
        <f>66.395-31.5</f>
        <v>34.894999999999996</v>
      </c>
      <c r="L18" s="14"/>
      <c r="M18" s="14"/>
      <c r="N18" s="14"/>
    </row>
    <row r="19" spans="2:95" s="13" customFormat="1" x14ac:dyDescent="0.2">
      <c r="B19" s="13" t="s">
        <v>38</v>
      </c>
      <c r="C19" s="14"/>
      <c r="D19" s="14">
        <f t="shared" ref="D19:F19" si="47">SUM(D16:D18)</f>
        <v>48.352000000000004</v>
      </c>
      <c r="E19" s="14">
        <f t="shared" si="47"/>
        <v>73.443000000000012</v>
      </c>
      <c r="F19" s="14">
        <f t="shared" si="47"/>
        <v>62.178000000000004</v>
      </c>
      <c r="G19" s="14">
        <f>SUM(G16:G18)</f>
        <v>79.524000000000001</v>
      </c>
      <c r="H19" s="14">
        <f>SUM(H16:H18)</f>
        <v>144.16800000000001</v>
      </c>
      <c r="I19" s="14">
        <f>SUM(I16:I18)</f>
        <v>76.891999999999996</v>
      </c>
      <c r="J19" s="14">
        <f>SUM(J16:J18)</f>
        <v>100.92099999999999</v>
      </c>
      <c r="K19" s="14">
        <f>SUM(K16:K18)</f>
        <v>113.08199999999999</v>
      </c>
      <c r="L19" s="14">
        <f t="shared" ref="L19:N19" si="48">SUM(L16:L18)</f>
        <v>60.449760000000012</v>
      </c>
      <c r="M19" s="14">
        <f t="shared" si="48"/>
        <v>68.178510000000003</v>
      </c>
      <c r="N19" s="14">
        <f t="shared" si="48"/>
        <v>71.479800000000012</v>
      </c>
      <c r="V19" s="14">
        <f t="shared" ref="V19:W19" si="49">SUM(V16:V18)</f>
        <v>205.51399999999998</v>
      </c>
      <c r="W19" s="14">
        <f t="shared" si="49"/>
        <v>269.76007000000004</v>
      </c>
      <c r="X19" s="14">
        <f t="shared" ref="X19" si="50">SUM(X16:X18)</f>
        <v>259.35641909999998</v>
      </c>
      <c r="Y19" s="14">
        <f t="shared" ref="Y19" si="51">SUM(Y16:Y18)</f>
        <v>262.21457951100001</v>
      </c>
      <c r="Z19" s="14">
        <f t="shared" ref="Z19" si="52">SUM(Z16:Z18)</f>
        <v>265.76249455611003</v>
      </c>
      <c r="AA19" s="14">
        <f t="shared" ref="AA19" si="53">SUM(AA16:AA18)</f>
        <v>211.37712422002107</v>
      </c>
      <c r="AB19" s="14">
        <f t="shared" ref="AB19" si="54">SUM(AB16:AB18)</f>
        <v>200.41316391796633</v>
      </c>
      <c r="AC19" s="14">
        <f t="shared" ref="AC19" si="55">SUM(AC16:AC18)</f>
        <v>199.24863840800248</v>
      </c>
      <c r="AD19" s="14">
        <f t="shared" ref="AD19" si="56">SUM(AD16:AD18)</f>
        <v>170.7780083809015</v>
      </c>
      <c r="AE19" s="14">
        <f t="shared" ref="AE19" si="57">SUM(AE16:AE18)</f>
        <v>148.58419455297044</v>
      </c>
      <c r="AF19" s="14">
        <f t="shared" ref="AF19" si="58">SUM(AF16:AF18)</f>
        <v>146.38800862386884</v>
      </c>
      <c r="AG19" s="14">
        <f t="shared" ref="AG19" si="59">SUM(AG16:AG18)</f>
        <v>130.00501896863031</v>
      </c>
      <c r="AH19" s="14">
        <f>SUM(AH16:AH18)</f>
        <v>117.95487277604427</v>
      </c>
      <c r="AI19" s="14">
        <f t="shared" ref="AI19" si="60">SUM(AI16:AI18)</f>
        <v>108.28415101773535</v>
      </c>
      <c r="AJ19" s="14">
        <f t="shared" ref="AJ19" si="61">SUM(AJ16:AJ18)</f>
        <v>101.0249552025596</v>
      </c>
      <c r="AK19" s="14">
        <f t="shared" ref="AK19" si="62">SUM(AK16:AK18)</f>
        <v>95.218342627907745</v>
      </c>
    </row>
    <row r="20" spans="2:95" s="13" customFormat="1" x14ac:dyDescent="0.2">
      <c r="B20" s="13" t="s">
        <v>39</v>
      </c>
      <c r="C20" s="14"/>
      <c r="D20" s="14">
        <f t="shared" ref="D20:F20" si="63">D15-D19</f>
        <v>-7.0619999999999976</v>
      </c>
      <c r="E20" s="14">
        <f t="shared" si="63"/>
        <v>-11.987000000000002</v>
      </c>
      <c r="F20" s="14">
        <f t="shared" si="63"/>
        <v>8.9419999999999717</v>
      </c>
      <c r="G20" s="14">
        <f>G15-G19</f>
        <v>4.76400000000001</v>
      </c>
      <c r="H20" s="14">
        <f>H15-H19</f>
        <v>-33.194000000000017</v>
      </c>
      <c r="I20" s="14">
        <f>I15-I19</f>
        <v>131.76499999999999</v>
      </c>
      <c r="J20" s="14">
        <f>J15-J19</f>
        <v>123.006</v>
      </c>
      <c r="K20" s="14">
        <f>K15-K19</f>
        <v>72.361999999999995</v>
      </c>
      <c r="L20" s="14">
        <f t="shared" ref="L20:N20" si="64">L15-L19</f>
        <v>141.04944</v>
      </c>
      <c r="M20" s="14">
        <f t="shared" si="64"/>
        <v>159.08319</v>
      </c>
      <c r="N20" s="14">
        <f t="shared" si="64"/>
        <v>166.78620000000001</v>
      </c>
      <c r="V20" s="14">
        <f t="shared" ref="V20" si="65">V15-V19</f>
        <v>422.33200000000011</v>
      </c>
      <c r="W20" s="14">
        <f>W15-W19</f>
        <v>582.71082999999999</v>
      </c>
      <c r="X20" s="14">
        <f>X15-X19</f>
        <v>605.16497789999994</v>
      </c>
      <c r="Y20" s="14">
        <f>Y15-Y19</f>
        <v>611.83401885900003</v>
      </c>
      <c r="Z20" s="14">
        <f>Z15-Z19</f>
        <v>620.11248729759006</v>
      </c>
      <c r="AA20" s="14">
        <f>AA15-AA19</f>
        <v>493.21328984671584</v>
      </c>
      <c r="AB20" s="14">
        <f>AB15-AB19</f>
        <v>467.63071580858798</v>
      </c>
      <c r="AC20" s="14">
        <f>AC15-AC19</f>
        <v>464.91348961867249</v>
      </c>
      <c r="AD20" s="14">
        <f>AD15-AD19</f>
        <v>398.48201955543675</v>
      </c>
      <c r="AE20" s="14">
        <f>AE15-AE19</f>
        <v>346.69645395693101</v>
      </c>
      <c r="AF20" s="14">
        <f t="shared" ref="AF20" si="66">AF15-AF19</f>
        <v>341.57202012236053</v>
      </c>
      <c r="AG20" s="14">
        <f>AG15-AG19</f>
        <v>303.34504426013734</v>
      </c>
      <c r="AH20" s="14">
        <f>AH15-AH19</f>
        <v>275.2280364774366</v>
      </c>
      <c r="AI20" s="14">
        <f t="shared" ref="AI20" si="67">AI15-AI19</f>
        <v>252.66301904138246</v>
      </c>
      <c r="AJ20" s="14">
        <f t="shared" ref="AJ20" si="68">AJ15-AJ19</f>
        <v>235.72489547263902</v>
      </c>
      <c r="AK20" s="14">
        <f t="shared" ref="AK20" si="69">AK15-AK19</f>
        <v>222.17613279845136</v>
      </c>
    </row>
    <row r="21" spans="2:95" s="13" customFormat="1" x14ac:dyDescent="0.2">
      <c r="B21" s="13" t="s">
        <v>37</v>
      </c>
      <c r="C21" s="14"/>
      <c r="D21" s="14">
        <v>-4.2069999999999999</v>
      </c>
      <c r="E21" s="14">
        <v>-5.194</v>
      </c>
      <c r="F21" s="14">
        <f>-10.218-0.829</f>
        <v>-11.047000000000001</v>
      </c>
      <c r="G21" s="14">
        <f>-10.032-0.837-0.991</f>
        <v>-11.86</v>
      </c>
      <c r="H21" s="14">
        <f>-19.448-9.078</f>
        <v>-28.526</v>
      </c>
      <c r="I21" s="14">
        <f>-20.3+5.48</f>
        <v>-14.82</v>
      </c>
      <c r="J21" s="14">
        <v>-14.638</v>
      </c>
      <c r="K21" s="14">
        <f>-19.458-0.173-0.014+4.425</f>
        <v>-15.219999999999995</v>
      </c>
      <c r="L21" s="14"/>
      <c r="M21" s="14"/>
      <c r="N21" s="14"/>
      <c r="Y21" s="13">
        <f>+X28*$AN$28</f>
        <v>5.3495923501000009</v>
      </c>
      <c r="Z21" s="13">
        <f t="shared" ref="Z21:AK21" si="70">+Y28*$AN$28</f>
        <v>17.076080963072901</v>
      </c>
      <c r="AA21" s="13">
        <f t="shared" si="70"/>
        <v>29.182663760025498</v>
      </c>
      <c r="AB21" s="13">
        <f t="shared" si="70"/>
        <v>39.108186878553582</v>
      </c>
      <c r="AC21" s="13">
        <f t="shared" si="70"/>
        <v>48.73622602960927</v>
      </c>
      <c r="AD21" s="13">
        <f t="shared" si="70"/>
        <v>58.495570626926622</v>
      </c>
      <c r="AE21" s="13">
        <f t="shared" si="70"/>
        <v>67.178144840391525</v>
      </c>
      <c r="AF21" s="13">
        <f t="shared" si="70"/>
        <v>75.041762217540651</v>
      </c>
      <c r="AG21" s="13">
        <f t="shared" si="70"/>
        <v>82.957424081998781</v>
      </c>
      <c r="AH21" s="13">
        <f t="shared" si="70"/>
        <v>90.297170980499359</v>
      </c>
      <c r="AI21" s="13">
        <f t="shared" si="70"/>
        <v>97.242149922200156</v>
      </c>
      <c r="AJ21" s="13">
        <f t="shared" si="70"/>
        <v>103.89034813250822</v>
      </c>
      <c r="AK21" s="13">
        <f t="shared" si="70"/>
        <v>110.34303776100602</v>
      </c>
    </row>
    <row r="22" spans="2:95" s="13" customFormat="1" x14ac:dyDescent="0.2">
      <c r="B22" s="13" t="s">
        <v>36</v>
      </c>
      <c r="C22" s="14"/>
      <c r="D22" s="14">
        <f t="shared" ref="D22:F22" si="71">+D20+D21</f>
        <v>-11.268999999999998</v>
      </c>
      <c r="E22" s="14">
        <f t="shared" si="71"/>
        <v>-17.181000000000001</v>
      </c>
      <c r="F22" s="14">
        <f t="shared" si="71"/>
        <v>-2.1050000000000288</v>
      </c>
      <c r="G22" s="14">
        <f>+G20+G21</f>
        <v>-7.0959999999999894</v>
      </c>
      <c r="H22" s="14">
        <f>+H20+H21</f>
        <v>-61.720000000000013</v>
      </c>
      <c r="I22" s="14">
        <f>+I20+I21</f>
        <v>116.94499999999999</v>
      </c>
      <c r="J22" s="14">
        <f>+J20+J21</f>
        <v>108.36799999999999</v>
      </c>
      <c r="K22" s="14">
        <f>+K20+K21</f>
        <v>57.141999999999996</v>
      </c>
      <c r="L22" s="14">
        <f t="shared" ref="L22:N22" si="72">+L20+L21</f>
        <v>141.04944</v>
      </c>
      <c r="M22" s="14">
        <f t="shared" si="72"/>
        <v>159.08319</v>
      </c>
      <c r="N22" s="14">
        <f t="shared" si="72"/>
        <v>166.78620000000001</v>
      </c>
      <c r="W22" s="13">
        <f>W20+W21</f>
        <v>582.71082999999999</v>
      </c>
      <c r="X22" s="13">
        <f t="shared" ref="X22" si="73">X20+X21</f>
        <v>605.16497789999994</v>
      </c>
      <c r="Y22" s="13">
        <f t="shared" ref="Y22" si="74">Y20+Y21</f>
        <v>617.18361120910004</v>
      </c>
      <c r="Z22" s="13">
        <f t="shared" ref="Z22" si="75">Z20+Z21</f>
        <v>637.18856826066292</v>
      </c>
      <c r="AA22" s="13">
        <f t="shared" ref="AA22" si="76">AA20+AA21</f>
        <v>522.39595360674139</v>
      </c>
      <c r="AB22" s="13">
        <f t="shared" ref="AB22" si="77">AB20+AB21</f>
        <v>506.73890268714155</v>
      </c>
      <c r="AC22" s="13">
        <f t="shared" ref="AC22" si="78">AC20+AC21</f>
        <v>513.6497156482817</v>
      </c>
      <c r="AD22" s="13">
        <f t="shared" ref="AD22" si="79">AD20+AD21</f>
        <v>456.97759018236337</v>
      </c>
      <c r="AE22" s="13">
        <f t="shared" ref="AE22" si="80">AE20+AE21</f>
        <v>413.87459879732251</v>
      </c>
      <c r="AF22" s="13">
        <f t="shared" ref="AF22" si="81">AF20+AF21</f>
        <v>416.61378233990115</v>
      </c>
      <c r="AG22" s="13">
        <f t="shared" ref="AG22" si="82">AG20+AG21</f>
        <v>386.30246834213614</v>
      </c>
      <c r="AH22" s="13">
        <f t="shared" ref="AH22" si="83">AH20+AH21</f>
        <v>365.52520745793595</v>
      </c>
      <c r="AI22" s="13">
        <f t="shared" ref="AI22" si="84">AI20+AI21</f>
        <v>349.90516896358258</v>
      </c>
      <c r="AJ22" s="13">
        <f t="shared" ref="AJ22" si="85">AJ20+AJ21</f>
        <v>339.61524360514727</v>
      </c>
      <c r="AK22" s="13">
        <f t="shared" ref="AK22" si="86">AK20+AK21</f>
        <v>332.51917055945739</v>
      </c>
    </row>
    <row r="23" spans="2:95" s="13" customFormat="1" x14ac:dyDescent="0.2">
      <c r="B23" s="13" t="s">
        <v>35</v>
      </c>
      <c r="C23" s="14"/>
      <c r="D23" s="14">
        <v>0.88</v>
      </c>
      <c r="E23" s="14">
        <v>-2.8170000000000002</v>
      </c>
      <c r="F23" s="14">
        <v>-2.8170000000000002</v>
      </c>
      <c r="G23" s="14">
        <v>1.913</v>
      </c>
      <c r="H23" s="14">
        <v>0</v>
      </c>
      <c r="I23" s="14">
        <v>22.178000000000001</v>
      </c>
      <c r="J23" s="14">
        <v>5.6109999999999998</v>
      </c>
      <c r="K23" s="14">
        <v>1.7090000000000001</v>
      </c>
      <c r="L23" s="14">
        <f>+L22*0.05</f>
        <v>7.0524720000000007</v>
      </c>
      <c r="M23" s="14">
        <f t="shared" ref="M23:N23" si="87">+M22*0.05</f>
        <v>7.9541595000000003</v>
      </c>
      <c r="N23" s="14">
        <f t="shared" si="87"/>
        <v>8.3393100000000011</v>
      </c>
      <c r="W23" s="13">
        <f>W22*0.05</f>
        <v>29.135541500000002</v>
      </c>
      <c r="X23" s="13">
        <f t="shared" ref="X23" si="88">X22*0.05</f>
        <v>30.258248894999998</v>
      </c>
      <c r="Y23" s="13">
        <f t="shared" ref="Y23" si="89">Y22*0.05</f>
        <v>30.859180560455002</v>
      </c>
      <c r="Z23" s="13">
        <f t="shared" ref="Z23" si="90">Z22*0.05</f>
        <v>31.859428413033147</v>
      </c>
      <c r="AA23" s="13">
        <f t="shared" ref="AA23" si="91">AA22*0.05</f>
        <v>26.119797680337072</v>
      </c>
      <c r="AB23" s="13">
        <f t="shared" ref="AB23" si="92">AB22*0.05</f>
        <v>25.33694513435708</v>
      </c>
      <c r="AC23" s="13">
        <f t="shared" ref="AC23" si="93">AC22*0.05</f>
        <v>25.682485782414087</v>
      </c>
      <c r="AD23" s="13">
        <f t="shared" ref="AD23" si="94">AD22*0.05</f>
        <v>22.84887950911817</v>
      </c>
      <c r="AE23" s="13">
        <f t="shared" ref="AE23" si="95">AE22*0.05</f>
        <v>20.693729939866127</v>
      </c>
      <c r="AF23" s="13">
        <f t="shared" ref="AF23" si="96">AF22*0.05</f>
        <v>20.83068911699506</v>
      </c>
      <c r="AG23" s="13">
        <f t="shared" ref="AG23" si="97">AG22*0.05</f>
        <v>19.315123417106808</v>
      </c>
      <c r="AH23" s="13">
        <f t="shared" ref="AH23" si="98">AH22*0.05</f>
        <v>18.276260372896797</v>
      </c>
      <c r="AI23" s="13">
        <f t="shared" ref="AI23" si="99">AI22*0.05</f>
        <v>17.495258448179129</v>
      </c>
      <c r="AJ23" s="13">
        <f t="shared" ref="AJ23" si="100">AJ22*0.05</f>
        <v>16.980762180257365</v>
      </c>
      <c r="AK23" s="13">
        <f t="shared" ref="AK23" si="101">AK22*0.05</f>
        <v>16.62595852797287</v>
      </c>
    </row>
    <row r="24" spans="2:95" s="13" customFormat="1" x14ac:dyDescent="0.2">
      <c r="B24" s="13" t="s">
        <v>34</v>
      </c>
      <c r="C24" s="14"/>
      <c r="D24" s="14">
        <f t="shared" ref="D24:F24" si="102">+D22-D23</f>
        <v>-12.148999999999999</v>
      </c>
      <c r="E24" s="14">
        <f t="shared" si="102"/>
        <v>-14.364000000000001</v>
      </c>
      <c r="F24" s="14">
        <f t="shared" si="102"/>
        <v>0.71199999999997132</v>
      </c>
      <c r="G24" s="14">
        <f>+G22-G23</f>
        <v>-9.0089999999999897</v>
      </c>
      <c r="H24" s="14">
        <f>+H22-H23</f>
        <v>-61.720000000000013</v>
      </c>
      <c r="I24" s="14">
        <f>+I22-I23</f>
        <v>94.766999999999996</v>
      </c>
      <c r="J24" s="14">
        <f>+J22-J23</f>
        <v>102.75699999999999</v>
      </c>
      <c r="K24" s="14">
        <f>+K22-K23</f>
        <v>55.432999999999993</v>
      </c>
      <c r="L24" s="14">
        <f t="shared" ref="L24:N24" si="103">+L22-L23</f>
        <v>133.99696800000001</v>
      </c>
      <c r="M24" s="14">
        <f t="shared" si="103"/>
        <v>151.1290305</v>
      </c>
      <c r="N24" s="14">
        <f t="shared" si="103"/>
        <v>158.44689</v>
      </c>
      <c r="W24" s="13">
        <f>W22-W23</f>
        <v>553.57528849999994</v>
      </c>
      <c r="X24" s="13">
        <f t="shared" ref="X24" si="104">X22-X23</f>
        <v>574.90672900499999</v>
      </c>
      <c r="Y24" s="13">
        <f t="shared" ref="Y24" si="105">Y22-Y23</f>
        <v>586.32443064864503</v>
      </c>
      <c r="Z24" s="13">
        <f t="shared" ref="Z24" si="106">Z22-Z23</f>
        <v>605.32913984762979</v>
      </c>
      <c r="AA24" s="13">
        <f t="shared" ref="AA24" si="107">AA22-AA23</f>
        <v>496.27615592640433</v>
      </c>
      <c r="AB24" s="13">
        <f t="shared" ref="AB24" si="108">AB22-AB23</f>
        <v>481.40195755278444</v>
      </c>
      <c r="AC24" s="13">
        <f t="shared" ref="AC24" si="109">AC22-AC23</f>
        <v>487.96722986586764</v>
      </c>
      <c r="AD24" s="13">
        <f t="shared" ref="AD24" si="110">AD22-AD23</f>
        <v>434.12871067324522</v>
      </c>
      <c r="AE24" s="13">
        <f t="shared" ref="AE24" si="111">AE22-AE23</f>
        <v>393.1808688574564</v>
      </c>
      <c r="AF24" s="13">
        <f t="shared" ref="AF24" si="112">AF22-AF23</f>
        <v>395.78309322290607</v>
      </c>
      <c r="AG24" s="13">
        <f t="shared" ref="AG24" si="113">AG22-AG23</f>
        <v>366.98734492502933</v>
      </c>
      <c r="AH24" s="13">
        <f t="shared" ref="AH24" si="114">AH22-AH23</f>
        <v>347.24894708503916</v>
      </c>
      <c r="AI24" s="13">
        <f t="shared" ref="AI24" si="115">AI22-AI23</f>
        <v>332.40991051540345</v>
      </c>
      <c r="AJ24" s="13">
        <f t="shared" ref="AJ24" si="116">AJ22-AJ23</f>
        <v>322.63448142488988</v>
      </c>
      <c r="AK24" s="13">
        <f t="shared" ref="AK24" si="117">AK22-AK23</f>
        <v>315.8932120314845</v>
      </c>
      <c r="AL24" s="13">
        <f>+AK24*(1+$AN$29)</f>
        <v>284.30389082833608</v>
      </c>
      <c r="AM24" s="13">
        <f>+AL24*(1+$AN$29)</f>
        <v>255.87350174550247</v>
      </c>
      <c r="AN24" s="13">
        <f>+AM24*(1+$AN$29)</f>
        <v>230.28615157095223</v>
      </c>
      <c r="AO24" s="13">
        <f>+AN24*(1+$AN$29)</f>
        <v>207.257536413857</v>
      </c>
      <c r="AP24" s="13">
        <f>+AO24*(1+$AN$29)</f>
        <v>186.5317827724713</v>
      </c>
      <c r="AQ24" s="13">
        <f>+AP24*(1+$AN$29)</f>
        <v>167.87860449522418</v>
      </c>
      <c r="AR24" s="13">
        <f>+AQ24*(1+$AN$29)</f>
        <v>151.09074404570177</v>
      </c>
      <c r="AS24" s="13">
        <f>+AR24*(1+$AN$29)</f>
        <v>135.98166964113159</v>
      </c>
      <c r="AT24" s="13">
        <f>+AS24*(1+$AN$29)</f>
        <v>122.38350267701843</v>
      </c>
      <c r="AU24" s="13">
        <f>+AT24*(1+$AN$29)</f>
        <v>110.14515240931658</v>
      </c>
      <c r="AV24" s="13">
        <f>+AU24*(1+$AN$29)</f>
        <v>99.130637168384922</v>
      </c>
      <c r="AW24" s="13">
        <f>+AV24*(1+$AN$29)</f>
        <v>89.217573451546428</v>
      </c>
      <c r="AX24" s="13">
        <f>+AW24*(1+$AN$29)</f>
        <v>80.295816106391783</v>
      </c>
      <c r="AY24" s="13">
        <f>+AX24*(1+$AN$29)</f>
        <v>72.266234495752613</v>
      </c>
      <c r="AZ24" s="13">
        <f>+AY24*(1+$AN$29)</f>
        <v>65.039611046177356</v>
      </c>
      <c r="BA24" s="13">
        <f>+AZ24*(1+$AN$29)</f>
        <v>58.535649941559619</v>
      </c>
      <c r="BB24" s="13">
        <f>+BA24*(1+$AN$29)</f>
        <v>52.682084947403659</v>
      </c>
      <c r="BC24" s="13">
        <f>+BB24*(1+$AN$29)</f>
        <v>47.413876452663295</v>
      </c>
      <c r="BD24" s="13">
        <f>+BC24*(1+$AN$29)</f>
        <v>42.672488807396967</v>
      </c>
      <c r="BE24" s="13">
        <f>+BD24*(1+$AN$29)</f>
        <v>38.405239926657273</v>
      </c>
      <c r="BF24" s="13">
        <f>+BE24*(1+$AN$29)</f>
        <v>34.56471593399155</v>
      </c>
      <c r="BG24" s="13">
        <f>+BF24*(1+$AN$29)</f>
        <v>31.108244340592396</v>
      </c>
      <c r="BH24" s="13">
        <f>+BG24*(1+$AN$29)</f>
        <v>27.997419906533157</v>
      </c>
      <c r="BI24" s="13">
        <f>+BH24*(1+$AN$29)</f>
        <v>25.19767791587984</v>
      </c>
      <c r="BJ24" s="13">
        <f>+BI24*(1+$AN$29)</f>
        <v>22.677910124291856</v>
      </c>
      <c r="BK24" s="13">
        <f>+BJ24*(1+$AN$29)</f>
        <v>20.41011911186267</v>
      </c>
      <c r="BL24" s="13">
        <f>+BK24*(1+$AN$29)</f>
        <v>18.369107200676403</v>
      </c>
      <c r="BM24" s="13">
        <f>+BL24*(1+$AN$29)</f>
        <v>16.532196480608764</v>
      </c>
      <c r="BN24" s="13">
        <f>+BM24*(1+$AN$29)</f>
        <v>14.878976832547888</v>
      </c>
      <c r="BO24" s="13">
        <f>+BN24*(1+$AN$29)</f>
        <v>13.3910791492931</v>
      </c>
      <c r="BP24" s="13">
        <f>+BO24*(1+$AN$29)</f>
        <v>12.051971234363791</v>
      </c>
      <c r="BQ24" s="13">
        <f>+BP24*(1+$AN$29)</f>
        <v>10.846774110927411</v>
      </c>
      <c r="BR24" s="13">
        <f>+BQ24*(1+$AN$29)</f>
        <v>9.7620966998346699</v>
      </c>
      <c r="BS24" s="13">
        <f>+BR24*(1+$AN$29)</f>
        <v>8.7858870298512031</v>
      </c>
      <c r="BT24" s="13">
        <f>+BS24*(1+$AN$29)</f>
        <v>7.9072983268660826</v>
      </c>
      <c r="BU24" s="13">
        <f>+BT24*(1+$AN$29)</f>
        <v>7.1165684941794742</v>
      </c>
      <c r="BV24" s="13">
        <f>+BU24*(1+$AN$29)</f>
        <v>6.4049116447615271</v>
      </c>
      <c r="BW24" s="13">
        <f>+BV24*(1+$AN$29)</f>
        <v>5.7644204802853745</v>
      </c>
      <c r="BX24" s="13">
        <f>+BW24*(1+$AN$29)</f>
        <v>5.1879784322568367</v>
      </c>
      <c r="BY24" s="13">
        <f>+BX24*(1+$AN$29)</f>
        <v>4.6691805890311535</v>
      </c>
      <c r="BZ24" s="13">
        <f>+BY24*(1+$AN$29)</f>
        <v>4.2022625301280385</v>
      </c>
      <c r="CA24" s="13">
        <f>+BZ24*(1+$AN$29)</f>
        <v>3.7820362771152349</v>
      </c>
      <c r="CB24" s="13">
        <f>+CA24*(1+$AN$29)</f>
        <v>3.4038326494037117</v>
      </c>
      <c r="CC24" s="13">
        <f>+CB24*(1+$AN$29)</f>
        <v>3.0634493844633406</v>
      </c>
      <c r="CD24" s="13">
        <f>+CC24*(1+$AN$29)</f>
        <v>2.7571044460170064</v>
      </c>
      <c r="CE24" s="13">
        <f>+CD24*(1+$AN$29)</f>
        <v>2.481394001415306</v>
      </c>
      <c r="CF24" s="13">
        <f>+CE24*(1+$AN$29)</f>
        <v>2.2332546012737753</v>
      </c>
      <c r="CG24" s="13">
        <f>+CF24*(1+$AN$29)</f>
        <v>2.0099291411463978</v>
      </c>
      <c r="CH24" s="13">
        <f>+CG24*(1+$AN$29)</f>
        <v>1.8089362270317579</v>
      </c>
      <c r="CI24" s="13">
        <f>+CH24*(1+$AN$29)</f>
        <v>1.6280426043285823</v>
      </c>
      <c r="CJ24" s="13">
        <f>+CI24*(1+$AN$29)</f>
        <v>1.4652383438957242</v>
      </c>
      <c r="CK24" s="13">
        <f>+CJ24*(1+$AN$29)</f>
        <v>1.3187145095061519</v>
      </c>
      <c r="CL24" s="13">
        <f>+CK24*(1+$AN$29)</f>
        <v>1.1868430585555367</v>
      </c>
      <c r="CM24" s="13">
        <f>+CL24*(1+$AN$29)</f>
        <v>1.0681587526999832</v>
      </c>
      <c r="CN24" s="13">
        <f>+CM24*(1+$AN$29)</f>
        <v>0.96134287742998492</v>
      </c>
      <c r="CO24" s="13">
        <f>+CN24*(1+$AN$29)</f>
        <v>0.86520858968698644</v>
      </c>
      <c r="CP24" s="13">
        <f>+CO24*(1+$AN$29)</f>
        <v>0.77868773071828778</v>
      </c>
      <c r="CQ24" s="13">
        <f>+CP24*(1+$AN$29)</f>
        <v>0.70081895764645907</v>
      </c>
    </row>
    <row r="25" spans="2:95" x14ac:dyDescent="0.2">
      <c r="B25" t="s">
        <v>33</v>
      </c>
      <c r="D25" s="18">
        <f t="shared" ref="D25:F25" si="118">D24/D26</f>
        <v>-0.16555379919328464</v>
      </c>
      <c r="E25" s="18">
        <f t="shared" si="118"/>
        <v>-0.16763336328731315</v>
      </c>
      <c r="F25" s="18">
        <f t="shared" si="118"/>
        <v>6.1203421735455798E-3</v>
      </c>
      <c r="G25" s="18">
        <f>G24/G26</f>
        <v>-7.1698825965747642E-2</v>
      </c>
      <c r="H25" s="18">
        <f>H24/H26</f>
        <v>-0.38624004205335527</v>
      </c>
      <c r="I25" s="18">
        <f>I24/I26</f>
        <v>0.56804259165573734</v>
      </c>
      <c r="J25" s="18">
        <f>J24/J26</f>
        <v>0.62720140708161942</v>
      </c>
      <c r="K25" s="18">
        <f>K24/K26</f>
        <v>0.34666334668330856</v>
      </c>
      <c r="L25" s="18">
        <f t="shared" ref="L25:N25" si="119">L24/L26</f>
        <v>0.8379816602438297</v>
      </c>
      <c r="M25" s="18">
        <f t="shared" si="119"/>
        <v>0.9451210559438209</v>
      </c>
      <c r="N25" s="18">
        <f t="shared" si="119"/>
        <v>0.99088501720928079</v>
      </c>
      <c r="W25" s="1">
        <f>W24/W26</f>
        <v>3.4619137003696006</v>
      </c>
      <c r="X25" s="1">
        <f t="shared" ref="X25" si="120">X24/X26</f>
        <v>3.5953148974009572</v>
      </c>
      <c r="Y25" s="1">
        <f t="shared" ref="Y25" si="121">Y24/Y26</f>
        <v>3.6667181890001403</v>
      </c>
      <c r="Z25" s="1">
        <f t="shared" ref="Z25" si="122">Z24/Z26</f>
        <v>3.7855686227429128</v>
      </c>
      <c r="AA25" s="1">
        <f t="shared" ref="AA25" si="123">AA24/AA26</f>
        <v>3.1035800532638471</v>
      </c>
      <c r="AB25" s="1">
        <f t="shared" ref="AB25" si="124">AB24/AB26</f>
        <v>3.0105607436931852</v>
      </c>
      <c r="AC25" s="1">
        <f t="shared" ref="AC25" si="125">AC24/AC26</f>
        <v>3.0516182233883251</v>
      </c>
      <c r="AD25" s="1">
        <f t="shared" ref="AD25" si="126">AD24/AD26</f>
        <v>2.7149263387025235</v>
      </c>
      <c r="AE25" s="1">
        <f t="shared" ref="AE25" si="127">AE24/AE26</f>
        <v>2.4588493469589761</v>
      </c>
      <c r="AF25" s="1">
        <f t="shared" ref="AF25" si="128">AF24/AF26</f>
        <v>2.4751229711061016</v>
      </c>
      <c r="AG25" s="1">
        <f t="shared" ref="AG25" si="129">AG24/AG26</f>
        <v>2.2950419638506379</v>
      </c>
      <c r="AH25" s="1">
        <f t="shared" ref="AH25" si="130">AH24/AH26</f>
        <v>2.1716032350541163</v>
      </c>
      <c r="AI25" s="1">
        <f t="shared" ref="AI25" si="131">AI24/AI26</f>
        <v>2.0788038181222177</v>
      </c>
      <c r="AJ25" s="1">
        <f t="shared" ref="AJ25" si="132">AJ24/AJ26</f>
        <v>2.0176708654805999</v>
      </c>
      <c r="AK25" s="1">
        <f t="shared" ref="AK25" si="133">AK24/AK26</f>
        <v>1.9755127465115441</v>
      </c>
    </row>
    <row r="26" spans="2:95" s="13" customFormat="1" x14ac:dyDescent="0.2">
      <c r="B26" s="13" t="s">
        <v>1</v>
      </c>
      <c r="C26" s="14"/>
      <c r="D26" s="14">
        <v>73.384</v>
      </c>
      <c r="E26" s="14">
        <v>85.686999999999998</v>
      </c>
      <c r="F26" s="14">
        <v>116.333365</v>
      </c>
      <c r="G26" s="14">
        <v>125.650593</v>
      </c>
      <c r="H26" s="14">
        <v>159.797</v>
      </c>
      <c r="I26" s="14">
        <v>166.83080000000001</v>
      </c>
      <c r="J26" s="14">
        <v>163.834135</v>
      </c>
      <c r="K26" s="14">
        <v>159.904416</v>
      </c>
      <c r="L26" s="14">
        <v>159.904416</v>
      </c>
      <c r="M26" s="14">
        <v>159.904416</v>
      </c>
      <c r="N26" s="14">
        <v>159.904416</v>
      </c>
      <c r="W26" s="13">
        <f>AVERAGE(K26:N26)</f>
        <v>159.904416</v>
      </c>
      <c r="X26" s="13">
        <f>+W26</f>
        <v>159.904416</v>
      </c>
      <c r="Y26" s="13">
        <f t="shared" ref="Y26:AK26" si="134">+X26</f>
        <v>159.904416</v>
      </c>
      <c r="Z26" s="13">
        <f t="shared" si="134"/>
        <v>159.904416</v>
      </c>
      <c r="AA26" s="13">
        <f t="shared" si="134"/>
        <v>159.904416</v>
      </c>
      <c r="AB26" s="13">
        <f t="shared" si="134"/>
        <v>159.904416</v>
      </c>
      <c r="AC26" s="13">
        <f t="shared" si="134"/>
        <v>159.904416</v>
      </c>
      <c r="AD26" s="13">
        <f t="shared" si="134"/>
        <v>159.904416</v>
      </c>
      <c r="AE26" s="13">
        <f t="shared" si="134"/>
        <v>159.904416</v>
      </c>
      <c r="AF26" s="13">
        <f t="shared" si="134"/>
        <v>159.904416</v>
      </c>
      <c r="AG26" s="13">
        <f t="shared" si="134"/>
        <v>159.904416</v>
      </c>
      <c r="AH26" s="13">
        <f t="shared" si="134"/>
        <v>159.904416</v>
      </c>
      <c r="AI26" s="13">
        <f t="shared" si="134"/>
        <v>159.904416</v>
      </c>
      <c r="AJ26" s="13">
        <f t="shared" si="134"/>
        <v>159.904416</v>
      </c>
      <c r="AK26" s="13">
        <f t="shared" si="134"/>
        <v>159.904416</v>
      </c>
    </row>
    <row r="28" spans="2:95" x14ac:dyDescent="0.2">
      <c r="B28" s="13" t="s">
        <v>3</v>
      </c>
      <c r="K28" s="3">
        <v>-751</v>
      </c>
      <c r="L28" s="14">
        <f>+K28+L24</f>
        <v>-617.00303199999996</v>
      </c>
      <c r="M28" s="14">
        <f t="shared" ref="M28:N28" si="135">+L28+M24</f>
        <v>-465.87400149999996</v>
      </c>
      <c r="N28" s="14">
        <f>+M28+N24</f>
        <v>-307.42711149999997</v>
      </c>
      <c r="W28" s="13">
        <f>+N28</f>
        <v>-307.42711149999997</v>
      </c>
      <c r="X28" s="13">
        <f>+W28+X24</f>
        <v>267.47961750500002</v>
      </c>
      <c r="Y28" s="13">
        <f t="shared" ref="Y28:AK28" si="136">+X28+Y24</f>
        <v>853.804048153645</v>
      </c>
      <c r="Z28" s="13">
        <f t="shared" si="136"/>
        <v>1459.1331880012749</v>
      </c>
      <c r="AA28" s="13">
        <f t="shared" si="136"/>
        <v>1955.4093439276792</v>
      </c>
      <c r="AB28" s="13">
        <f t="shared" si="136"/>
        <v>2436.8113014804635</v>
      </c>
      <c r="AC28" s="13">
        <f t="shared" si="136"/>
        <v>2924.778531346331</v>
      </c>
      <c r="AD28" s="13">
        <f t="shared" si="136"/>
        <v>3358.9072420195762</v>
      </c>
      <c r="AE28" s="13">
        <f t="shared" si="136"/>
        <v>3752.0881108770327</v>
      </c>
      <c r="AF28" s="13">
        <f t="shared" si="136"/>
        <v>4147.871204099939</v>
      </c>
      <c r="AG28" s="13">
        <f t="shared" si="136"/>
        <v>4514.8585490249679</v>
      </c>
      <c r="AH28" s="13">
        <f t="shared" si="136"/>
        <v>4862.1074961100076</v>
      </c>
      <c r="AI28" s="13">
        <f t="shared" si="136"/>
        <v>5194.5174066254112</v>
      </c>
      <c r="AJ28" s="13">
        <f t="shared" si="136"/>
        <v>5517.1518880503008</v>
      </c>
      <c r="AK28" s="13">
        <f t="shared" si="136"/>
        <v>5833.0451000817857</v>
      </c>
      <c r="AM28" t="s">
        <v>77</v>
      </c>
      <c r="AN28" s="24">
        <v>0.02</v>
      </c>
    </row>
    <row r="29" spans="2:95" x14ac:dyDescent="0.2">
      <c r="AM29" t="s">
        <v>76</v>
      </c>
      <c r="AN29" s="24">
        <v>-0.1</v>
      </c>
    </row>
    <row r="30" spans="2:95" x14ac:dyDescent="0.2">
      <c r="AM30" s="13" t="s">
        <v>74</v>
      </c>
      <c r="AN30" s="24">
        <v>0.06</v>
      </c>
    </row>
    <row r="31" spans="2:95" x14ac:dyDescent="0.2">
      <c r="B31" t="s">
        <v>32</v>
      </c>
      <c r="D31" s="17">
        <f>D15/D13</f>
        <v>0.62465960665658093</v>
      </c>
      <c r="E31" s="17">
        <f>E15/E13</f>
        <v>0.81832223701731033</v>
      </c>
      <c r="F31" s="17">
        <f>F15/F13</f>
        <v>0.6851637764932561</v>
      </c>
      <c r="G31" s="17">
        <f>G15/G13</f>
        <v>0.74498192520836837</v>
      </c>
      <c r="H31" s="17">
        <f>H15/H13</f>
        <v>0.6422106481481481</v>
      </c>
      <c r="I31" s="17">
        <f>I15/I13</f>
        <v>0.92122295805739518</v>
      </c>
      <c r="J31" s="17">
        <f>J15/J13</f>
        <v>0.91585685071574641</v>
      </c>
      <c r="K31" s="17">
        <f>K15/K13</f>
        <v>0.90597488885631927</v>
      </c>
      <c r="L31" s="17">
        <f t="shared" ref="L31:N31" si="137">L15/L13</f>
        <v>0.9</v>
      </c>
      <c r="M31" s="17">
        <f t="shared" si="137"/>
        <v>0.9</v>
      </c>
      <c r="N31" s="17">
        <f t="shared" si="137"/>
        <v>0.9</v>
      </c>
      <c r="V31" s="17">
        <f t="shared" ref="V31:W31" si="138">V15/V13</f>
        <v>0.82945170099122656</v>
      </c>
      <c r="W31" s="17">
        <f t="shared" si="138"/>
        <v>0.90129304283746248</v>
      </c>
      <c r="X31" s="17">
        <f t="shared" ref="X31:AK31" si="139">X15/X13</f>
        <v>0.9</v>
      </c>
      <c r="Y31" s="17">
        <f t="shared" si="139"/>
        <v>0.9</v>
      </c>
      <c r="Z31" s="17">
        <f t="shared" si="139"/>
        <v>0.9</v>
      </c>
      <c r="AA31" s="17">
        <f t="shared" si="139"/>
        <v>0.9</v>
      </c>
      <c r="AB31" s="17">
        <f t="shared" si="139"/>
        <v>0.89999999999999991</v>
      </c>
      <c r="AC31" s="17">
        <f t="shared" si="139"/>
        <v>0.9</v>
      </c>
      <c r="AD31" s="17">
        <f t="shared" si="139"/>
        <v>0.89999999999999991</v>
      </c>
      <c r="AE31" s="17">
        <f t="shared" si="139"/>
        <v>0.9</v>
      </c>
      <c r="AF31" s="17">
        <f t="shared" si="139"/>
        <v>0.9</v>
      </c>
      <c r="AG31" s="17">
        <f t="shared" si="139"/>
        <v>0.9</v>
      </c>
      <c r="AH31" s="17">
        <f t="shared" si="139"/>
        <v>0.9</v>
      </c>
      <c r="AI31" s="17">
        <f t="shared" si="139"/>
        <v>0.89999999999999991</v>
      </c>
      <c r="AJ31" s="17">
        <f t="shared" si="139"/>
        <v>0.9</v>
      </c>
      <c r="AK31" s="17">
        <f t="shared" si="139"/>
        <v>0.9</v>
      </c>
      <c r="AM31" t="s">
        <v>73</v>
      </c>
      <c r="AN31" s="2">
        <f>NPV(AN30,W24:BK24)</f>
        <v>5293.6823616326155</v>
      </c>
    </row>
    <row r="32" spans="2:95" x14ac:dyDescent="0.2">
      <c r="D32" s="17">
        <f t="shared" ref="D32:H32" si="140">D17/D13</f>
        <v>0.41037821482602116</v>
      </c>
      <c r="E32" s="17">
        <f t="shared" si="140"/>
        <v>0.41426098535286282</v>
      </c>
      <c r="F32" s="17">
        <f t="shared" si="140"/>
        <v>0.32123314065510605</v>
      </c>
      <c r="G32" s="17">
        <f t="shared" si="140"/>
        <v>0.41596768633828585</v>
      </c>
      <c r="H32" s="17">
        <f t="shared" ref="H32:K32" si="141">H17/H13</f>
        <v>0.33597222222222223</v>
      </c>
      <c r="I32" s="17">
        <f t="shared" si="141"/>
        <v>0.19750993377483445</v>
      </c>
      <c r="J32" s="17">
        <f t="shared" si="141"/>
        <v>0.22764417177914109</v>
      </c>
      <c r="K32" s="17">
        <f>K17/K13</f>
        <v>0.34028042405588943</v>
      </c>
      <c r="L32" s="17">
        <f t="shared" ref="L32:N32" si="142">L17/L13</f>
        <v>0.27</v>
      </c>
      <c r="M32" s="17">
        <f t="shared" si="142"/>
        <v>0.27</v>
      </c>
      <c r="N32" s="17">
        <f t="shared" si="142"/>
        <v>0.27</v>
      </c>
      <c r="V32" s="17">
        <f>V17/V13</f>
        <v>0.27150596942165894</v>
      </c>
      <c r="W32" s="17">
        <f t="shared" ref="W32:AK32" si="143">W17/W13</f>
        <v>0.28520958818224401</v>
      </c>
      <c r="X32" s="17">
        <f t="shared" si="143"/>
        <v>0.27</v>
      </c>
      <c r="Y32" s="17">
        <f t="shared" si="143"/>
        <v>0.27</v>
      </c>
      <c r="Z32" s="17">
        <f t="shared" si="143"/>
        <v>0.27</v>
      </c>
      <c r="AA32" s="17">
        <f t="shared" si="143"/>
        <v>0.27</v>
      </c>
      <c r="AB32" s="17">
        <f t="shared" si="143"/>
        <v>0.27</v>
      </c>
      <c r="AC32" s="17">
        <f t="shared" si="143"/>
        <v>0.27</v>
      </c>
      <c r="AD32" s="17">
        <f t="shared" si="143"/>
        <v>0.27</v>
      </c>
      <c r="AE32" s="17">
        <f t="shared" si="143"/>
        <v>0.27</v>
      </c>
      <c r="AF32" s="17">
        <f t="shared" si="143"/>
        <v>0.27</v>
      </c>
      <c r="AG32" s="17">
        <f t="shared" si="143"/>
        <v>0.27</v>
      </c>
      <c r="AH32" s="17">
        <f t="shared" si="143"/>
        <v>0.27</v>
      </c>
      <c r="AI32" s="17">
        <f t="shared" si="143"/>
        <v>0.27</v>
      </c>
      <c r="AJ32" s="17">
        <f t="shared" si="143"/>
        <v>0.27</v>
      </c>
      <c r="AK32" s="17">
        <f t="shared" si="143"/>
        <v>0.27</v>
      </c>
      <c r="AM32" s="13" t="s">
        <v>75</v>
      </c>
      <c r="AN32" s="1">
        <f>AN31/Main!K3</f>
        <v>33.011917784370887</v>
      </c>
    </row>
  </sheetData>
  <hyperlinks>
    <hyperlink ref="A1" location="Main!A1" display="Main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5" sqref="C15"/>
    </sheetView>
  </sheetViews>
  <sheetFormatPr defaultRowHeight="12.75" x14ac:dyDescent="0.2"/>
  <cols>
    <col min="1" max="1" width="5" bestFit="1" customWidth="1"/>
    <col min="2" max="2" width="12.85546875" bestFit="1" customWidth="1"/>
  </cols>
  <sheetData>
    <row r="1" spans="1:3" x14ac:dyDescent="0.2">
      <c r="A1" t="s">
        <v>9</v>
      </c>
    </row>
    <row r="2" spans="1:3" x14ac:dyDescent="0.2">
      <c r="B2" t="s">
        <v>44</v>
      </c>
      <c r="C2" t="s">
        <v>17</v>
      </c>
    </row>
    <row r="3" spans="1:3" x14ac:dyDescent="0.2">
      <c r="B3" t="s">
        <v>45</v>
      </c>
      <c r="C3" t="s">
        <v>46</v>
      </c>
    </row>
    <row r="4" spans="1:3" x14ac:dyDescent="0.2">
      <c r="B4" t="s">
        <v>47</v>
      </c>
      <c r="C4" t="s">
        <v>48</v>
      </c>
    </row>
    <row r="5" spans="1:3" x14ac:dyDescent="0.2">
      <c r="B5" t="s">
        <v>61</v>
      </c>
      <c r="C5" t="s">
        <v>62</v>
      </c>
    </row>
    <row r="6" spans="1:3" x14ac:dyDescent="0.2">
      <c r="C6" t="s">
        <v>63</v>
      </c>
    </row>
    <row r="7" spans="1:3" x14ac:dyDescent="0.2">
      <c r="B7" t="s">
        <v>49</v>
      </c>
      <c r="C7" t="s">
        <v>50</v>
      </c>
    </row>
    <row r="8" spans="1:3" x14ac:dyDescent="0.2">
      <c r="C8" t="s">
        <v>51</v>
      </c>
    </row>
    <row r="9" spans="1:3" x14ac:dyDescent="0.2">
      <c r="C9" t="s">
        <v>52</v>
      </c>
    </row>
    <row r="10" spans="1:3" x14ac:dyDescent="0.2">
      <c r="C10" t="s">
        <v>53</v>
      </c>
    </row>
    <row r="11" spans="1:3" x14ac:dyDescent="0.2">
      <c r="C11" t="s">
        <v>54</v>
      </c>
    </row>
    <row r="12" spans="1:3" x14ac:dyDescent="0.2">
      <c r="C12" t="s">
        <v>55</v>
      </c>
    </row>
    <row r="13" spans="1:3" x14ac:dyDescent="0.2">
      <c r="C13" t="s">
        <v>56</v>
      </c>
    </row>
    <row r="14" spans="1:3" x14ac:dyDescent="0.2">
      <c r="C14" t="s">
        <v>57</v>
      </c>
    </row>
    <row r="15" spans="1:3" x14ac:dyDescent="0.2">
      <c r="B15" t="s">
        <v>58</v>
      </c>
      <c r="C15" s="21" t="s">
        <v>59</v>
      </c>
    </row>
    <row r="16" spans="1:3" x14ac:dyDescent="0.2">
      <c r="C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Pennsaid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2016-06-10T18:03:56Z</dcterms:created>
  <dcterms:modified xsi:type="dcterms:W3CDTF">2016-06-10T19:14:46Z</dcterms:modified>
</cp:coreProperties>
</file>