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960" windowHeight="12150"/>
  </bookViews>
  <sheets>
    <sheet name="Main" sheetId="2" r:id="rId1"/>
    <sheet name="GTS" sheetId="3" r:id="rId2"/>
    <sheet name="Model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Z4" i="1" s="1"/>
  <c r="N68" i="1" l="1"/>
  <c r="N65" i="1"/>
  <c r="N60" i="1"/>
  <c r="N50" i="1"/>
  <c r="R39" i="1"/>
  <c r="Q39" i="1"/>
  <c r="P39" i="1"/>
  <c r="O39" i="1"/>
  <c r="R46" i="1"/>
  <c r="Q46" i="1"/>
  <c r="P46" i="1"/>
  <c r="O46" i="1"/>
  <c r="N12" i="1"/>
  <c r="R12" i="1" s="1"/>
  <c r="M46" i="1"/>
  <c r="L46" i="1"/>
  <c r="K46" i="1"/>
  <c r="N46" i="1"/>
  <c r="D4" i="2"/>
  <c r="D3" i="2"/>
  <c r="D10" i="2"/>
  <c r="D9" i="2"/>
  <c r="D7" i="2"/>
  <c r="D5" i="2"/>
  <c r="AR36" i="1"/>
  <c r="V12" i="1"/>
  <c r="W12" i="1"/>
  <c r="W32" i="1" s="1"/>
  <c r="X12" i="1"/>
  <c r="X32" i="1" s="1"/>
  <c r="AR40" i="1"/>
  <c r="Y10" i="1"/>
  <c r="Y18" i="1" s="1"/>
  <c r="Y9" i="1"/>
  <c r="Z30" i="1"/>
  <c r="Z2" i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J27" i="1"/>
  <c r="Y27" i="1" s="1"/>
  <c r="J22" i="1"/>
  <c r="Y22" i="1" s="1"/>
  <c r="J21" i="1"/>
  <c r="Y21" i="1" s="1"/>
  <c r="J15" i="1"/>
  <c r="Y15" i="1" s="1"/>
  <c r="J14" i="1"/>
  <c r="Y14" i="1" s="1"/>
  <c r="J13" i="1"/>
  <c r="Y13" i="1" s="1"/>
  <c r="J11" i="1"/>
  <c r="J19" i="1" s="1"/>
  <c r="J10" i="1"/>
  <c r="J9" i="1"/>
  <c r="N27" i="1"/>
  <c r="Z27" i="1" s="1"/>
  <c r="N22" i="1"/>
  <c r="Z22" i="1" s="1"/>
  <c r="AA22" i="1" s="1"/>
  <c r="N21" i="1"/>
  <c r="Z21" i="1" s="1"/>
  <c r="N15" i="1"/>
  <c r="Z15" i="1" s="1"/>
  <c r="N14" i="1"/>
  <c r="Z14" i="1" s="1"/>
  <c r="N13" i="1"/>
  <c r="N11" i="1"/>
  <c r="N10" i="1"/>
  <c r="N9" i="1"/>
  <c r="G25" i="1"/>
  <c r="G23" i="1"/>
  <c r="G19" i="1"/>
  <c r="G18" i="1"/>
  <c r="G17" i="1"/>
  <c r="G16" i="1"/>
  <c r="G12" i="1"/>
  <c r="K25" i="1"/>
  <c r="K23" i="1"/>
  <c r="K19" i="1"/>
  <c r="K18" i="1"/>
  <c r="K17" i="1"/>
  <c r="K16" i="1"/>
  <c r="K12" i="1"/>
  <c r="O12" i="1" s="1"/>
  <c r="H25" i="1"/>
  <c r="H23" i="1"/>
  <c r="H19" i="1"/>
  <c r="H18" i="1"/>
  <c r="H17" i="1"/>
  <c r="H16" i="1"/>
  <c r="H12" i="1"/>
  <c r="H20" i="1" s="1"/>
  <c r="H38" i="1" s="1"/>
  <c r="L25" i="1"/>
  <c r="L23" i="1"/>
  <c r="L19" i="1"/>
  <c r="L18" i="1"/>
  <c r="L17" i="1"/>
  <c r="L16" i="1"/>
  <c r="L12" i="1"/>
  <c r="P12" i="1" s="1"/>
  <c r="I25" i="1"/>
  <c r="I18" i="1"/>
  <c r="I17" i="1"/>
  <c r="I16" i="1"/>
  <c r="I12" i="1"/>
  <c r="I23" i="1"/>
  <c r="I19" i="1"/>
  <c r="K3" i="2"/>
  <c r="K4" i="2" s="1"/>
  <c r="K7" i="2" s="1"/>
  <c r="AU32" i="1" s="1"/>
  <c r="M25" i="1"/>
  <c r="M23" i="1"/>
  <c r="M19" i="1"/>
  <c r="M18" i="1"/>
  <c r="M17" i="1"/>
  <c r="M16" i="1"/>
  <c r="M12" i="1"/>
  <c r="M20" i="1" s="1"/>
  <c r="Y16" i="1" l="1"/>
  <c r="N25" i="1"/>
  <c r="N49" i="1"/>
  <c r="Z49" i="1" s="1"/>
  <c r="AA25" i="1" s="1"/>
  <c r="L32" i="1"/>
  <c r="M32" i="1"/>
  <c r="N18" i="1"/>
  <c r="M24" i="1"/>
  <c r="M26" i="1" s="1"/>
  <c r="M28" i="1" s="1"/>
  <c r="M29" i="1" s="1"/>
  <c r="N19" i="1"/>
  <c r="N16" i="1"/>
  <c r="N20" i="1" s="1"/>
  <c r="N38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O34" i="1" s="1"/>
  <c r="Z34" i="1"/>
  <c r="AA35" i="1"/>
  <c r="AB22" i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Y12" i="1"/>
  <c r="Y23" i="1"/>
  <c r="Z35" i="1"/>
  <c r="R38" i="1"/>
  <c r="R32" i="1"/>
  <c r="P38" i="1"/>
  <c r="P32" i="1"/>
  <c r="O32" i="1"/>
  <c r="O38" i="1"/>
  <c r="J16" i="1"/>
  <c r="Y11" i="1"/>
  <c r="Y19" i="1" s="1"/>
  <c r="Q12" i="1"/>
  <c r="Z23" i="1"/>
  <c r="Z25" i="1"/>
  <c r="N23" i="1"/>
  <c r="N62" i="1"/>
  <c r="J12" i="1"/>
  <c r="N32" i="1" s="1"/>
  <c r="Y17" i="1"/>
  <c r="J25" i="1"/>
  <c r="Y25" i="1" s="1"/>
  <c r="J17" i="1"/>
  <c r="J18" i="1"/>
  <c r="N73" i="1"/>
  <c r="AD34" i="1"/>
  <c r="AB34" i="1"/>
  <c r="AF34" i="1"/>
  <c r="M38" i="1"/>
  <c r="Z9" i="1"/>
  <c r="Z10" i="1"/>
  <c r="Z18" i="1" s="1"/>
  <c r="N17" i="1"/>
  <c r="Z11" i="1"/>
  <c r="Z19" i="1" s="1"/>
  <c r="Z13" i="1"/>
  <c r="Z16" i="1" s="1"/>
  <c r="J23" i="1"/>
  <c r="G20" i="1"/>
  <c r="G24" i="1" s="1"/>
  <c r="G26" i="1" s="1"/>
  <c r="K32" i="1"/>
  <c r="K20" i="1"/>
  <c r="H24" i="1"/>
  <c r="H26" i="1" s="1"/>
  <c r="L20" i="1"/>
  <c r="I20" i="1"/>
  <c r="Y32" i="1" l="1"/>
  <c r="Y5" i="1"/>
  <c r="AC34" i="1"/>
  <c r="AM34" i="1"/>
  <c r="Y20" i="1"/>
  <c r="Y38" i="1" s="1"/>
  <c r="AI34" i="1"/>
  <c r="AA34" i="1"/>
  <c r="M39" i="1"/>
  <c r="AN34" i="1"/>
  <c r="AB23" i="1"/>
  <c r="Y24" i="1"/>
  <c r="Y26" i="1" s="1"/>
  <c r="AJ34" i="1"/>
  <c r="AA23" i="1"/>
  <c r="AE34" i="1"/>
  <c r="AK34" i="1"/>
  <c r="AH34" i="1"/>
  <c r="AL34" i="1"/>
  <c r="AG34" i="1"/>
  <c r="G28" i="1"/>
  <c r="G29" i="1" s="1"/>
  <c r="G39" i="1"/>
  <c r="N24" i="1"/>
  <c r="N26" i="1" s="1"/>
  <c r="Q32" i="1"/>
  <c r="Q38" i="1"/>
  <c r="G38" i="1"/>
  <c r="H28" i="1"/>
  <c r="H29" i="1" s="1"/>
  <c r="H39" i="1"/>
  <c r="J20" i="1"/>
  <c r="N28" i="1"/>
  <c r="N29" i="1" s="1"/>
  <c r="N39" i="1"/>
  <c r="AB35" i="1"/>
  <c r="L24" i="1"/>
  <c r="L26" i="1" s="1"/>
  <c r="L38" i="1"/>
  <c r="Z12" i="1"/>
  <c r="Z5" i="1" s="1"/>
  <c r="Z6" i="1" s="1"/>
  <c r="Z17" i="1"/>
  <c r="I24" i="1"/>
  <c r="I26" i="1" s="1"/>
  <c r="I38" i="1"/>
  <c r="K24" i="1"/>
  <c r="K26" i="1" s="1"/>
  <c r="K38" i="1"/>
  <c r="L28" i="1" l="1"/>
  <c r="L29" i="1" s="1"/>
  <c r="L39" i="1"/>
  <c r="I28" i="1"/>
  <c r="I29" i="1" s="1"/>
  <c r="I39" i="1"/>
  <c r="Y28" i="1"/>
  <c r="Y39" i="1"/>
  <c r="J38" i="1"/>
  <c r="J24" i="1"/>
  <c r="J26" i="1" s="1"/>
  <c r="K28" i="1"/>
  <c r="K29" i="1" s="1"/>
  <c r="K39" i="1"/>
  <c r="Z32" i="1"/>
  <c r="AA12" i="1"/>
  <c r="AC35" i="1"/>
  <c r="AC23" i="1"/>
  <c r="Z20" i="1"/>
  <c r="AB12" i="1" l="1"/>
  <c r="AA20" i="1"/>
  <c r="AA32" i="1"/>
  <c r="J28" i="1"/>
  <c r="J29" i="1" s="1"/>
  <c r="J39" i="1"/>
  <c r="AD35" i="1"/>
  <c r="AD23" i="1"/>
  <c r="Z24" i="1"/>
  <c r="Z26" i="1" s="1"/>
  <c r="Z38" i="1"/>
  <c r="AA38" i="1" l="1"/>
  <c r="AA24" i="1"/>
  <c r="AA26" i="1" s="1"/>
  <c r="Z28" i="1"/>
  <c r="Z39" i="1"/>
  <c r="AC12" i="1"/>
  <c r="AB20" i="1"/>
  <c r="AB32" i="1"/>
  <c r="AE35" i="1"/>
  <c r="AE23" i="1"/>
  <c r="Z29" i="1"/>
  <c r="Z36" i="1"/>
  <c r="AB38" i="1" l="1"/>
  <c r="AB24" i="1"/>
  <c r="AA27" i="1"/>
  <c r="AA39" i="1" s="1"/>
  <c r="AD12" i="1"/>
  <c r="AC32" i="1"/>
  <c r="AC20" i="1"/>
  <c r="AF35" i="1"/>
  <c r="AF23" i="1"/>
  <c r="AA28" i="1" l="1"/>
  <c r="AE12" i="1"/>
  <c r="AD32" i="1"/>
  <c r="AD20" i="1"/>
  <c r="AU33" i="1"/>
  <c r="AA36" i="1"/>
  <c r="AC38" i="1"/>
  <c r="AC24" i="1"/>
  <c r="AG35" i="1"/>
  <c r="AG23" i="1"/>
  <c r="AA49" i="1" l="1"/>
  <c r="AB25" i="1" s="1"/>
  <c r="AB26" i="1" s="1"/>
  <c r="AU34" i="1"/>
  <c r="AU35" i="1"/>
  <c r="AD38" i="1"/>
  <c r="AD24" i="1"/>
  <c r="AF12" i="1"/>
  <c r="AE32" i="1"/>
  <c r="AE20" i="1"/>
  <c r="AH35" i="1"/>
  <c r="AH23" i="1"/>
  <c r="AB27" i="1" l="1"/>
  <c r="AB39" i="1" s="1"/>
  <c r="AB28" i="1"/>
  <c r="AB36" i="1" s="1"/>
  <c r="AA48" i="1"/>
  <c r="AE24" i="1"/>
  <c r="AE38" i="1"/>
  <c r="AG12" i="1"/>
  <c r="AF32" i="1"/>
  <c r="AF20" i="1"/>
  <c r="AI35" i="1"/>
  <c r="AI23" i="1"/>
  <c r="AB49" i="1" l="1"/>
  <c r="AC25" i="1" s="1"/>
  <c r="AC26" i="1" s="1"/>
  <c r="AC27" i="1" s="1"/>
  <c r="AC39" i="1" s="1"/>
  <c r="AB48" i="1"/>
  <c r="AF38" i="1"/>
  <c r="AF24" i="1"/>
  <c r="AH12" i="1"/>
  <c r="AG32" i="1"/>
  <c r="AG20" i="1"/>
  <c r="AJ35" i="1"/>
  <c r="AJ23" i="1"/>
  <c r="AC28" i="1" l="1"/>
  <c r="AG38" i="1"/>
  <c r="AG24" i="1"/>
  <c r="AI12" i="1"/>
  <c r="AH32" i="1"/>
  <c r="AH20" i="1"/>
  <c r="AK35" i="1"/>
  <c r="AK23" i="1"/>
  <c r="AC36" i="1" l="1"/>
  <c r="AC49" i="1"/>
  <c r="AJ12" i="1"/>
  <c r="AI32" i="1"/>
  <c r="AI20" i="1"/>
  <c r="AH24" i="1"/>
  <c r="AH38" i="1"/>
  <c r="AL35" i="1"/>
  <c r="AL23" i="1"/>
  <c r="AD25" i="1" l="1"/>
  <c r="AD26" i="1" s="1"/>
  <c r="AC48" i="1"/>
  <c r="AI38" i="1"/>
  <c r="AI24" i="1"/>
  <c r="AK12" i="1"/>
  <c r="AJ32" i="1"/>
  <c r="AJ20" i="1"/>
  <c r="AM35" i="1"/>
  <c r="AM23" i="1"/>
  <c r="AD27" i="1" l="1"/>
  <c r="AD39" i="1" s="1"/>
  <c r="AJ38" i="1"/>
  <c r="AJ24" i="1"/>
  <c r="AL12" i="1"/>
  <c r="AK32" i="1"/>
  <c r="AK20" i="1"/>
  <c r="AN35" i="1"/>
  <c r="AN23" i="1"/>
  <c r="AD28" i="1" l="1"/>
  <c r="AD36" i="1"/>
  <c r="AD49" i="1"/>
  <c r="AK38" i="1"/>
  <c r="AK24" i="1"/>
  <c r="AM12" i="1"/>
  <c r="AL32" i="1"/>
  <c r="AL20" i="1"/>
  <c r="AO23" i="1"/>
  <c r="AO35" i="1"/>
  <c r="AD48" i="1" l="1"/>
  <c r="AE25" i="1"/>
  <c r="AE26" i="1" s="1"/>
  <c r="AE27" i="1" s="1"/>
  <c r="AE39" i="1" s="1"/>
  <c r="AL38" i="1"/>
  <c r="AL24" i="1"/>
  <c r="AN12" i="1"/>
  <c r="AM32" i="1"/>
  <c r="AM20" i="1"/>
  <c r="AE28" i="1" l="1"/>
  <c r="AM38" i="1"/>
  <c r="AM24" i="1"/>
  <c r="AO12" i="1"/>
  <c r="AN32" i="1"/>
  <c r="AN20" i="1"/>
  <c r="AE36" i="1" l="1"/>
  <c r="AE49" i="1"/>
  <c r="AN24" i="1"/>
  <c r="AN38" i="1"/>
  <c r="AO32" i="1"/>
  <c r="AO20" i="1"/>
  <c r="AF25" i="1" l="1"/>
  <c r="AE48" i="1"/>
  <c r="AO38" i="1"/>
  <c r="AO24" i="1"/>
  <c r="AF26" i="1" l="1"/>
  <c r="AF27" i="1" l="1"/>
  <c r="AF39" i="1" s="1"/>
  <c r="AF28" i="1" l="1"/>
  <c r="AF36" i="1" l="1"/>
  <c r="AF49" i="1"/>
  <c r="AG25" i="1" l="1"/>
  <c r="AF48" i="1"/>
  <c r="AG26" i="1" l="1"/>
  <c r="AG27" i="1" l="1"/>
  <c r="AG39" i="1" s="1"/>
  <c r="AG28" i="1" l="1"/>
  <c r="AG36" i="1" l="1"/>
  <c r="AG49" i="1"/>
  <c r="AH25" i="1" l="1"/>
  <c r="AG48" i="1"/>
  <c r="AH26" i="1" l="1"/>
  <c r="AH27" i="1" l="1"/>
  <c r="AH39" i="1" s="1"/>
  <c r="AH28" i="1" l="1"/>
  <c r="AH36" i="1" l="1"/>
  <c r="AH49" i="1"/>
  <c r="AI25" i="1" l="1"/>
  <c r="AH48" i="1"/>
  <c r="AI26" i="1" l="1"/>
  <c r="AI27" i="1" l="1"/>
  <c r="AI39" i="1" s="1"/>
  <c r="AI28" i="1"/>
  <c r="AI36" i="1" l="1"/>
  <c r="AI49" i="1"/>
  <c r="AJ25" i="1" l="1"/>
  <c r="AI48" i="1"/>
  <c r="AJ26" i="1" l="1"/>
  <c r="AJ27" i="1" l="1"/>
  <c r="AJ39" i="1" s="1"/>
  <c r="AJ28" i="1"/>
  <c r="AJ36" i="1" l="1"/>
  <c r="AJ49" i="1"/>
  <c r="AK25" i="1" l="1"/>
  <c r="AJ48" i="1"/>
  <c r="AK26" i="1" l="1"/>
  <c r="AK27" i="1" l="1"/>
  <c r="AK39" i="1" s="1"/>
  <c r="AK28" i="1"/>
  <c r="AK36" i="1" l="1"/>
  <c r="AK49" i="1"/>
  <c r="AL25" i="1" l="1"/>
  <c r="AK48" i="1"/>
  <c r="AL26" i="1" l="1"/>
  <c r="AL27" i="1" l="1"/>
  <c r="AL39" i="1" s="1"/>
  <c r="AL28" i="1" l="1"/>
  <c r="AL36" i="1" l="1"/>
  <c r="AL49" i="1"/>
  <c r="AM25" i="1" l="1"/>
  <c r="AL48" i="1"/>
  <c r="AM26" i="1" l="1"/>
  <c r="AM27" i="1" l="1"/>
  <c r="AM39" i="1" s="1"/>
  <c r="AM28" i="1"/>
  <c r="AM36" i="1" l="1"/>
  <c r="AM49" i="1"/>
  <c r="AN25" i="1" l="1"/>
  <c r="AM48" i="1"/>
  <c r="AN26" i="1" l="1"/>
  <c r="AN27" i="1" l="1"/>
  <c r="AN39" i="1" s="1"/>
  <c r="AN28" i="1"/>
  <c r="AN36" i="1" l="1"/>
  <c r="AN49" i="1"/>
  <c r="AO25" i="1" l="1"/>
  <c r="AO26" i="1" s="1"/>
  <c r="AN48" i="1"/>
  <c r="AO27" i="1" l="1"/>
  <c r="AO39" i="1" s="1"/>
  <c r="AO28" i="1" l="1"/>
  <c r="AP28" i="1" l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AR35" i="1" s="1"/>
  <c r="AR37" i="1" s="1"/>
  <c r="AR39" i="1" s="1"/>
  <c r="AR41" i="1" s="1"/>
  <c r="AO36" i="1"/>
  <c r="AO49" i="1"/>
  <c r="AO48" i="1" s="1"/>
</calcChain>
</file>

<file path=xl/sharedStrings.xml><?xml version="1.0" encoding="utf-8"?>
<sst xmlns="http://schemas.openxmlformats.org/spreadsheetml/2006/main" count="128" uniqueCount="114">
  <si>
    <t>Revenue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</si>
  <si>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</si>
  <si>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</si>
  <si>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</si>
  <si>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</si>
  <si>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</si>
  <si>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</si>
  <si>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</si>
  <si>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</si>
  <si>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</si>
  <si>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</si>
  <si>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</si>
  <si>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</si>
  <si>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</si>
  <si>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</si>
  <si>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</si>
  <si>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</si>
  <si>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Services</t>
  </si>
  <si>
    <t>Sales</t>
  </si>
  <si>
    <t>Financing</t>
  </si>
  <si>
    <t>Services Cost</t>
  </si>
  <si>
    <t>Sales Cost</t>
  </si>
  <si>
    <t>Financing Cost</t>
  </si>
  <si>
    <t>Total COGS</t>
  </si>
  <si>
    <t>Gross Margin</t>
  </si>
  <si>
    <t>Gross Profit</t>
  </si>
  <si>
    <t>Financing GP</t>
  </si>
  <si>
    <t>Sales GP</t>
  </si>
  <si>
    <t>Services GP</t>
  </si>
  <si>
    <t>SG&amp;A</t>
  </si>
  <si>
    <t>R&amp;D</t>
  </si>
  <si>
    <t>Operating Expenses</t>
  </si>
  <si>
    <t>Operating Income</t>
  </si>
  <si>
    <t>Other Income</t>
  </si>
  <si>
    <t>Pretax Income</t>
  </si>
  <si>
    <t>Taxes</t>
  </si>
  <si>
    <t>Net Income</t>
  </si>
  <si>
    <t>Price</t>
  </si>
  <si>
    <t>Shares</t>
  </si>
  <si>
    <t>MC</t>
  </si>
  <si>
    <t>Cash</t>
  </si>
  <si>
    <t>Debt</t>
  </si>
  <si>
    <t>EV</t>
  </si>
  <si>
    <t>EPS</t>
  </si>
  <si>
    <t>Revenue y/y</t>
  </si>
  <si>
    <t>SG&amp;A y/y</t>
  </si>
  <si>
    <t>R&amp;D y/y</t>
  </si>
  <si>
    <t>Net Income y/y</t>
  </si>
  <si>
    <t>Tax Rate</t>
  </si>
  <si>
    <t>Maturity</t>
  </si>
  <si>
    <t>Discount</t>
  </si>
  <si>
    <t>NPV</t>
  </si>
  <si>
    <t>Net</t>
  </si>
  <si>
    <t>Share</t>
  </si>
  <si>
    <t>Current</t>
  </si>
  <si>
    <t>Name</t>
  </si>
  <si>
    <t>Incorporated in 1911</t>
  </si>
  <si>
    <t>Bluemix</t>
  </si>
  <si>
    <t>Global Technology Services (GTS)</t>
  </si>
  <si>
    <t>Global Business Services (GBS)</t>
  </si>
  <si>
    <t>Global Services (GTS/GBS)</t>
  </si>
  <si>
    <t>Software</t>
  </si>
  <si>
    <t>Systems Hardware</t>
  </si>
  <si>
    <t>Global Financing</t>
  </si>
  <si>
    <t>Description</t>
  </si>
  <si>
    <t xml:space="preserve">  Watson</t>
  </si>
  <si>
    <t>Servers, Storage</t>
  </si>
  <si>
    <t>Middleware, OS, Watson</t>
  </si>
  <si>
    <t>Cognitive</t>
  </si>
  <si>
    <t>% of Revenue</t>
  </si>
  <si>
    <t>Notes</t>
  </si>
  <si>
    <t>Main</t>
  </si>
  <si>
    <t>Global Technology Services</t>
  </si>
  <si>
    <t>Clients</t>
  </si>
  <si>
    <t>Walmart? Microsoft? JPMorgan?</t>
  </si>
  <si>
    <t>IT Infrastructure Consulting</t>
  </si>
  <si>
    <t>Competition</t>
  </si>
  <si>
    <t>Oracle, SAP</t>
  </si>
  <si>
    <t>Google?</t>
  </si>
  <si>
    <t>Dell</t>
  </si>
  <si>
    <t>Accenture, Infosys, Tata, Cognizant</t>
  </si>
  <si>
    <t>EV/E</t>
  </si>
  <si>
    <t>2016 E</t>
  </si>
  <si>
    <t>Yield</t>
  </si>
  <si>
    <t>Bonds</t>
  </si>
  <si>
    <t>Revenue LC y/y</t>
  </si>
  <si>
    <t>USD/EUR</t>
  </si>
  <si>
    <t>Backlog</t>
  </si>
  <si>
    <t>Backlog LC y/y</t>
  </si>
  <si>
    <t>Assets</t>
  </si>
  <si>
    <t>Other</t>
  </si>
  <si>
    <t>Intangibles</t>
  </si>
  <si>
    <t>Pension</t>
  </si>
  <si>
    <t>D/T</t>
  </si>
  <si>
    <t>PP&amp;E</t>
  </si>
  <si>
    <t>LT FR</t>
  </si>
  <si>
    <t>Prepaids</t>
  </si>
  <si>
    <t>Inventories</t>
  </si>
  <si>
    <t>OR</t>
  </si>
  <si>
    <t>ST FR</t>
  </si>
  <si>
    <t>A/R</t>
  </si>
  <si>
    <t>Net Cash</t>
  </si>
  <si>
    <t>Compensation</t>
  </si>
  <si>
    <t>D/R</t>
  </si>
  <si>
    <t>A/P</t>
  </si>
  <si>
    <t>Retirement</t>
  </si>
  <si>
    <t>OL</t>
  </si>
  <si>
    <t>S/E</t>
  </si>
  <si>
    <t>L+S/E</t>
  </si>
  <si>
    <t>ROIC</t>
  </si>
  <si>
    <t>Strategic Imperatives</t>
  </si>
  <si>
    <t>ROB</t>
  </si>
  <si>
    <t xml:space="preserve">  Outsourcing</t>
  </si>
  <si>
    <t>44% of 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</si>
</sst>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&quot;x&quot;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0" xfId="0" applyNumberFormat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2" fillId="0" borderId="0" xfId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3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19050</xdr:rowOff>
    </xdr:from>
    <xdr:to>
      <xdr:col>14</xdr:col>
      <xdr:colOff>38100</xdr:colOff>
      <xdr:row>73</xdr:row>
      <xdr:rowOff>57150</xdr:rowOff>
    </xdr:to>
    <xdr:cxnSp macro="">
      <xdr:nvCxnSpPr>
        <xdr:cNvPr id="3" name="Straight Connector 2"/>
        <xdr:cNvCxnSpPr/>
      </xdr:nvCxnSpPr>
      <xdr:spPr>
        <a:xfrm>
          <a:off x="9172575" y="19050"/>
          <a:ext cx="0" cy="10887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</xdr:colOff>
      <xdr:row>0</xdr:row>
      <xdr:rowOff>38100</xdr:rowOff>
    </xdr:from>
    <xdr:to>
      <xdr:col>26</xdr:col>
      <xdr:colOff>38100</xdr:colOff>
      <xdr:row>52</xdr:row>
      <xdr:rowOff>104775</xdr:rowOff>
    </xdr:to>
    <xdr:cxnSp macro="">
      <xdr:nvCxnSpPr>
        <xdr:cNvPr id="5" name="Straight Connector 4"/>
        <xdr:cNvCxnSpPr/>
      </xdr:nvCxnSpPr>
      <xdr:spPr>
        <a:xfrm>
          <a:off x="15268575" y="38100"/>
          <a:ext cx="0" cy="7191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zoomScaleNormal="100" workbookViewId="0">
      <selection activeCell="K9" sqref="K9"/>
    </sheetView>
  </sheetViews>
  <sheetFormatPr defaultRowHeight="12.75" x14ac:dyDescent="0.2"/>
  <cols>
    <col min="1" max="1" width="3" customWidth="1"/>
    <col min="2" max="2" width="31" customWidth="1"/>
    <col min="3" max="3" width="24.140625" customWidth="1"/>
    <col min="4" max="4" width="13.85546875" customWidth="1"/>
    <col min="5" max="5" width="11.7109375" customWidth="1"/>
    <col min="6" max="6" width="32.85546875" customWidth="1"/>
  </cols>
  <sheetData>
    <row r="2" spans="2:12" x14ac:dyDescent="0.2">
      <c r="B2" s="24" t="s">
        <v>55</v>
      </c>
      <c r="C2" s="27" t="s">
        <v>64</v>
      </c>
      <c r="D2" s="27" t="s">
        <v>69</v>
      </c>
      <c r="E2" s="27" t="s">
        <v>70</v>
      </c>
      <c r="F2" s="27" t="s">
        <v>76</v>
      </c>
      <c r="G2" s="25"/>
      <c r="H2" s="26"/>
      <c r="J2" t="s">
        <v>37</v>
      </c>
      <c r="K2" s="9">
        <v>137.80000000000001</v>
      </c>
    </row>
    <row r="3" spans="2:12" x14ac:dyDescent="0.2">
      <c r="B3" s="18" t="s">
        <v>58</v>
      </c>
      <c r="C3" s="28" t="s">
        <v>75</v>
      </c>
      <c r="D3" s="29">
        <f>32/81.7</f>
        <v>0.39167686658506728</v>
      </c>
      <c r="E3" s="28"/>
      <c r="F3" s="28" t="s">
        <v>80</v>
      </c>
      <c r="G3" s="19"/>
      <c r="H3" s="20"/>
      <c r="J3" t="s">
        <v>38</v>
      </c>
      <c r="K3" s="2">
        <f>2219.559-1249.449</f>
        <v>970.11000000000013</v>
      </c>
      <c r="L3" s="1" t="s">
        <v>11</v>
      </c>
    </row>
    <row r="4" spans="2:12" x14ac:dyDescent="0.2">
      <c r="B4" s="18" t="s">
        <v>59</v>
      </c>
      <c r="C4" s="28"/>
      <c r="D4" s="29">
        <f>17.166/81.741</f>
        <v>0.21000477116746799</v>
      </c>
      <c r="E4" s="28"/>
      <c r="F4" s="28" t="s">
        <v>80</v>
      </c>
      <c r="G4" s="19"/>
      <c r="H4" s="20"/>
      <c r="J4" t="s">
        <v>39</v>
      </c>
      <c r="K4" s="2">
        <f>+K3*K2</f>
        <v>133681.15800000002</v>
      </c>
      <c r="L4" s="1"/>
    </row>
    <row r="5" spans="2:12" x14ac:dyDescent="0.2">
      <c r="B5" s="18" t="s">
        <v>60</v>
      </c>
      <c r="C5" s="28"/>
      <c r="D5" s="29">
        <f>(32+17)/81.7</f>
        <v>0.59975520195838428</v>
      </c>
      <c r="E5" s="28"/>
      <c r="F5" s="28" t="s">
        <v>80</v>
      </c>
      <c r="G5" s="19"/>
      <c r="H5" s="20"/>
      <c r="J5" t="s">
        <v>40</v>
      </c>
      <c r="K5" s="2">
        <v>8194</v>
      </c>
      <c r="L5" s="1" t="s">
        <v>11</v>
      </c>
    </row>
    <row r="6" spans="2:12" x14ac:dyDescent="0.2">
      <c r="B6" s="18" t="s">
        <v>112</v>
      </c>
      <c r="C6" s="28"/>
      <c r="D6" s="29" t="s">
        <v>113</v>
      </c>
      <c r="E6" s="28"/>
      <c r="F6" s="28"/>
      <c r="G6" s="19"/>
      <c r="H6" s="20"/>
      <c r="J6" t="s">
        <v>41</v>
      </c>
      <c r="K6" s="2">
        <v>39889</v>
      </c>
      <c r="L6" s="1" t="s">
        <v>11</v>
      </c>
    </row>
    <row r="7" spans="2:12" x14ac:dyDescent="0.2">
      <c r="B7" s="18" t="s">
        <v>61</v>
      </c>
      <c r="C7" s="28" t="s">
        <v>67</v>
      </c>
      <c r="D7" s="29">
        <f>22.9/81.7</f>
        <v>0.28029375764993875</v>
      </c>
      <c r="E7" s="28"/>
      <c r="F7" s="28" t="s">
        <v>77</v>
      </c>
      <c r="G7" s="19"/>
      <c r="H7" s="20"/>
      <c r="J7" t="s">
        <v>42</v>
      </c>
      <c r="K7" s="2">
        <f>+K4-K5+K6</f>
        <v>165376.15800000002</v>
      </c>
    </row>
    <row r="8" spans="2:12" x14ac:dyDescent="0.2">
      <c r="B8" s="18" t="s">
        <v>65</v>
      </c>
      <c r="C8" s="33" t="s">
        <v>68</v>
      </c>
      <c r="D8" s="28"/>
      <c r="E8" s="28" t="s">
        <v>57</v>
      </c>
      <c r="F8" s="28" t="s">
        <v>78</v>
      </c>
      <c r="G8" s="19"/>
      <c r="H8" s="20"/>
    </row>
    <row r="9" spans="2:12" x14ac:dyDescent="0.2">
      <c r="B9" s="18" t="s">
        <v>62</v>
      </c>
      <c r="C9" s="28" t="s">
        <v>66</v>
      </c>
      <c r="D9" s="29">
        <f>7.5/81.7</f>
        <v>9.1799265605875147E-2</v>
      </c>
      <c r="E9" s="28"/>
      <c r="F9" s="28" t="s">
        <v>79</v>
      </c>
      <c r="G9" s="19"/>
      <c r="H9" s="20"/>
      <c r="K9" s="2"/>
    </row>
    <row r="10" spans="2:12" x14ac:dyDescent="0.2">
      <c r="B10" s="21" t="s">
        <v>63</v>
      </c>
      <c r="C10" s="30"/>
      <c r="D10" s="31">
        <f>1840/81741</f>
        <v>2.2510123438666031E-2</v>
      </c>
      <c r="E10" s="30"/>
      <c r="F10" s="30"/>
      <c r="G10" s="22"/>
      <c r="H10" s="23"/>
      <c r="K10" s="2"/>
    </row>
    <row r="11" spans="2:12" x14ac:dyDescent="0.2">
      <c r="F11" s="34"/>
      <c r="K11" s="9"/>
    </row>
    <row r="18" spans="2:2" x14ac:dyDescent="0.2">
      <c r="B1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2.75" x14ac:dyDescent="0.2"/>
  <cols>
    <col min="1" max="1" width="5" bestFit="1" customWidth="1"/>
    <col min="3" max="3" width="11.5703125" customWidth="1"/>
  </cols>
  <sheetData>
    <row r="1" spans="1:3" x14ac:dyDescent="0.2">
      <c r="A1" s="32" t="s">
        <v>71</v>
      </c>
    </row>
    <row r="2" spans="1:3" x14ac:dyDescent="0.2">
      <c r="B2" t="s">
        <v>55</v>
      </c>
      <c r="C2" t="s">
        <v>72</v>
      </c>
    </row>
    <row r="3" spans="1:3" x14ac:dyDescent="0.2">
      <c r="B3" t="s">
        <v>73</v>
      </c>
      <c r="C3" t="s">
        <v>74</v>
      </c>
    </row>
  </sheetData>
  <hyperlinks>
    <hyperlink ref="A1" location="Main!A1" display="Ma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73"/>
  <sheetViews>
    <sheetView zoomScaleNormal="100" workbookViewId="0">
      <pane xSplit="2" ySplit="2" topLeftCell="AN29" activePane="bottomRight" state="frozen"/>
      <selection pane="topRight" activeCell="C1" sqref="C1"/>
      <selection pane="bottomLeft" activeCell="A3" sqref="A3"/>
      <selection pane="bottomRight" activeCell="AR33" sqref="AR33"/>
    </sheetView>
  </sheetViews>
  <sheetFormatPr defaultRowHeight="12.75" x14ac:dyDescent="0.2"/>
  <cols>
    <col min="2" max="2" width="21" customWidth="1"/>
    <col min="3" max="18" width="9.140625" style="1"/>
    <col min="44" max="44" width="9.140625" customWidth="1"/>
  </cols>
  <sheetData>
    <row r="2" spans="2:41" x14ac:dyDescent="0.2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V2">
        <v>2011</v>
      </c>
      <c r="W2">
        <v>2012</v>
      </c>
      <c r="X2">
        <v>2013</v>
      </c>
      <c r="Y2">
        <v>2014</v>
      </c>
      <c r="Z2">
        <f>+Y2+1</f>
        <v>2015</v>
      </c>
      <c r="AA2">
        <f t="shared" ref="AA2:AO2" si="0">+Z2+1</f>
        <v>2016</v>
      </c>
      <c r="AB2">
        <f t="shared" si="0"/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</row>
    <row r="3" spans="2:41" s="12" customFormat="1" x14ac:dyDescent="0.2">
      <c r="B3" s="12" t="s">
        <v>110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Y3" s="4">
        <f>+Z3/1.17</f>
        <v>24700.854700854703</v>
      </c>
      <c r="Z3" s="4">
        <v>28900</v>
      </c>
    </row>
    <row r="4" spans="2:41" s="12" customFormat="1" x14ac:dyDescent="0.2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Y4" s="4"/>
      <c r="Z4" s="15">
        <f>Z3/Y3-1</f>
        <v>0.16999999999999993</v>
      </c>
    </row>
    <row r="5" spans="2:41" x14ac:dyDescent="0.2">
      <c r="B5" t="s">
        <v>111</v>
      </c>
      <c r="Y5" s="2">
        <f>+Y12-Y3</f>
        <v>68092.145299145297</v>
      </c>
      <c r="Z5" s="2">
        <f>+Z12-Z3</f>
        <v>52842</v>
      </c>
    </row>
    <row r="6" spans="2:41" x14ac:dyDescent="0.2">
      <c r="Y6" s="2"/>
      <c r="Z6" s="13">
        <f>Z5/Y5-1</f>
        <v>-0.2239633548355352</v>
      </c>
    </row>
    <row r="9" spans="2:41" s="7" customFormat="1" x14ac:dyDescent="0.2">
      <c r="B9" s="7" t="s">
        <v>17</v>
      </c>
      <c r="C9" s="8"/>
      <c r="D9" s="8"/>
      <c r="E9" s="8"/>
      <c r="F9" s="8"/>
      <c r="G9" s="8">
        <v>13982</v>
      </c>
      <c r="H9" s="8">
        <v>14128</v>
      </c>
      <c r="I9" s="8">
        <v>13869</v>
      </c>
      <c r="J9" s="8">
        <f>55673-I9-H9-G9</f>
        <v>13694</v>
      </c>
      <c r="K9" s="8">
        <v>12366</v>
      </c>
      <c r="L9" s="8">
        <v>12597</v>
      </c>
      <c r="M9" s="8">
        <v>12327</v>
      </c>
      <c r="N9" s="8">
        <f>49911-M9-L9-K9</f>
        <v>12621</v>
      </c>
      <c r="O9" s="8"/>
      <c r="P9" s="8"/>
      <c r="Q9" s="8"/>
      <c r="R9" s="8"/>
      <c r="V9" s="7">
        <v>60721</v>
      </c>
      <c r="W9" s="7">
        <v>59453</v>
      </c>
      <c r="X9" s="7">
        <v>57655</v>
      </c>
      <c r="Y9" s="7">
        <f>SUM(G9:J9)</f>
        <v>55673</v>
      </c>
      <c r="Z9" s="7">
        <f>SUM(K9:N9)</f>
        <v>49911</v>
      </c>
    </row>
    <row r="10" spans="2:41" s="2" customFormat="1" x14ac:dyDescent="0.2">
      <c r="B10" s="2" t="s">
        <v>18</v>
      </c>
      <c r="C10" s="3"/>
      <c r="D10" s="3"/>
      <c r="E10" s="3"/>
      <c r="F10" s="3"/>
      <c r="G10" s="3">
        <v>7736</v>
      </c>
      <c r="H10" s="3">
        <v>9410</v>
      </c>
      <c r="I10" s="3">
        <v>8034</v>
      </c>
      <c r="J10" s="3">
        <f>35063-I10-H10-G10</f>
        <v>9883</v>
      </c>
      <c r="K10" s="3">
        <v>6757</v>
      </c>
      <c r="L10" s="3">
        <v>7733</v>
      </c>
      <c r="M10" s="3">
        <v>6501</v>
      </c>
      <c r="N10" s="3">
        <f>29967-M10-L10-K10</f>
        <v>8976</v>
      </c>
      <c r="O10" s="3"/>
      <c r="P10" s="3"/>
      <c r="Q10" s="3"/>
      <c r="R10" s="3"/>
      <c r="V10" s="2">
        <v>44063</v>
      </c>
      <c r="W10" s="2">
        <v>43014</v>
      </c>
      <c r="X10" s="2">
        <v>38666</v>
      </c>
      <c r="Y10" s="7">
        <f t="shared" ref="Y10:Y15" si="1">SUM(G10:J10)</f>
        <v>35063</v>
      </c>
      <c r="Z10" s="7">
        <f t="shared" ref="Z10:Z11" si="2">SUM(K10:N10)</f>
        <v>29967</v>
      </c>
    </row>
    <row r="11" spans="2:41" s="2" customFormat="1" x14ac:dyDescent="0.2">
      <c r="B11" s="2" t="s">
        <v>19</v>
      </c>
      <c r="C11" s="3"/>
      <c r="D11" s="3"/>
      <c r="E11" s="3"/>
      <c r="F11" s="3"/>
      <c r="G11" s="3">
        <v>517</v>
      </c>
      <c r="H11" s="3">
        <v>509</v>
      </c>
      <c r="I11" s="3">
        <v>494</v>
      </c>
      <c r="J11" s="3">
        <f>2057-I11-H11-G11</f>
        <v>537</v>
      </c>
      <c r="K11" s="3">
        <v>467</v>
      </c>
      <c r="L11" s="3">
        <v>484</v>
      </c>
      <c r="M11" s="3">
        <v>452</v>
      </c>
      <c r="N11" s="3">
        <f>1864-M11-L11-K11</f>
        <v>461</v>
      </c>
      <c r="O11" s="3"/>
      <c r="P11" s="3"/>
      <c r="Q11" s="3"/>
      <c r="R11" s="3"/>
      <c r="V11" s="2">
        <v>2132</v>
      </c>
      <c r="W11" s="2">
        <v>2040</v>
      </c>
      <c r="X11" s="2">
        <v>2047</v>
      </c>
      <c r="Y11" s="7">
        <f t="shared" si="1"/>
        <v>2057</v>
      </c>
      <c r="Z11" s="7">
        <f t="shared" si="2"/>
        <v>1864</v>
      </c>
    </row>
    <row r="12" spans="2:41" s="4" customFormat="1" x14ac:dyDescent="0.2">
      <c r="B12" s="4" t="s">
        <v>0</v>
      </c>
      <c r="C12" s="5"/>
      <c r="D12" s="5"/>
      <c r="E12" s="5"/>
      <c r="F12" s="5"/>
      <c r="G12" s="5">
        <f t="shared" ref="G12:N12" si="3">SUM(G9:G11)</f>
        <v>22235</v>
      </c>
      <c r="H12" s="5">
        <f t="shared" si="3"/>
        <v>24047</v>
      </c>
      <c r="I12" s="5">
        <f t="shared" si="3"/>
        <v>22397</v>
      </c>
      <c r="J12" s="5">
        <f t="shared" si="3"/>
        <v>24114</v>
      </c>
      <c r="K12" s="5">
        <f t="shared" si="3"/>
        <v>19590</v>
      </c>
      <c r="L12" s="5">
        <f t="shared" si="3"/>
        <v>20814</v>
      </c>
      <c r="M12" s="5">
        <f t="shared" si="3"/>
        <v>19280</v>
      </c>
      <c r="N12" s="5">
        <f t="shared" si="3"/>
        <v>22058</v>
      </c>
      <c r="O12" s="5">
        <f>+K12*0.98</f>
        <v>19198.2</v>
      </c>
      <c r="P12" s="5">
        <f t="shared" ref="P12:R12" si="4">+L12*0.98</f>
        <v>20397.72</v>
      </c>
      <c r="Q12" s="5">
        <f t="shared" si="4"/>
        <v>18894.400000000001</v>
      </c>
      <c r="R12" s="5">
        <f t="shared" si="4"/>
        <v>21616.84</v>
      </c>
      <c r="V12" s="5">
        <f>SUM(V9:V11)</f>
        <v>106916</v>
      </c>
      <c r="W12" s="5">
        <f>SUM(W9:W11)</f>
        <v>104507</v>
      </c>
      <c r="X12" s="5">
        <f>SUM(X9:X11)</f>
        <v>98368</v>
      </c>
      <c r="Y12" s="5">
        <f>SUM(Y9:Y11)</f>
        <v>92793</v>
      </c>
      <c r="Z12" s="5">
        <f>SUM(Z9:Z11)</f>
        <v>81742</v>
      </c>
      <c r="AA12" s="4">
        <f>+Z12*0.99</f>
        <v>80924.58</v>
      </c>
      <c r="AB12" s="4">
        <f t="shared" ref="AB12:AO12" si="5">+AA12*0.99</f>
        <v>80115.334199999998</v>
      </c>
      <c r="AC12" s="4">
        <f t="shared" si="5"/>
        <v>79314.180857999992</v>
      </c>
      <c r="AD12" s="4">
        <f t="shared" si="5"/>
        <v>78521.039049419996</v>
      </c>
      <c r="AE12" s="4">
        <f t="shared" si="5"/>
        <v>77735.828658925791</v>
      </c>
      <c r="AF12" s="4">
        <f t="shared" si="5"/>
        <v>76958.470372336538</v>
      </c>
      <c r="AG12" s="4">
        <f t="shared" si="5"/>
        <v>76188.885668613177</v>
      </c>
      <c r="AH12" s="4">
        <f t="shared" si="5"/>
        <v>75426.996811927049</v>
      </c>
      <c r="AI12" s="4">
        <f t="shared" si="5"/>
        <v>74672.726843807774</v>
      </c>
      <c r="AJ12" s="4">
        <f t="shared" si="5"/>
        <v>73925.9995753697</v>
      </c>
      <c r="AK12" s="4">
        <f t="shared" si="5"/>
        <v>73186.739579615998</v>
      </c>
      <c r="AL12" s="4">
        <f t="shared" si="5"/>
        <v>72454.87218381984</v>
      </c>
      <c r="AM12" s="4">
        <f t="shared" si="5"/>
        <v>71730.323461981636</v>
      </c>
      <c r="AN12" s="4">
        <f t="shared" si="5"/>
        <v>71013.02022736182</v>
      </c>
      <c r="AO12" s="4">
        <f t="shared" si="5"/>
        <v>70302.8900250882</v>
      </c>
    </row>
    <row r="13" spans="2:41" s="2" customFormat="1" x14ac:dyDescent="0.2">
      <c r="B13" s="2" t="s">
        <v>20</v>
      </c>
      <c r="C13" s="3"/>
      <c r="D13" s="3"/>
      <c r="E13" s="3"/>
      <c r="F13" s="3"/>
      <c r="G13" s="3">
        <v>9101</v>
      </c>
      <c r="H13" s="3">
        <v>9131</v>
      </c>
      <c r="I13" s="3">
        <v>8868</v>
      </c>
      <c r="J13" s="3">
        <f>36034-I13-H13-G13</f>
        <v>8934</v>
      </c>
      <c r="K13" s="3">
        <v>8278</v>
      </c>
      <c r="L13" s="3">
        <v>8431</v>
      </c>
      <c r="M13" s="3">
        <v>8067</v>
      </c>
      <c r="N13" s="3">
        <f>33126-M13-L13-K13</f>
        <v>8350</v>
      </c>
      <c r="O13" s="3"/>
      <c r="P13" s="3"/>
      <c r="Q13" s="3"/>
      <c r="R13" s="3"/>
      <c r="Y13" s="7">
        <f t="shared" si="1"/>
        <v>36034</v>
      </c>
      <c r="Z13" s="7">
        <f t="shared" ref="Z13:Z15" si="6">SUM(K13:N13)</f>
        <v>33126</v>
      </c>
    </row>
    <row r="14" spans="2:41" s="2" customFormat="1" x14ac:dyDescent="0.2">
      <c r="B14" s="2" t="s">
        <v>21</v>
      </c>
      <c r="C14" s="3"/>
      <c r="D14" s="3"/>
      <c r="E14" s="3"/>
      <c r="F14" s="3"/>
      <c r="G14" s="3">
        <v>2229</v>
      </c>
      <c r="H14" s="3">
        <v>2643</v>
      </c>
      <c r="I14" s="3">
        <v>2398</v>
      </c>
      <c r="J14" s="3">
        <f>9312-I14-H14-G14</f>
        <v>2042</v>
      </c>
      <c r="K14" s="3">
        <v>1625</v>
      </c>
      <c r="L14" s="3">
        <v>1726</v>
      </c>
      <c r="M14" s="3">
        <v>1544</v>
      </c>
      <c r="N14" s="3">
        <f>6920-M14-L14-K14</f>
        <v>2025</v>
      </c>
      <c r="O14" s="3"/>
      <c r="P14" s="3"/>
      <c r="Q14" s="3"/>
      <c r="R14" s="3"/>
      <c r="Y14" s="7">
        <f t="shared" si="1"/>
        <v>9312</v>
      </c>
      <c r="Z14" s="7">
        <f t="shared" si="6"/>
        <v>6920</v>
      </c>
    </row>
    <row r="15" spans="2:41" s="2" customFormat="1" x14ac:dyDescent="0.2">
      <c r="B15" s="2" t="s">
        <v>22</v>
      </c>
      <c r="C15" s="3"/>
      <c r="D15" s="3"/>
      <c r="E15" s="3"/>
      <c r="F15" s="3"/>
      <c r="G15" s="3">
        <v>278</v>
      </c>
      <c r="H15" s="3">
        <v>230</v>
      </c>
      <c r="I15" s="3">
        <v>257</v>
      </c>
      <c r="J15" s="3">
        <f>1040-I15-H15-G15</f>
        <v>275</v>
      </c>
      <c r="K15" s="3">
        <v>235</v>
      </c>
      <c r="L15" s="3">
        <v>266</v>
      </c>
      <c r="M15" s="3">
        <v>233</v>
      </c>
      <c r="N15" s="3">
        <f>1011-M15-L15-K15</f>
        <v>277</v>
      </c>
      <c r="O15" s="3"/>
      <c r="P15" s="3"/>
      <c r="Q15" s="3"/>
      <c r="R15" s="3"/>
      <c r="Y15" s="7">
        <f t="shared" si="1"/>
        <v>1040</v>
      </c>
      <c r="Z15" s="7">
        <f t="shared" si="6"/>
        <v>1011</v>
      </c>
    </row>
    <row r="16" spans="2:41" s="2" customFormat="1" x14ac:dyDescent="0.2">
      <c r="B16" s="2" t="s">
        <v>23</v>
      </c>
      <c r="C16" s="3"/>
      <c r="D16" s="3"/>
      <c r="E16" s="3"/>
      <c r="F16" s="3"/>
      <c r="G16" s="3">
        <f t="shared" ref="G16:M16" si="7">SUM(G13:G15)</f>
        <v>11608</v>
      </c>
      <c r="H16" s="3">
        <f t="shared" si="7"/>
        <v>12004</v>
      </c>
      <c r="I16" s="3">
        <f t="shared" si="7"/>
        <v>11523</v>
      </c>
      <c r="J16" s="3">
        <f t="shared" si="7"/>
        <v>11251</v>
      </c>
      <c r="K16" s="3">
        <f t="shared" si="7"/>
        <v>10138</v>
      </c>
      <c r="L16" s="3">
        <f t="shared" si="7"/>
        <v>10423</v>
      </c>
      <c r="M16" s="3">
        <f t="shared" si="7"/>
        <v>9844</v>
      </c>
      <c r="N16" s="3">
        <f t="shared" ref="N16" si="8">SUM(N13:N15)</f>
        <v>10652</v>
      </c>
      <c r="O16" s="3"/>
      <c r="P16" s="3"/>
      <c r="Q16" s="3"/>
      <c r="R16" s="3"/>
      <c r="Y16" s="3">
        <f t="shared" ref="Y16" si="9">SUM(Y13:Y15)</f>
        <v>46386</v>
      </c>
      <c r="Z16" s="3">
        <f t="shared" ref="Z16" si="10">SUM(Z13:Z15)</f>
        <v>41057</v>
      </c>
    </row>
    <row r="17" spans="2:149" s="2" customFormat="1" x14ac:dyDescent="0.2">
      <c r="B17" s="2" t="s">
        <v>28</v>
      </c>
      <c r="C17" s="3"/>
      <c r="D17" s="3"/>
      <c r="E17" s="3"/>
      <c r="F17" s="3"/>
      <c r="G17" s="3">
        <f t="shared" ref="G17:M20" si="11">G9-G13</f>
        <v>4881</v>
      </c>
      <c r="H17" s="3">
        <f t="shared" si="11"/>
        <v>4997</v>
      </c>
      <c r="I17" s="3">
        <f t="shared" si="11"/>
        <v>5001</v>
      </c>
      <c r="J17" s="3">
        <f t="shared" si="11"/>
        <v>4760</v>
      </c>
      <c r="K17" s="3">
        <f t="shared" si="11"/>
        <v>4088</v>
      </c>
      <c r="L17" s="3">
        <f t="shared" si="11"/>
        <v>4166</v>
      </c>
      <c r="M17" s="3">
        <f t="shared" si="11"/>
        <v>4260</v>
      </c>
      <c r="N17" s="3">
        <f t="shared" ref="N17:N20" si="12">N9-N13</f>
        <v>4271</v>
      </c>
      <c r="O17" s="3"/>
      <c r="P17" s="3"/>
      <c r="Q17" s="3"/>
      <c r="R17" s="3"/>
      <c r="Y17" s="3">
        <f t="shared" ref="Y17:Z20" si="13">Y9-Y13</f>
        <v>19639</v>
      </c>
      <c r="Z17" s="3">
        <f t="shared" si="13"/>
        <v>16785</v>
      </c>
    </row>
    <row r="18" spans="2:149" s="2" customFormat="1" x14ac:dyDescent="0.2">
      <c r="B18" s="2" t="s">
        <v>27</v>
      </c>
      <c r="C18" s="3"/>
      <c r="D18" s="3"/>
      <c r="E18" s="3"/>
      <c r="F18" s="3"/>
      <c r="G18" s="3">
        <f t="shared" si="11"/>
        <v>5507</v>
      </c>
      <c r="H18" s="3">
        <f t="shared" si="11"/>
        <v>6767</v>
      </c>
      <c r="I18" s="3">
        <f t="shared" si="11"/>
        <v>5636</v>
      </c>
      <c r="J18" s="3">
        <f t="shared" si="11"/>
        <v>7841</v>
      </c>
      <c r="K18" s="3">
        <f t="shared" si="11"/>
        <v>5132</v>
      </c>
      <c r="L18" s="3">
        <f t="shared" si="11"/>
        <v>6007</v>
      </c>
      <c r="M18" s="3">
        <f t="shared" si="11"/>
        <v>4957</v>
      </c>
      <c r="N18" s="3">
        <f t="shared" si="12"/>
        <v>6951</v>
      </c>
      <c r="O18" s="3"/>
      <c r="P18" s="3"/>
      <c r="Q18" s="3"/>
      <c r="R18" s="3"/>
      <c r="Y18" s="3">
        <f t="shared" si="13"/>
        <v>25751</v>
      </c>
      <c r="Z18" s="3">
        <f t="shared" si="13"/>
        <v>23047</v>
      </c>
    </row>
    <row r="19" spans="2:149" s="2" customFormat="1" x14ac:dyDescent="0.2">
      <c r="B19" s="2" t="s">
        <v>26</v>
      </c>
      <c r="C19" s="3"/>
      <c r="D19" s="3"/>
      <c r="E19" s="3"/>
      <c r="F19" s="3"/>
      <c r="G19" s="3">
        <f t="shared" si="11"/>
        <v>239</v>
      </c>
      <c r="H19" s="3">
        <f t="shared" si="11"/>
        <v>279</v>
      </c>
      <c r="I19" s="3">
        <f t="shared" si="11"/>
        <v>237</v>
      </c>
      <c r="J19" s="3">
        <f t="shared" si="11"/>
        <v>262</v>
      </c>
      <c r="K19" s="3">
        <f t="shared" si="11"/>
        <v>232</v>
      </c>
      <c r="L19" s="3">
        <f t="shared" si="11"/>
        <v>218</v>
      </c>
      <c r="M19" s="3">
        <f t="shared" si="11"/>
        <v>219</v>
      </c>
      <c r="N19" s="3">
        <f t="shared" si="12"/>
        <v>184</v>
      </c>
      <c r="O19" s="3"/>
      <c r="P19" s="3"/>
      <c r="Q19" s="3"/>
      <c r="R19" s="3"/>
      <c r="Y19" s="3">
        <f t="shared" si="13"/>
        <v>1017</v>
      </c>
      <c r="Z19" s="3">
        <f t="shared" si="13"/>
        <v>853</v>
      </c>
    </row>
    <row r="20" spans="2:149" s="2" customFormat="1" x14ac:dyDescent="0.2">
      <c r="B20" s="2" t="s">
        <v>25</v>
      </c>
      <c r="C20" s="3"/>
      <c r="D20" s="3"/>
      <c r="E20" s="3"/>
      <c r="F20" s="3"/>
      <c r="G20" s="3">
        <f t="shared" si="11"/>
        <v>10627</v>
      </c>
      <c r="H20" s="3">
        <f t="shared" si="11"/>
        <v>12043</v>
      </c>
      <c r="I20" s="3">
        <f t="shared" si="11"/>
        <v>10874</v>
      </c>
      <c r="J20" s="3">
        <f t="shared" si="11"/>
        <v>12863</v>
      </c>
      <c r="K20" s="3">
        <f t="shared" si="11"/>
        <v>9452</v>
      </c>
      <c r="L20" s="3">
        <f t="shared" si="11"/>
        <v>10391</v>
      </c>
      <c r="M20" s="3">
        <f t="shared" si="11"/>
        <v>9436</v>
      </c>
      <c r="N20" s="3">
        <f t="shared" si="12"/>
        <v>11406</v>
      </c>
      <c r="O20" s="3"/>
      <c r="P20" s="3"/>
      <c r="Q20" s="3"/>
      <c r="R20" s="3"/>
      <c r="Y20" s="3">
        <f t="shared" si="13"/>
        <v>46407</v>
      </c>
      <c r="Z20" s="3">
        <f t="shared" si="13"/>
        <v>40685</v>
      </c>
      <c r="AA20" s="2">
        <f>+AA12*0.5</f>
        <v>40462.29</v>
      </c>
      <c r="AB20" s="2">
        <f t="shared" ref="AB20:AO20" si="14">+AB12*0.5</f>
        <v>40057.667099999999</v>
      </c>
      <c r="AC20" s="2">
        <f t="shared" si="14"/>
        <v>39657.090428999996</v>
      </c>
      <c r="AD20" s="2">
        <f t="shared" si="14"/>
        <v>39260.519524709998</v>
      </c>
      <c r="AE20" s="2">
        <f t="shared" si="14"/>
        <v>38867.914329462896</v>
      </c>
      <c r="AF20" s="2">
        <f t="shared" si="14"/>
        <v>38479.235186168269</v>
      </c>
      <c r="AG20" s="2">
        <f t="shared" si="14"/>
        <v>38094.442834306588</v>
      </c>
      <c r="AH20" s="2">
        <f t="shared" si="14"/>
        <v>37713.498405963524</v>
      </c>
      <c r="AI20" s="2">
        <f t="shared" si="14"/>
        <v>37336.363421903887</v>
      </c>
      <c r="AJ20" s="2">
        <f t="shared" si="14"/>
        <v>36962.99978768485</v>
      </c>
      <c r="AK20" s="2">
        <f t="shared" si="14"/>
        <v>36593.369789807999</v>
      </c>
      <c r="AL20" s="2">
        <f t="shared" si="14"/>
        <v>36227.43609190992</v>
      </c>
      <c r="AM20" s="2">
        <f t="shared" si="14"/>
        <v>35865.161730990818</v>
      </c>
      <c r="AN20" s="2">
        <f t="shared" si="14"/>
        <v>35506.51011368091</v>
      </c>
      <c r="AO20" s="2">
        <f t="shared" si="14"/>
        <v>35151.4450125441</v>
      </c>
    </row>
    <row r="21" spans="2:149" s="2" customFormat="1" x14ac:dyDescent="0.2">
      <c r="B21" s="2" t="s">
        <v>29</v>
      </c>
      <c r="C21" s="3"/>
      <c r="D21" s="3"/>
      <c r="E21" s="3"/>
      <c r="F21" s="3"/>
      <c r="G21" s="3">
        <v>6272</v>
      </c>
      <c r="H21" s="3">
        <v>5593</v>
      </c>
      <c r="I21" s="3">
        <v>5281</v>
      </c>
      <c r="J21" s="3">
        <f>23180-I21-H21-G21</f>
        <v>6034</v>
      </c>
      <c r="K21" s="3">
        <v>5362</v>
      </c>
      <c r="L21" s="3">
        <v>5179</v>
      </c>
      <c r="M21" s="3">
        <v>4731</v>
      </c>
      <c r="N21" s="3">
        <f>20430-M21-L21-K21</f>
        <v>5158</v>
      </c>
      <c r="O21" s="3"/>
      <c r="P21" s="3"/>
      <c r="Q21" s="3"/>
      <c r="R21" s="3"/>
      <c r="Y21" s="2">
        <f>SUM(G21:J21)</f>
        <v>23180</v>
      </c>
      <c r="Z21" s="7">
        <f t="shared" ref="Z21:Z22" si="15">SUM(K21:N21)</f>
        <v>20430</v>
      </c>
      <c r="AA21" s="2">
        <f t="shared" ref="AA21:AO21" si="16">+Z21*0.99</f>
        <v>20225.7</v>
      </c>
      <c r="AB21" s="2">
        <f t="shared" si="16"/>
        <v>20023.442999999999</v>
      </c>
      <c r="AC21" s="2">
        <f t="shared" si="16"/>
        <v>19823.208569999999</v>
      </c>
      <c r="AD21" s="2">
        <f t="shared" si="16"/>
        <v>19624.976484299998</v>
      </c>
      <c r="AE21" s="2">
        <f t="shared" si="16"/>
        <v>19428.726719456998</v>
      </c>
      <c r="AF21" s="2">
        <f t="shared" si="16"/>
        <v>19234.439452262428</v>
      </c>
      <c r="AG21" s="2">
        <f t="shared" si="16"/>
        <v>19042.095057739803</v>
      </c>
      <c r="AH21" s="2">
        <f t="shared" si="16"/>
        <v>18851.674107162406</v>
      </c>
      <c r="AI21" s="2">
        <f t="shared" si="16"/>
        <v>18663.157366090782</v>
      </c>
      <c r="AJ21" s="2">
        <f t="shared" si="16"/>
        <v>18476.525792429875</v>
      </c>
      <c r="AK21" s="2">
        <f t="shared" si="16"/>
        <v>18291.760534505574</v>
      </c>
      <c r="AL21" s="2">
        <f t="shared" si="16"/>
        <v>18108.842929160517</v>
      </c>
      <c r="AM21" s="2">
        <f t="shared" si="16"/>
        <v>17927.754499868912</v>
      </c>
      <c r="AN21" s="2">
        <f t="shared" si="16"/>
        <v>17748.476954870224</v>
      </c>
      <c r="AO21" s="2">
        <f t="shared" si="16"/>
        <v>17570.99218532152</v>
      </c>
    </row>
    <row r="22" spans="2:149" s="2" customFormat="1" x14ac:dyDescent="0.2">
      <c r="B22" s="2" t="s">
        <v>30</v>
      </c>
      <c r="C22" s="3"/>
      <c r="D22" s="3"/>
      <c r="E22" s="3"/>
      <c r="F22" s="3"/>
      <c r="G22" s="3">
        <v>1402</v>
      </c>
      <c r="H22" s="3">
        <v>1361</v>
      </c>
      <c r="I22" s="3">
        <v>1354</v>
      </c>
      <c r="J22" s="3">
        <f>5437-I22-H22-G22</f>
        <v>1320</v>
      </c>
      <c r="K22" s="3">
        <v>1298</v>
      </c>
      <c r="L22" s="3">
        <v>1300</v>
      </c>
      <c r="M22" s="3">
        <v>1287</v>
      </c>
      <c r="N22" s="3">
        <f>5247-M22-L22-K22</f>
        <v>1362</v>
      </c>
      <c r="O22" s="3"/>
      <c r="P22" s="3"/>
      <c r="Q22" s="3"/>
      <c r="R22" s="3"/>
      <c r="Y22" s="2">
        <f>SUM(G22:J22)</f>
        <v>5437</v>
      </c>
      <c r="Z22" s="7">
        <f t="shared" si="15"/>
        <v>5247</v>
      </c>
      <c r="AA22" s="2">
        <f>+Z22*0.99</f>
        <v>5194.53</v>
      </c>
      <c r="AB22" s="2">
        <f t="shared" ref="AB22:AO22" si="17">+AA22*0.99</f>
        <v>5142.5846999999994</v>
      </c>
      <c r="AC22" s="2">
        <f t="shared" si="17"/>
        <v>5091.158852999999</v>
      </c>
      <c r="AD22" s="2">
        <f t="shared" si="17"/>
        <v>5040.2472644699992</v>
      </c>
      <c r="AE22" s="2">
        <f t="shared" si="17"/>
        <v>4989.8447918252996</v>
      </c>
      <c r="AF22" s="2">
        <f t="shared" si="17"/>
        <v>4939.9463439070469</v>
      </c>
      <c r="AG22" s="2">
        <f t="shared" si="17"/>
        <v>4890.5468804679767</v>
      </c>
      <c r="AH22" s="2">
        <f t="shared" si="17"/>
        <v>4841.6414116632968</v>
      </c>
      <c r="AI22" s="2">
        <f t="shared" si="17"/>
        <v>4793.2249975466639</v>
      </c>
      <c r="AJ22" s="2">
        <f t="shared" si="17"/>
        <v>4745.2927475711967</v>
      </c>
      <c r="AK22" s="2">
        <f t="shared" si="17"/>
        <v>4697.8398200954844</v>
      </c>
      <c r="AL22" s="2">
        <f t="shared" si="17"/>
        <v>4650.8614218945295</v>
      </c>
      <c r="AM22" s="2">
        <f t="shared" si="17"/>
        <v>4604.3528076755838</v>
      </c>
      <c r="AN22" s="2">
        <f t="shared" si="17"/>
        <v>4558.3092795988277</v>
      </c>
      <c r="AO22" s="2">
        <f t="shared" si="17"/>
        <v>4512.726186802839</v>
      </c>
    </row>
    <row r="23" spans="2:149" s="2" customFormat="1" x14ac:dyDescent="0.2">
      <c r="B23" s="2" t="s">
        <v>31</v>
      </c>
      <c r="C23" s="3"/>
      <c r="D23" s="3"/>
      <c r="E23" s="3"/>
      <c r="F23" s="3"/>
      <c r="G23" s="3">
        <f t="shared" ref="G23:N23" si="18">G22+G21</f>
        <v>7674</v>
      </c>
      <c r="H23" s="3">
        <f t="shared" si="18"/>
        <v>6954</v>
      </c>
      <c r="I23" s="3">
        <f t="shared" si="18"/>
        <v>6635</v>
      </c>
      <c r="J23" s="3">
        <f t="shared" si="18"/>
        <v>7354</v>
      </c>
      <c r="K23" s="3">
        <f t="shared" si="18"/>
        <v>6660</v>
      </c>
      <c r="L23" s="3">
        <f t="shared" si="18"/>
        <v>6479</v>
      </c>
      <c r="M23" s="3">
        <f t="shared" si="18"/>
        <v>6018</v>
      </c>
      <c r="N23" s="3">
        <f t="shared" si="18"/>
        <v>6520</v>
      </c>
      <c r="O23" s="3"/>
      <c r="P23" s="3"/>
      <c r="Q23" s="3"/>
      <c r="R23" s="3"/>
      <c r="Y23" s="3">
        <f>Y22+Y21</f>
        <v>28617</v>
      </c>
      <c r="Z23" s="3">
        <f>Z22+Z21</f>
        <v>25677</v>
      </c>
      <c r="AA23" s="3">
        <f t="shared" ref="AA23:AO23" si="19">AA22+AA21</f>
        <v>25420.23</v>
      </c>
      <c r="AB23" s="3">
        <f t="shared" si="19"/>
        <v>25166.027699999999</v>
      </c>
      <c r="AC23" s="3">
        <f t="shared" si="19"/>
        <v>24914.367422999996</v>
      </c>
      <c r="AD23" s="3">
        <f t="shared" si="19"/>
        <v>24665.223748769997</v>
      </c>
      <c r="AE23" s="3">
        <f t="shared" si="19"/>
        <v>24418.571511282298</v>
      </c>
      <c r="AF23" s="3">
        <f t="shared" si="19"/>
        <v>24174.385796169474</v>
      </c>
      <c r="AG23" s="3">
        <f t="shared" si="19"/>
        <v>23932.64193820778</v>
      </c>
      <c r="AH23" s="3">
        <f t="shared" si="19"/>
        <v>23693.315518825701</v>
      </c>
      <c r="AI23" s="3">
        <f t="shared" si="19"/>
        <v>23456.382363637444</v>
      </c>
      <c r="AJ23" s="3">
        <f t="shared" si="19"/>
        <v>23221.81854000107</v>
      </c>
      <c r="AK23" s="3">
        <f t="shared" si="19"/>
        <v>22989.600354601058</v>
      </c>
      <c r="AL23" s="3">
        <f t="shared" si="19"/>
        <v>22759.704351055047</v>
      </c>
      <c r="AM23" s="3">
        <f t="shared" si="19"/>
        <v>22532.107307544495</v>
      </c>
      <c r="AN23" s="3">
        <f t="shared" si="19"/>
        <v>22306.786234469051</v>
      </c>
      <c r="AO23" s="3">
        <f t="shared" si="19"/>
        <v>22083.71837212436</v>
      </c>
    </row>
    <row r="24" spans="2:149" s="2" customFormat="1" x14ac:dyDescent="0.2">
      <c r="B24" s="2" t="s">
        <v>32</v>
      </c>
      <c r="C24" s="3"/>
      <c r="D24" s="3"/>
      <c r="E24" s="3"/>
      <c r="F24" s="3"/>
      <c r="G24" s="3">
        <f t="shared" ref="G24:N24" si="20">G20-G23</f>
        <v>2953</v>
      </c>
      <c r="H24" s="3">
        <f t="shared" si="20"/>
        <v>5089</v>
      </c>
      <c r="I24" s="3">
        <f t="shared" si="20"/>
        <v>4239</v>
      </c>
      <c r="J24" s="3">
        <f t="shared" si="20"/>
        <v>5509</v>
      </c>
      <c r="K24" s="3">
        <f t="shared" si="20"/>
        <v>2792</v>
      </c>
      <c r="L24" s="3">
        <f t="shared" si="20"/>
        <v>3912</v>
      </c>
      <c r="M24" s="3">
        <f t="shared" si="20"/>
        <v>3418</v>
      </c>
      <c r="N24" s="3">
        <f t="shared" si="20"/>
        <v>4886</v>
      </c>
      <c r="O24" s="3"/>
      <c r="P24" s="3"/>
      <c r="Q24" s="3"/>
      <c r="R24" s="3"/>
      <c r="Y24" s="3">
        <f>Y20-Y23</f>
        <v>17790</v>
      </c>
      <c r="Z24" s="3">
        <f>Z20-Z23</f>
        <v>15008</v>
      </c>
      <c r="AA24" s="3">
        <f t="shared" ref="AA24:AO24" si="21">AA20-AA23</f>
        <v>15042.060000000001</v>
      </c>
      <c r="AB24" s="3">
        <f t="shared" si="21"/>
        <v>14891.6394</v>
      </c>
      <c r="AC24" s="3">
        <f t="shared" si="21"/>
        <v>14742.723006</v>
      </c>
      <c r="AD24" s="3">
        <f t="shared" si="21"/>
        <v>14595.295775940001</v>
      </c>
      <c r="AE24" s="3">
        <f t="shared" si="21"/>
        <v>14449.342818180598</v>
      </c>
      <c r="AF24" s="3">
        <f t="shared" si="21"/>
        <v>14304.849389998795</v>
      </c>
      <c r="AG24" s="3">
        <f t="shared" si="21"/>
        <v>14161.800896098808</v>
      </c>
      <c r="AH24" s="3">
        <f t="shared" si="21"/>
        <v>14020.182887137824</v>
      </c>
      <c r="AI24" s="3">
        <f t="shared" si="21"/>
        <v>13879.981058266443</v>
      </c>
      <c r="AJ24" s="3">
        <f t="shared" si="21"/>
        <v>13741.18124768378</v>
      </c>
      <c r="AK24" s="3">
        <f t="shared" si="21"/>
        <v>13603.769435206941</v>
      </c>
      <c r="AL24" s="3">
        <f t="shared" si="21"/>
        <v>13467.731740854873</v>
      </c>
      <c r="AM24" s="3">
        <f t="shared" si="21"/>
        <v>13333.054423446323</v>
      </c>
      <c r="AN24" s="3">
        <f t="shared" si="21"/>
        <v>13199.723879211859</v>
      </c>
      <c r="AO24" s="3">
        <f t="shared" si="21"/>
        <v>13067.72664041974</v>
      </c>
    </row>
    <row r="25" spans="2:149" s="2" customFormat="1" x14ac:dyDescent="0.2">
      <c r="B25" s="2" t="s">
        <v>33</v>
      </c>
      <c r="C25" s="3"/>
      <c r="D25" s="3"/>
      <c r="E25" s="3"/>
      <c r="F25" s="3"/>
      <c r="G25" s="3">
        <f>207+127-105</f>
        <v>229</v>
      </c>
      <c r="H25" s="3">
        <f>191+202-136</f>
        <v>257</v>
      </c>
      <c r="I25" s="3">
        <f>145+103-126</f>
        <v>122</v>
      </c>
      <c r="J25" s="3">
        <f>742+1938-484-I25-H25-G25</f>
        <v>1588</v>
      </c>
      <c r="K25" s="3">
        <f>173+143-108</f>
        <v>208</v>
      </c>
      <c r="L25" s="3">
        <f>128+301-115</f>
        <v>314</v>
      </c>
      <c r="M25" s="3">
        <f>188+133-117</f>
        <v>204</v>
      </c>
      <c r="N25" s="3">
        <f>682+724-468-K25-L25-M25</f>
        <v>212</v>
      </c>
      <c r="O25" s="3"/>
      <c r="P25" s="3"/>
      <c r="Q25" s="3"/>
      <c r="R25" s="3"/>
      <c r="Y25" s="2">
        <f>SUM(G25:J25)</f>
        <v>2196</v>
      </c>
      <c r="Z25" s="7">
        <f t="shared" ref="Z25" si="22">SUM(K25:N25)</f>
        <v>938</v>
      </c>
      <c r="AA25" s="36">
        <f t="shared" ref="AA25:AO25" si="23">1500+(Z49*$AR$32)</f>
        <v>1500</v>
      </c>
      <c r="AB25" s="36">
        <f t="shared" si="23"/>
        <v>1500</v>
      </c>
      <c r="AC25" s="36">
        <f t="shared" si="23"/>
        <v>1500</v>
      </c>
      <c r="AD25" s="36">
        <f t="shared" si="23"/>
        <v>1500</v>
      </c>
      <c r="AE25" s="36">
        <f t="shared" si="23"/>
        <v>1500</v>
      </c>
      <c r="AF25" s="36">
        <f t="shared" si="23"/>
        <v>1500</v>
      </c>
      <c r="AG25" s="36">
        <f t="shared" si="23"/>
        <v>1500</v>
      </c>
      <c r="AH25" s="36">
        <f t="shared" si="23"/>
        <v>1500</v>
      </c>
      <c r="AI25" s="36">
        <f t="shared" si="23"/>
        <v>1500</v>
      </c>
      <c r="AJ25" s="36">
        <f t="shared" si="23"/>
        <v>1500</v>
      </c>
      <c r="AK25" s="36">
        <f t="shared" si="23"/>
        <v>1500</v>
      </c>
      <c r="AL25" s="36">
        <f t="shared" si="23"/>
        <v>1500</v>
      </c>
      <c r="AM25" s="36">
        <f t="shared" si="23"/>
        <v>1500</v>
      </c>
      <c r="AN25" s="36">
        <f t="shared" si="23"/>
        <v>1500</v>
      </c>
      <c r="AO25" s="36">
        <f t="shared" si="23"/>
        <v>1500</v>
      </c>
    </row>
    <row r="26" spans="2:149" s="2" customFormat="1" x14ac:dyDescent="0.2">
      <c r="B26" s="2" t="s">
        <v>34</v>
      </c>
      <c r="C26" s="3"/>
      <c r="D26" s="3"/>
      <c r="E26" s="3"/>
      <c r="F26" s="3"/>
      <c r="G26" s="3">
        <f t="shared" ref="G26:N26" si="24">+G24+G25</f>
        <v>3182</v>
      </c>
      <c r="H26" s="3">
        <f t="shared" si="24"/>
        <v>5346</v>
      </c>
      <c r="I26" s="3">
        <f t="shared" si="24"/>
        <v>4361</v>
      </c>
      <c r="J26" s="3">
        <f t="shared" si="24"/>
        <v>7097</v>
      </c>
      <c r="K26" s="3">
        <f t="shared" si="24"/>
        <v>3000</v>
      </c>
      <c r="L26" s="3">
        <f t="shared" si="24"/>
        <v>4226</v>
      </c>
      <c r="M26" s="3">
        <f t="shared" si="24"/>
        <v>3622</v>
      </c>
      <c r="N26" s="3">
        <f t="shared" si="24"/>
        <v>5098</v>
      </c>
      <c r="O26" s="3"/>
      <c r="P26" s="3"/>
      <c r="Q26" s="3"/>
      <c r="R26" s="3"/>
      <c r="Y26" s="3">
        <f>+Y24+Y25</f>
        <v>19986</v>
      </c>
      <c r="Z26" s="3">
        <f>+Z24+Z25</f>
        <v>15946</v>
      </c>
      <c r="AA26" s="3">
        <f t="shared" ref="AA26:AO26" si="25">+AA24+AA25</f>
        <v>16542.060000000001</v>
      </c>
      <c r="AB26" s="3">
        <f t="shared" si="25"/>
        <v>16391.6394</v>
      </c>
      <c r="AC26" s="3">
        <f t="shared" si="25"/>
        <v>16242.723006</v>
      </c>
      <c r="AD26" s="3">
        <f t="shared" si="25"/>
        <v>16095.295775940001</v>
      </c>
      <c r="AE26" s="3">
        <f t="shared" si="25"/>
        <v>15949.342818180598</v>
      </c>
      <c r="AF26" s="3">
        <f t="shared" si="25"/>
        <v>15804.849389998795</v>
      </c>
      <c r="AG26" s="3">
        <f t="shared" si="25"/>
        <v>15661.800896098808</v>
      </c>
      <c r="AH26" s="3">
        <f t="shared" si="25"/>
        <v>15520.182887137824</v>
      </c>
      <c r="AI26" s="3">
        <f t="shared" si="25"/>
        <v>15379.981058266443</v>
      </c>
      <c r="AJ26" s="3">
        <f t="shared" si="25"/>
        <v>15241.18124768378</v>
      </c>
      <c r="AK26" s="3">
        <f t="shared" si="25"/>
        <v>15103.769435206941</v>
      </c>
      <c r="AL26" s="3">
        <f t="shared" si="25"/>
        <v>14967.731740854873</v>
      </c>
      <c r="AM26" s="3">
        <f t="shared" si="25"/>
        <v>14833.054423446323</v>
      </c>
      <c r="AN26" s="3">
        <f t="shared" si="25"/>
        <v>14699.723879211859</v>
      </c>
      <c r="AO26" s="3">
        <f t="shared" si="25"/>
        <v>14567.72664041974</v>
      </c>
    </row>
    <row r="27" spans="2:149" s="2" customFormat="1" x14ac:dyDescent="0.2">
      <c r="B27" s="2" t="s">
        <v>35</v>
      </c>
      <c r="C27" s="3"/>
      <c r="D27" s="3"/>
      <c r="E27" s="3"/>
      <c r="F27" s="3"/>
      <c r="G27" s="3">
        <v>653</v>
      </c>
      <c r="H27" s="3">
        <v>1096</v>
      </c>
      <c r="I27" s="3">
        <v>906</v>
      </c>
      <c r="J27" s="3">
        <f>4234-I27-H27-G27</f>
        <v>1579</v>
      </c>
      <c r="K27" s="3">
        <v>585</v>
      </c>
      <c r="L27" s="3">
        <v>698</v>
      </c>
      <c r="M27" s="3">
        <v>659</v>
      </c>
      <c r="N27" s="3">
        <f>2581-M27-L27-K27</f>
        <v>639</v>
      </c>
      <c r="O27" s="3"/>
      <c r="P27" s="3"/>
      <c r="Q27" s="3"/>
      <c r="R27" s="3"/>
      <c r="Y27" s="2">
        <f>SUM(G27:J27)</f>
        <v>4234</v>
      </c>
      <c r="Z27" s="7">
        <f t="shared" ref="Z27" si="26">SUM(K27:N27)</f>
        <v>2581</v>
      </c>
      <c r="AA27" s="2">
        <f>+AA26*0.2</f>
        <v>3308.4120000000003</v>
      </c>
      <c r="AB27" s="2">
        <f t="shared" ref="AB27:AO27" si="27">+AB26*0.2</f>
        <v>3278.3278800000003</v>
      </c>
      <c r="AC27" s="2">
        <f t="shared" si="27"/>
        <v>3248.5446012000002</v>
      </c>
      <c r="AD27" s="2">
        <f t="shared" si="27"/>
        <v>3219.0591551880007</v>
      </c>
      <c r="AE27" s="2">
        <f t="shared" si="27"/>
        <v>3189.8685636361197</v>
      </c>
      <c r="AF27" s="2">
        <f t="shared" si="27"/>
        <v>3160.9698779997593</v>
      </c>
      <c r="AG27" s="2">
        <f t="shared" si="27"/>
        <v>3132.3601792197619</v>
      </c>
      <c r="AH27" s="2">
        <f t="shared" si="27"/>
        <v>3104.0365774275651</v>
      </c>
      <c r="AI27" s="2">
        <f t="shared" si="27"/>
        <v>3075.9962116532888</v>
      </c>
      <c r="AJ27" s="2">
        <f t="shared" si="27"/>
        <v>3048.2362495367561</v>
      </c>
      <c r="AK27" s="2">
        <f t="shared" si="27"/>
        <v>3020.7538870413882</v>
      </c>
      <c r="AL27" s="2">
        <f t="shared" si="27"/>
        <v>2993.5463481709749</v>
      </c>
      <c r="AM27" s="2">
        <f t="shared" si="27"/>
        <v>2966.6108846892648</v>
      </c>
      <c r="AN27" s="2">
        <f t="shared" si="27"/>
        <v>2939.9447758423721</v>
      </c>
      <c r="AO27" s="2">
        <f t="shared" si="27"/>
        <v>2913.5453280839483</v>
      </c>
    </row>
    <row r="28" spans="2:149" s="4" customFormat="1" x14ac:dyDescent="0.2">
      <c r="B28" s="4" t="s">
        <v>36</v>
      </c>
      <c r="C28" s="5"/>
      <c r="D28" s="5"/>
      <c r="E28" s="5"/>
      <c r="F28" s="5"/>
      <c r="G28" s="5">
        <f t="shared" ref="G28:N28" si="28">G26-G27</f>
        <v>2529</v>
      </c>
      <c r="H28" s="5">
        <f t="shared" si="28"/>
        <v>4250</v>
      </c>
      <c r="I28" s="5">
        <f t="shared" si="28"/>
        <v>3455</v>
      </c>
      <c r="J28" s="5">
        <f t="shared" si="28"/>
        <v>5518</v>
      </c>
      <c r="K28" s="5">
        <f t="shared" si="28"/>
        <v>2415</v>
      </c>
      <c r="L28" s="5">
        <f t="shared" si="28"/>
        <v>3528</v>
      </c>
      <c r="M28" s="5">
        <f t="shared" si="28"/>
        <v>2963</v>
      </c>
      <c r="N28" s="5">
        <f t="shared" si="28"/>
        <v>4459</v>
      </c>
      <c r="O28" s="5"/>
      <c r="P28" s="5"/>
      <c r="Q28" s="5"/>
      <c r="R28" s="5"/>
      <c r="Y28" s="5">
        <f>Y26-Y27</f>
        <v>15752</v>
      </c>
      <c r="Z28" s="5">
        <f>Z26-Z27</f>
        <v>13365</v>
      </c>
      <c r="AA28" s="5">
        <f t="shared" ref="AA28:AO28" si="29">AA26-AA27</f>
        <v>13233.648000000001</v>
      </c>
      <c r="AB28" s="5">
        <f t="shared" si="29"/>
        <v>13113.311519999999</v>
      </c>
      <c r="AC28" s="5">
        <f t="shared" si="29"/>
        <v>12994.178404800001</v>
      </c>
      <c r="AD28" s="5">
        <f t="shared" si="29"/>
        <v>12876.236620752001</v>
      </c>
      <c r="AE28" s="5">
        <f t="shared" si="29"/>
        <v>12759.474254544479</v>
      </c>
      <c r="AF28" s="5">
        <f t="shared" si="29"/>
        <v>12643.879511999035</v>
      </c>
      <c r="AG28" s="5">
        <f t="shared" si="29"/>
        <v>12529.440716879046</v>
      </c>
      <c r="AH28" s="5">
        <f t="shared" si="29"/>
        <v>12416.146309710259</v>
      </c>
      <c r="AI28" s="5">
        <f t="shared" si="29"/>
        <v>12303.984846613155</v>
      </c>
      <c r="AJ28" s="5">
        <f t="shared" si="29"/>
        <v>12192.944998147024</v>
      </c>
      <c r="AK28" s="5">
        <f t="shared" si="29"/>
        <v>12083.015548165553</v>
      </c>
      <c r="AL28" s="5">
        <f t="shared" si="29"/>
        <v>11974.185392683899</v>
      </c>
      <c r="AM28" s="5">
        <f t="shared" si="29"/>
        <v>11866.443538757059</v>
      </c>
      <c r="AN28" s="5">
        <f t="shared" si="29"/>
        <v>11759.779103369487</v>
      </c>
      <c r="AO28" s="5">
        <f t="shared" si="29"/>
        <v>11654.181312335792</v>
      </c>
      <c r="AP28" s="4">
        <f t="shared" ref="AP28:BU28" si="30">AO28*(1+$AR$33)</f>
        <v>11304.555872965717</v>
      </c>
      <c r="AQ28" s="4">
        <f t="shared" si="30"/>
        <v>10965.419196776746</v>
      </c>
      <c r="AR28" s="4">
        <f t="shared" si="30"/>
        <v>10636.456620873443</v>
      </c>
      <c r="AS28" s="4">
        <f t="shared" si="30"/>
        <v>10317.362922247239</v>
      </c>
      <c r="AT28" s="4">
        <f t="shared" si="30"/>
        <v>10007.842034579822</v>
      </c>
      <c r="AU28" s="4">
        <f t="shared" si="30"/>
        <v>9707.6067735424276</v>
      </c>
      <c r="AV28" s="4">
        <f t="shared" si="30"/>
        <v>9416.3785703361536</v>
      </c>
      <c r="AW28" s="4">
        <f t="shared" si="30"/>
        <v>9133.8872132260694</v>
      </c>
      <c r="AX28" s="4">
        <f t="shared" si="30"/>
        <v>8859.870596829287</v>
      </c>
      <c r="AY28" s="4">
        <f t="shared" si="30"/>
        <v>8594.074478924409</v>
      </c>
      <c r="AZ28" s="4">
        <f t="shared" si="30"/>
        <v>8336.2522445566774</v>
      </c>
      <c r="BA28" s="4">
        <f t="shared" si="30"/>
        <v>8086.1646772199765</v>
      </c>
      <c r="BB28" s="4">
        <f t="shared" si="30"/>
        <v>7843.5797369033771</v>
      </c>
      <c r="BC28" s="4">
        <f t="shared" si="30"/>
        <v>7608.2723447962753</v>
      </c>
      <c r="BD28" s="4">
        <f t="shared" si="30"/>
        <v>7380.0241744523864</v>
      </c>
      <c r="BE28" s="4">
        <f t="shared" si="30"/>
        <v>7158.623449218815</v>
      </c>
      <c r="BF28" s="4">
        <f t="shared" si="30"/>
        <v>6943.8647457422503</v>
      </c>
      <c r="BG28" s="4">
        <f t="shared" si="30"/>
        <v>6735.548803369983</v>
      </c>
      <c r="BH28" s="4">
        <f t="shared" si="30"/>
        <v>6533.4823392688832</v>
      </c>
      <c r="BI28" s="4">
        <f t="shared" si="30"/>
        <v>6337.4778690908161</v>
      </c>
      <c r="BJ28" s="4">
        <f t="shared" si="30"/>
        <v>6147.3535330180912</v>
      </c>
      <c r="BK28" s="4">
        <f t="shared" si="30"/>
        <v>5962.9329270275484</v>
      </c>
      <c r="BL28" s="4">
        <f t="shared" si="30"/>
        <v>5784.044939216722</v>
      </c>
      <c r="BM28" s="4">
        <f t="shared" si="30"/>
        <v>5610.5235910402198</v>
      </c>
      <c r="BN28" s="4">
        <f t="shared" si="30"/>
        <v>5442.2078833090127</v>
      </c>
      <c r="BO28" s="4">
        <f t="shared" si="30"/>
        <v>5278.9416468097425</v>
      </c>
      <c r="BP28" s="4">
        <f t="shared" si="30"/>
        <v>5120.5733974054501</v>
      </c>
      <c r="BQ28" s="4">
        <f t="shared" si="30"/>
        <v>4966.9561954832861</v>
      </c>
      <c r="BR28" s="4">
        <f t="shared" si="30"/>
        <v>4817.9475096187871</v>
      </c>
      <c r="BS28" s="4">
        <f t="shared" si="30"/>
        <v>4673.4090843302238</v>
      </c>
      <c r="BT28" s="4">
        <f t="shared" si="30"/>
        <v>4533.2068118003172</v>
      </c>
      <c r="BU28" s="4">
        <f t="shared" si="30"/>
        <v>4397.2106074463072</v>
      </c>
      <c r="BV28" s="4">
        <f t="shared" ref="BV28:DA28" si="31">BU28*(1+$AR$33)</f>
        <v>4265.2942892229175</v>
      </c>
      <c r="BW28" s="4">
        <f t="shared" si="31"/>
        <v>4137.33546054623</v>
      </c>
      <c r="BX28" s="4">
        <f t="shared" si="31"/>
        <v>4013.2153967298432</v>
      </c>
      <c r="BY28" s="4">
        <f t="shared" si="31"/>
        <v>3892.8189348279479</v>
      </c>
      <c r="BZ28" s="4">
        <f t="shared" si="31"/>
        <v>3776.0343667831094</v>
      </c>
      <c r="CA28" s="4">
        <f t="shared" si="31"/>
        <v>3662.753335779616</v>
      </c>
      <c r="CB28" s="4">
        <f t="shared" si="31"/>
        <v>3552.8707357062276</v>
      </c>
      <c r="CC28" s="4">
        <f t="shared" si="31"/>
        <v>3446.2846136350408</v>
      </c>
      <c r="CD28" s="4">
        <f t="shared" si="31"/>
        <v>3342.8960752259895</v>
      </c>
      <c r="CE28" s="4">
        <f t="shared" si="31"/>
        <v>3242.6091929692097</v>
      </c>
      <c r="CF28" s="4">
        <f t="shared" si="31"/>
        <v>3145.3309171801334</v>
      </c>
      <c r="CG28" s="4">
        <f t="shared" si="31"/>
        <v>3050.9709896647291</v>
      </c>
      <c r="CH28" s="4">
        <f t="shared" si="31"/>
        <v>2959.4418599747873</v>
      </c>
      <c r="CI28" s="4">
        <f t="shared" si="31"/>
        <v>2870.6586041755436</v>
      </c>
      <c r="CJ28" s="4">
        <f t="shared" si="31"/>
        <v>2784.5388460502772</v>
      </c>
      <c r="CK28" s="4">
        <f t="shared" si="31"/>
        <v>2701.0026806687688</v>
      </c>
      <c r="CL28" s="4">
        <f t="shared" si="31"/>
        <v>2619.9726002487055</v>
      </c>
      <c r="CM28" s="4">
        <f t="shared" si="31"/>
        <v>2541.373422241244</v>
      </c>
      <c r="CN28" s="4">
        <f t="shared" si="31"/>
        <v>2465.1322195740067</v>
      </c>
      <c r="CO28" s="4">
        <f t="shared" si="31"/>
        <v>2391.1782529867864</v>
      </c>
      <c r="CP28" s="4">
        <f t="shared" si="31"/>
        <v>2319.4429053971826</v>
      </c>
      <c r="CQ28" s="4">
        <f t="shared" si="31"/>
        <v>2249.8596182352671</v>
      </c>
      <c r="CR28" s="4">
        <f t="shared" si="31"/>
        <v>2182.3638296882091</v>
      </c>
      <c r="CS28" s="4">
        <f t="shared" si="31"/>
        <v>2116.8929147975628</v>
      </c>
      <c r="CT28" s="4">
        <f t="shared" si="31"/>
        <v>2053.3861273536359</v>
      </c>
      <c r="CU28" s="4">
        <f t="shared" si="31"/>
        <v>1991.7845435330266</v>
      </c>
      <c r="CV28" s="4">
        <f t="shared" si="31"/>
        <v>1932.0310072270358</v>
      </c>
      <c r="CW28" s="4">
        <f t="shared" si="31"/>
        <v>1874.0700770102246</v>
      </c>
      <c r="CX28" s="4">
        <f t="shared" si="31"/>
        <v>1817.8479746999178</v>
      </c>
      <c r="CY28" s="4">
        <f t="shared" si="31"/>
        <v>1763.3125354589201</v>
      </c>
      <c r="CZ28" s="4">
        <f t="shared" si="31"/>
        <v>1710.4131593951524</v>
      </c>
      <c r="DA28" s="4">
        <f t="shared" si="31"/>
        <v>1659.1007646132978</v>
      </c>
      <c r="DB28" s="4">
        <f t="shared" ref="DB28:EG28" si="32">DA28*(1+$AR$33)</f>
        <v>1609.3277416748988</v>
      </c>
      <c r="DC28" s="4">
        <f t="shared" si="32"/>
        <v>1561.0479094246518</v>
      </c>
      <c r="DD28" s="4">
        <f t="shared" si="32"/>
        <v>1514.2164721419122</v>
      </c>
      <c r="DE28" s="4">
        <f t="shared" si="32"/>
        <v>1468.7899779776549</v>
      </c>
      <c r="DF28" s="4">
        <f t="shared" si="32"/>
        <v>1424.7262786383251</v>
      </c>
      <c r="DG28" s="4">
        <f t="shared" si="32"/>
        <v>1381.9844902791754</v>
      </c>
      <c r="DH28" s="4">
        <f t="shared" si="32"/>
        <v>1340.5249555708001</v>
      </c>
      <c r="DI28" s="4">
        <f t="shared" si="32"/>
        <v>1300.3092069036761</v>
      </c>
      <c r="DJ28" s="4">
        <f t="shared" si="32"/>
        <v>1261.2999306965658</v>
      </c>
      <c r="DK28" s="4">
        <f t="shared" si="32"/>
        <v>1223.4609327756687</v>
      </c>
      <c r="DL28" s="4">
        <f t="shared" si="32"/>
        <v>1186.7571047923986</v>
      </c>
      <c r="DM28" s="4">
        <f t="shared" si="32"/>
        <v>1151.1543916486266</v>
      </c>
      <c r="DN28" s="4">
        <f t="shared" si="32"/>
        <v>1116.6197598991678</v>
      </c>
      <c r="DO28" s="4">
        <f t="shared" si="32"/>
        <v>1083.1211671021927</v>
      </c>
      <c r="DP28" s="4">
        <f t="shared" si="32"/>
        <v>1050.6275320891268</v>
      </c>
      <c r="DQ28" s="4">
        <f t="shared" si="32"/>
        <v>1019.1087061264529</v>
      </c>
      <c r="DR28" s="4">
        <f t="shared" si="32"/>
        <v>988.5354449426593</v>
      </c>
      <c r="DS28" s="4">
        <f t="shared" si="32"/>
        <v>958.87938159437954</v>
      </c>
      <c r="DT28" s="4">
        <f t="shared" si="32"/>
        <v>930.11300014654807</v>
      </c>
      <c r="DU28" s="4">
        <f t="shared" si="32"/>
        <v>902.20961014215163</v>
      </c>
      <c r="DV28" s="4">
        <f t="shared" si="32"/>
        <v>875.14332183788702</v>
      </c>
      <c r="DW28" s="4">
        <f t="shared" si="32"/>
        <v>848.88902218275041</v>
      </c>
      <c r="DX28" s="4">
        <f t="shared" si="32"/>
        <v>823.42235151726788</v>
      </c>
      <c r="DY28" s="4">
        <f t="shared" si="32"/>
        <v>798.71968097174988</v>
      </c>
      <c r="DZ28" s="4">
        <f t="shared" si="32"/>
        <v>774.75809054259742</v>
      </c>
      <c r="EA28" s="4">
        <f t="shared" si="32"/>
        <v>751.5153478263195</v>
      </c>
      <c r="EB28" s="4">
        <f t="shared" si="32"/>
        <v>728.96988739152994</v>
      </c>
      <c r="EC28" s="4">
        <f t="shared" si="32"/>
        <v>707.100790769784</v>
      </c>
      <c r="ED28" s="4">
        <f t="shared" si="32"/>
        <v>685.88776704669044</v>
      </c>
      <c r="EE28" s="4">
        <f t="shared" si="32"/>
        <v>665.31113403528968</v>
      </c>
      <c r="EF28" s="4">
        <f t="shared" si="32"/>
        <v>645.351800014231</v>
      </c>
      <c r="EG28" s="4">
        <f t="shared" si="32"/>
        <v>625.99124601380402</v>
      </c>
      <c r="EH28" s="4">
        <f t="shared" ref="EH28:ES28" si="33">EG28*(1+$AR$33)</f>
        <v>607.21150863338983</v>
      </c>
      <c r="EI28" s="4">
        <f t="shared" si="33"/>
        <v>588.99516337438808</v>
      </c>
      <c r="EJ28" s="4">
        <f t="shared" si="33"/>
        <v>571.32530847315638</v>
      </c>
      <c r="EK28" s="4">
        <f t="shared" si="33"/>
        <v>554.18554921896168</v>
      </c>
      <c r="EL28" s="4">
        <f t="shared" si="33"/>
        <v>537.55998274239278</v>
      </c>
      <c r="EM28" s="4">
        <f t="shared" si="33"/>
        <v>521.43318326012093</v>
      </c>
      <c r="EN28" s="4">
        <f t="shared" si="33"/>
        <v>505.79018776231726</v>
      </c>
      <c r="EO28" s="4">
        <f t="shared" si="33"/>
        <v>490.61648212944772</v>
      </c>
      <c r="EP28" s="4">
        <f t="shared" si="33"/>
        <v>475.8979876655643</v>
      </c>
      <c r="EQ28" s="4">
        <f t="shared" si="33"/>
        <v>461.62104803559737</v>
      </c>
      <c r="ER28" s="4">
        <f t="shared" si="33"/>
        <v>447.77241659452943</v>
      </c>
      <c r="ES28" s="4">
        <f t="shared" si="33"/>
        <v>434.33924409669356</v>
      </c>
    </row>
    <row r="29" spans="2:149" x14ac:dyDescent="0.2">
      <c r="B29" s="2" t="s">
        <v>43</v>
      </c>
      <c r="G29" s="10">
        <f t="shared" ref="G29:N29" si="34">G28/G30</f>
        <v>2.4430061823802163</v>
      </c>
      <c r="H29" s="10">
        <f t="shared" si="34"/>
        <v>4.2517006802721085</v>
      </c>
      <c r="I29" s="10">
        <f t="shared" si="34"/>
        <v>3.4835652349263966</v>
      </c>
      <c r="J29" s="10">
        <f t="shared" si="34"/>
        <v>5.5636216979229687</v>
      </c>
      <c r="K29" s="10">
        <f t="shared" si="34"/>
        <v>2.4440846068211717</v>
      </c>
      <c r="L29" s="10">
        <f t="shared" si="34"/>
        <v>3.59157080321694</v>
      </c>
      <c r="M29" s="10">
        <f t="shared" si="34"/>
        <v>3.0386627012614089</v>
      </c>
      <c r="N29" s="10">
        <f t="shared" si="34"/>
        <v>4.5593047034764824</v>
      </c>
      <c r="Z29" s="10">
        <f>Z28/Z30</f>
        <v>13.625589397221868</v>
      </c>
    </row>
    <row r="30" spans="2:149" x14ac:dyDescent="0.2">
      <c r="B30" s="2" t="s">
        <v>38</v>
      </c>
      <c r="G30" s="3">
        <v>1035.2</v>
      </c>
      <c r="H30" s="3">
        <v>999.6</v>
      </c>
      <c r="I30" s="3">
        <v>991.8</v>
      </c>
      <c r="J30" s="3">
        <v>991.8</v>
      </c>
      <c r="K30" s="3">
        <v>988.1</v>
      </c>
      <c r="L30" s="3">
        <v>982.3</v>
      </c>
      <c r="M30" s="3">
        <v>975.1</v>
      </c>
      <c r="N30" s="1">
        <v>978</v>
      </c>
      <c r="Z30" s="2">
        <f>AVERAGE(K30:N30)</f>
        <v>980.875</v>
      </c>
    </row>
    <row r="32" spans="2:149" s="12" customFormat="1" x14ac:dyDescent="0.2">
      <c r="B32" s="4" t="s">
        <v>44</v>
      </c>
      <c r="C32" s="11"/>
      <c r="D32" s="11"/>
      <c r="E32" s="11"/>
      <c r="F32" s="11"/>
      <c r="G32" s="11"/>
      <c r="H32" s="11"/>
      <c r="I32" s="11"/>
      <c r="J32" s="11"/>
      <c r="K32" s="14">
        <f>K12/G12-1</f>
        <v>-0.11895659995502583</v>
      </c>
      <c r="L32" s="14">
        <f>L12/H12-1</f>
        <v>-0.13444504511997335</v>
      </c>
      <c r="M32" s="14">
        <f>M12/I12-1</f>
        <v>-0.13917042461043894</v>
      </c>
      <c r="N32" s="14">
        <f>N12/J12-1</f>
        <v>-8.5261673716513275E-2</v>
      </c>
      <c r="O32" s="14">
        <f t="shared" ref="O32:R32" si="35">O12/K12-1</f>
        <v>-2.0000000000000018E-2</v>
      </c>
      <c r="P32" s="14">
        <f t="shared" si="35"/>
        <v>-1.9999999999999907E-2</v>
      </c>
      <c r="Q32" s="14">
        <f t="shared" si="35"/>
        <v>-1.9999999999999907E-2</v>
      </c>
      <c r="R32" s="14">
        <f t="shared" si="35"/>
        <v>-2.0000000000000018E-2</v>
      </c>
      <c r="V32" s="15"/>
      <c r="W32" s="15">
        <f>W12/V12-1</f>
        <v>-2.2531707134572976E-2</v>
      </c>
      <c r="X32" s="15">
        <f>X12/W12-1</f>
        <v>-5.8742476580516123E-2</v>
      </c>
      <c r="Y32" s="15">
        <f>Y12/X12-1</f>
        <v>-5.6674934938191313E-2</v>
      </c>
      <c r="Z32" s="15">
        <f>Z12/Y12-1</f>
        <v>-0.11909303503497026</v>
      </c>
      <c r="AA32" s="15">
        <f t="shared" ref="AA32:AO32" si="36">AA12/Z12-1</f>
        <v>-1.0000000000000009E-2</v>
      </c>
      <c r="AB32" s="15">
        <f t="shared" si="36"/>
        <v>-1.0000000000000009E-2</v>
      </c>
      <c r="AC32" s="15">
        <f t="shared" si="36"/>
        <v>-1.0000000000000009E-2</v>
      </c>
      <c r="AD32" s="15">
        <f t="shared" si="36"/>
        <v>-9.9999999999998979E-3</v>
      </c>
      <c r="AE32" s="15">
        <f t="shared" si="36"/>
        <v>-1.000000000000012E-2</v>
      </c>
      <c r="AF32" s="15">
        <f t="shared" si="36"/>
        <v>-9.9999999999998979E-3</v>
      </c>
      <c r="AG32" s="15">
        <f t="shared" si="36"/>
        <v>-9.9999999999998979E-3</v>
      </c>
      <c r="AH32" s="15">
        <f t="shared" si="36"/>
        <v>-9.9999999999998979E-3</v>
      </c>
      <c r="AI32" s="15">
        <f t="shared" si="36"/>
        <v>-1.0000000000000009E-2</v>
      </c>
      <c r="AJ32" s="15">
        <f t="shared" si="36"/>
        <v>-9.9999999999998979E-3</v>
      </c>
      <c r="AK32" s="15">
        <f t="shared" si="36"/>
        <v>-1.000000000000012E-2</v>
      </c>
      <c r="AL32" s="15">
        <f t="shared" si="36"/>
        <v>-1.0000000000000009E-2</v>
      </c>
      <c r="AM32" s="15">
        <f t="shared" si="36"/>
        <v>-1.000000000000012E-2</v>
      </c>
      <c r="AN32" s="15">
        <f t="shared" si="36"/>
        <v>-1.0000000000000009E-2</v>
      </c>
      <c r="AO32" s="15">
        <f t="shared" si="36"/>
        <v>-1.0000000000000009E-2</v>
      </c>
      <c r="AQ32" t="s">
        <v>109</v>
      </c>
      <c r="AR32" s="17">
        <v>0</v>
      </c>
      <c r="AS32"/>
      <c r="AT32" t="s">
        <v>42</v>
      </c>
      <c r="AU32" s="2">
        <f>Main!K7</f>
        <v>165376.15800000002</v>
      </c>
    </row>
    <row r="33" spans="2:47" s="12" customFormat="1" x14ac:dyDescent="0.2">
      <c r="B33" s="4" t="s">
        <v>85</v>
      </c>
      <c r="C33" s="11"/>
      <c r="D33" s="11"/>
      <c r="E33" s="11"/>
      <c r="F33" s="11"/>
      <c r="G33" s="11"/>
      <c r="H33" s="11"/>
      <c r="I33" s="11"/>
      <c r="J33" s="11"/>
      <c r="K33" s="14"/>
      <c r="L33" s="14"/>
      <c r="M33" s="14"/>
      <c r="N33" s="14">
        <v>-0.02</v>
      </c>
      <c r="O33" s="11"/>
      <c r="P33" s="11"/>
      <c r="Q33" s="11"/>
      <c r="R33" s="11"/>
      <c r="V33" s="15"/>
      <c r="W33" s="15"/>
      <c r="X33" s="15"/>
      <c r="Y33" s="15"/>
      <c r="Z33" s="15">
        <v>-0.01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Q33" t="s">
        <v>49</v>
      </c>
      <c r="AR33" s="13">
        <v>-0.03</v>
      </c>
      <c r="AS33"/>
      <c r="AT33" s="12" t="s">
        <v>82</v>
      </c>
      <c r="AU33" s="4">
        <f>AA28</f>
        <v>13233.648000000001</v>
      </c>
    </row>
    <row r="34" spans="2:47" x14ac:dyDescent="0.2">
      <c r="B34" s="2" t="s">
        <v>45</v>
      </c>
      <c r="K34" s="6"/>
      <c r="L34" s="6"/>
      <c r="M34" s="6"/>
      <c r="N34" s="6"/>
      <c r="Y34" s="13"/>
      <c r="Z34" s="13">
        <f>Z21/Y21-1</f>
        <v>-0.11863675582398614</v>
      </c>
      <c r="AA34" s="13">
        <f t="shared" ref="AA34:AO34" si="37">AA21/Z21-1</f>
        <v>-1.0000000000000009E-2</v>
      </c>
      <c r="AB34" s="13">
        <f t="shared" si="37"/>
        <v>-1.000000000000012E-2</v>
      </c>
      <c r="AC34" s="13">
        <f t="shared" si="37"/>
        <v>-1.0000000000000009E-2</v>
      </c>
      <c r="AD34" s="13">
        <f t="shared" si="37"/>
        <v>-1.000000000000012E-2</v>
      </c>
      <c r="AE34" s="13">
        <f t="shared" si="37"/>
        <v>-1.0000000000000009E-2</v>
      </c>
      <c r="AF34" s="13">
        <f t="shared" si="37"/>
        <v>-1.0000000000000009E-2</v>
      </c>
      <c r="AG34" s="13">
        <f t="shared" si="37"/>
        <v>-1.0000000000000009E-2</v>
      </c>
      <c r="AH34" s="13">
        <f t="shared" si="37"/>
        <v>-1.0000000000000009E-2</v>
      </c>
      <c r="AI34" s="13">
        <f t="shared" si="37"/>
        <v>-1.0000000000000009E-2</v>
      </c>
      <c r="AJ34" s="13">
        <f t="shared" si="37"/>
        <v>-9.9999999999998979E-3</v>
      </c>
      <c r="AK34" s="13">
        <f t="shared" si="37"/>
        <v>-1.000000000000012E-2</v>
      </c>
      <c r="AL34" s="13">
        <f t="shared" si="37"/>
        <v>-1.000000000000012E-2</v>
      </c>
      <c r="AM34" s="13">
        <f t="shared" si="37"/>
        <v>-1.0000000000000009E-2</v>
      </c>
      <c r="AN34" s="13">
        <f t="shared" si="37"/>
        <v>-9.9999999999998979E-3</v>
      </c>
      <c r="AO34" s="13">
        <f t="shared" si="37"/>
        <v>-1.000000000000012E-2</v>
      </c>
      <c r="AQ34" t="s">
        <v>50</v>
      </c>
      <c r="AR34" s="17">
        <v>4.4999999999999998E-2</v>
      </c>
      <c r="AS34" s="12"/>
      <c r="AT34" t="s">
        <v>81</v>
      </c>
      <c r="AU34" s="35">
        <f>AU32/AU33</f>
        <v>12.4966417423223</v>
      </c>
    </row>
    <row r="35" spans="2:47" x14ac:dyDescent="0.2">
      <c r="B35" s="2" t="s">
        <v>46</v>
      </c>
      <c r="K35" s="6"/>
      <c r="L35" s="6"/>
      <c r="M35" s="6"/>
      <c r="N35" s="6"/>
      <c r="Y35" s="13"/>
      <c r="Z35" s="13">
        <f>Z22/Y22-1</f>
        <v>-3.4945742137208025E-2</v>
      </c>
      <c r="AA35" s="13">
        <f t="shared" ref="AA35:AO35" si="38">AA22/Z22-1</f>
        <v>-1.0000000000000009E-2</v>
      </c>
      <c r="AB35" s="13">
        <f t="shared" si="38"/>
        <v>-1.0000000000000009E-2</v>
      </c>
      <c r="AC35" s="13">
        <f t="shared" si="38"/>
        <v>-1.000000000000012E-2</v>
      </c>
      <c r="AD35" s="13">
        <f t="shared" si="38"/>
        <v>-1.0000000000000009E-2</v>
      </c>
      <c r="AE35" s="13">
        <f t="shared" si="38"/>
        <v>-9.9999999999998979E-3</v>
      </c>
      <c r="AF35" s="13">
        <f t="shared" si="38"/>
        <v>-9.9999999999998979E-3</v>
      </c>
      <c r="AG35" s="13">
        <f t="shared" si="38"/>
        <v>-9.9999999999998979E-3</v>
      </c>
      <c r="AH35" s="13">
        <f t="shared" si="38"/>
        <v>-1.0000000000000009E-2</v>
      </c>
      <c r="AI35" s="13">
        <f t="shared" si="38"/>
        <v>-1.0000000000000009E-2</v>
      </c>
      <c r="AJ35" s="13">
        <f t="shared" si="38"/>
        <v>-1.000000000000012E-2</v>
      </c>
      <c r="AK35" s="13">
        <f t="shared" si="38"/>
        <v>-1.000000000000012E-2</v>
      </c>
      <c r="AL35" s="13">
        <f t="shared" si="38"/>
        <v>-1.0000000000000009E-2</v>
      </c>
      <c r="AM35" s="13">
        <f t="shared" si="38"/>
        <v>-1.000000000000012E-2</v>
      </c>
      <c r="AN35" s="13">
        <f t="shared" si="38"/>
        <v>-1.0000000000000009E-2</v>
      </c>
      <c r="AO35" s="13">
        <f t="shared" si="38"/>
        <v>-1.000000000000012E-2</v>
      </c>
      <c r="AQ35" s="12" t="s">
        <v>51</v>
      </c>
      <c r="AR35" s="4">
        <f>NPV(AR34,AA28:ES28)</f>
        <v>212305.96719750567</v>
      </c>
      <c r="AS35" s="12"/>
      <c r="AT35" t="s">
        <v>83</v>
      </c>
      <c r="AU35" s="13">
        <f>AU33/AU32</f>
        <v>8.0021498624971071E-2</v>
      </c>
    </row>
    <row r="36" spans="2:47" s="12" customFormat="1" x14ac:dyDescent="0.2">
      <c r="B36" s="4" t="s">
        <v>47</v>
      </c>
      <c r="C36" s="11"/>
      <c r="D36" s="11"/>
      <c r="E36" s="11"/>
      <c r="F36" s="11"/>
      <c r="G36" s="11"/>
      <c r="H36" s="11"/>
      <c r="I36" s="11"/>
      <c r="J36" s="11"/>
      <c r="K36" s="14"/>
      <c r="L36" s="14"/>
      <c r="M36" s="14"/>
      <c r="N36" s="14"/>
      <c r="O36" s="11"/>
      <c r="P36" s="11"/>
      <c r="Q36" s="11"/>
      <c r="R36" s="11"/>
      <c r="Y36" s="15"/>
      <c r="Z36" s="15">
        <f>Z28/Y28-1</f>
        <v>-0.15153631284916202</v>
      </c>
      <c r="AA36" s="15">
        <f t="shared" ref="AA36:AO36" si="39">AA28/Z28-1</f>
        <v>-9.8280583613916672E-3</v>
      </c>
      <c r="AB36" s="15">
        <f t="shared" si="39"/>
        <v>-9.0932205541511824E-3</v>
      </c>
      <c r="AC36" s="15">
        <f t="shared" si="39"/>
        <v>-9.0848993420388213E-3</v>
      </c>
      <c r="AD36" s="15">
        <f t="shared" si="39"/>
        <v>-9.0765095240213922E-3</v>
      </c>
      <c r="AE36" s="15">
        <f t="shared" si="39"/>
        <v>-9.0680506771164682E-3</v>
      </c>
      <c r="AF36" s="15">
        <f t="shared" si="39"/>
        <v>-9.0595223783827006E-3</v>
      </c>
      <c r="AG36" s="15">
        <f t="shared" si="39"/>
        <v>-9.050924204978994E-3</v>
      </c>
      <c r="AH36" s="15">
        <f t="shared" si="39"/>
        <v>-9.0422557342214605E-3</v>
      </c>
      <c r="AI36" s="15">
        <f t="shared" si="39"/>
        <v>-9.0335165436464804E-3</v>
      </c>
      <c r="AJ36" s="15">
        <f t="shared" si="39"/>
        <v>-9.0247062110692111E-3</v>
      </c>
      <c r="AK36" s="15">
        <f t="shared" si="39"/>
        <v>-9.0158243146489792E-3</v>
      </c>
      <c r="AL36" s="15">
        <f t="shared" si="39"/>
        <v>-9.0068704329504534E-3</v>
      </c>
      <c r="AM36" s="15">
        <f t="shared" si="39"/>
        <v>-8.9978441450112578E-3</v>
      </c>
      <c r="AN36" s="15">
        <f t="shared" si="39"/>
        <v>-8.9887450304040328E-3</v>
      </c>
      <c r="AO36" s="15">
        <f t="shared" si="39"/>
        <v>-8.9795726693062683E-3</v>
      </c>
      <c r="AQ36" t="s">
        <v>40</v>
      </c>
      <c r="AR36" s="2">
        <f>Main!K5-Main!K6</f>
        <v>-31695</v>
      </c>
      <c r="AS36"/>
      <c r="AT36" s="12" t="s">
        <v>84</v>
      </c>
      <c r="AU36" s="15">
        <v>0.03</v>
      </c>
    </row>
    <row r="37" spans="2:47" s="12" customFormat="1" x14ac:dyDescent="0.2">
      <c r="B37" s="4"/>
      <c r="C37" s="11"/>
      <c r="D37" s="11"/>
      <c r="E37" s="11"/>
      <c r="F37" s="11"/>
      <c r="G37" s="11"/>
      <c r="H37" s="11"/>
      <c r="I37" s="11"/>
      <c r="J37" s="11"/>
      <c r="K37" s="14"/>
      <c r="L37" s="14"/>
      <c r="M37" s="14"/>
      <c r="N37" s="14"/>
      <c r="O37" s="11"/>
      <c r="P37" s="11"/>
      <c r="Q37" s="11"/>
      <c r="R37" s="11"/>
      <c r="Z37" s="15"/>
      <c r="AQ37" s="12" t="s">
        <v>52</v>
      </c>
      <c r="AR37" s="4">
        <f>AR35+AR36</f>
        <v>180610.96719750567</v>
      </c>
      <c r="AS37"/>
      <c r="AT37"/>
      <c r="AU37"/>
    </row>
    <row r="38" spans="2:47" x14ac:dyDescent="0.2">
      <c r="B38" t="s">
        <v>24</v>
      </c>
      <c r="G38" s="6">
        <f t="shared" ref="G38:N38" si="40">G20/G12</f>
        <v>0.47794018439397346</v>
      </c>
      <c r="H38" s="6">
        <f t="shared" si="40"/>
        <v>0.50081091196407035</v>
      </c>
      <c r="I38" s="6">
        <f t="shared" si="40"/>
        <v>0.48551145242666427</v>
      </c>
      <c r="J38" s="6">
        <f t="shared" si="40"/>
        <v>0.53342456664178484</v>
      </c>
      <c r="K38" s="6">
        <f t="shared" si="40"/>
        <v>0.48249106687085247</v>
      </c>
      <c r="L38" s="6">
        <f t="shared" si="40"/>
        <v>0.49923128663399635</v>
      </c>
      <c r="M38" s="6">
        <f t="shared" si="40"/>
        <v>0.48941908713692944</v>
      </c>
      <c r="N38" s="6">
        <f t="shared" si="40"/>
        <v>0.51709130474204368</v>
      </c>
      <c r="O38" s="6">
        <f t="shared" ref="O38:R38" si="41">O20/O12</f>
        <v>0</v>
      </c>
      <c r="P38" s="6">
        <f t="shared" si="41"/>
        <v>0</v>
      </c>
      <c r="Q38" s="6">
        <f t="shared" si="41"/>
        <v>0</v>
      </c>
      <c r="R38" s="6">
        <f t="shared" si="41"/>
        <v>0</v>
      </c>
      <c r="Y38" s="6">
        <f>Y20/Y12</f>
        <v>0.50011315508712939</v>
      </c>
      <c r="Z38" s="6">
        <f>Z20/Z12</f>
        <v>0.49772454796799687</v>
      </c>
      <c r="AA38" s="6">
        <f t="shared" ref="AA38:AO38" si="42">AA20/AA12</f>
        <v>0.5</v>
      </c>
      <c r="AB38" s="6">
        <f t="shared" si="42"/>
        <v>0.5</v>
      </c>
      <c r="AC38" s="6">
        <f t="shared" si="42"/>
        <v>0.5</v>
      </c>
      <c r="AD38" s="6">
        <f t="shared" si="42"/>
        <v>0.5</v>
      </c>
      <c r="AE38" s="6">
        <f t="shared" si="42"/>
        <v>0.5</v>
      </c>
      <c r="AF38" s="6">
        <f t="shared" si="42"/>
        <v>0.5</v>
      </c>
      <c r="AG38" s="6">
        <f t="shared" si="42"/>
        <v>0.5</v>
      </c>
      <c r="AH38" s="6">
        <f t="shared" si="42"/>
        <v>0.5</v>
      </c>
      <c r="AI38" s="6">
        <f t="shared" si="42"/>
        <v>0.5</v>
      </c>
      <c r="AJ38" s="6">
        <f t="shared" si="42"/>
        <v>0.5</v>
      </c>
      <c r="AK38" s="6">
        <f t="shared" si="42"/>
        <v>0.5</v>
      </c>
      <c r="AL38" s="6">
        <f t="shared" si="42"/>
        <v>0.5</v>
      </c>
      <c r="AM38" s="6">
        <f t="shared" si="42"/>
        <v>0.5</v>
      </c>
      <c r="AN38" s="6">
        <f t="shared" si="42"/>
        <v>0.5</v>
      </c>
      <c r="AO38" s="6">
        <f t="shared" si="42"/>
        <v>0.5</v>
      </c>
      <c r="AS38" s="12"/>
      <c r="AT38" s="12"/>
      <c r="AU38" s="12"/>
    </row>
    <row r="39" spans="2:47" x14ac:dyDescent="0.2">
      <c r="B39" t="s">
        <v>48</v>
      </c>
      <c r="G39" s="6">
        <f>G27/G26</f>
        <v>0.20521684475172847</v>
      </c>
      <c r="H39" s="6">
        <f t="shared" ref="H39:N39" si="43">H27/H26</f>
        <v>0.2050130939019828</v>
      </c>
      <c r="I39" s="6">
        <f t="shared" si="43"/>
        <v>0.20775051593671176</v>
      </c>
      <c r="J39" s="6">
        <f t="shared" si="43"/>
        <v>0.22248837536987459</v>
      </c>
      <c r="K39" s="6">
        <f t="shared" si="43"/>
        <v>0.19500000000000001</v>
      </c>
      <c r="L39" s="6">
        <f t="shared" si="43"/>
        <v>0.16516800757217226</v>
      </c>
      <c r="M39" s="6">
        <f t="shared" si="43"/>
        <v>0.18194367752622861</v>
      </c>
      <c r="N39" s="6">
        <f t="shared" si="43"/>
        <v>0.12534327187132208</v>
      </c>
      <c r="O39" s="6" t="e">
        <f t="shared" ref="O39:R39" si="44">O27/O26</f>
        <v>#DIV/0!</v>
      </c>
      <c r="P39" s="6" t="e">
        <f t="shared" si="44"/>
        <v>#DIV/0!</v>
      </c>
      <c r="Q39" s="6" t="e">
        <f t="shared" si="44"/>
        <v>#DIV/0!</v>
      </c>
      <c r="R39" s="6" t="e">
        <f t="shared" si="44"/>
        <v>#DIV/0!</v>
      </c>
      <c r="Y39" s="6">
        <f t="shared" ref="Y39:AO39" si="45">Y27/Y26</f>
        <v>0.21184829380566397</v>
      </c>
      <c r="Z39" s="6">
        <f t="shared" si="45"/>
        <v>0.1618587733600903</v>
      </c>
      <c r="AA39" s="6">
        <f t="shared" si="45"/>
        <v>0.2</v>
      </c>
      <c r="AB39" s="6">
        <f t="shared" si="45"/>
        <v>0.2</v>
      </c>
      <c r="AC39" s="6">
        <f t="shared" si="45"/>
        <v>0.2</v>
      </c>
      <c r="AD39" s="6">
        <f t="shared" si="45"/>
        <v>0.2</v>
      </c>
      <c r="AE39" s="6">
        <f t="shared" si="45"/>
        <v>0.2</v>
      </c>
      <c r="AF39" s="6">
        <f t="shared" si="45"/>
        <v>0.2</v>
      </c>
      <c r="AG39" s="6">
        <f t="shared" si="45"/>
        <v>0.2</v>
      </c>
      <c r="AH39" s="6">
        <f t="shared" si="45"/>
        <v>0.2</v>
      </c>
      <c r="AI39" s="6">
        <f t="shared" si="45"/>
        <v>0.2</v>
      </c>
      <c r="AJ39" s="6">
        <f t="shared" si="45"/>
        <v>0.2</v>
      </c>
      <c r="AK39" s="6">
        <f t="shared" si="45"/>
        <v>0.2</v>
      </c>
      <c r="AL39" s="6">
        <f t="shared" si="45"/>
        <v>0.2</v>
      </c>
      <c r="AM39" s="6">
        <f t="shared" si="45"/>
        <v>0.2</v>
      </c>
      <c r="AN39" s="6">
        <f t="shared" si="45"/>
        <v>0.2</v>
      </c>
      <c r="AO39" s="6">
        <f t="shared" si="45"/>
        <v>0.2</v>
      </c>
      <c r="AQ39" s="12" t="s">
        <v>53</v>
      </c>
      <c r="AR39" s="16">
        <f>AR37/Main!K3</f>
        <v>186.17576068436119</v>
      </c>
      <c r="AS39" s="12"/>
      <c r="AT39" s="12"/>
      <c r="AU39" s="12"/>
    </row>
    <row r="40" spans="2:47" x14ac:dyDescent="0.2">
      <c r="AQ40" s="12" t="s">
        <v>54</v>
      </c>
      <c r="AR40" s="16">
        <f>Main!K2</f>
        <v>137.80000000000001</v>
      </c>
    </row>
    <row r="41" spans="2:47" x14ac:dyDescent="0.2">
      <c r="B41" t="s">
        <v>87</v>
      </c>
      <c r="N41" s="3">
        <v>121000</v>
      </c>
      <c r="AR41" s="13">
        <f>AR39/AR40-1</f>
        <v>0.35105776984296932</v>
      </c>
    </row>
    <row r="42" spans="2:47" x14ac:dyDescent="0.2">
      <c r="B42" t="s">
        <v>88</v>
      </c>
      <c r="N42" s="6">
        <v>0.01</v>
      </c>
    </row>
    <row r="45" spans="2:47" x14ac:dyDescent="0.2">
      <c r="B45" t="s">
        <v>86</v>
      </c>
      <c r="G45" s="10">
        <v>1.3704000000000001</v>
      </c>
      <c r="H45" s="10">
        <v>1.3715999999999999</v>
      </c>
      <c r="I45" s="10">
        <v>1.3251999999999999</v>
      </c>
      <c r="J45" s="10">
        <v>1.2487999999999999</v>
      </c>
      <c r="K45" s="10">
        <v>1.1268</v>
      </c>
      <c r="L45" s="10">
        <v>1.1069</v>
      </c>
      <c r="M45" s="10">
        <v>1.1125</v>
      </c>
      <c r="N45" s="10">
        <v>1.0952</v>
      </c>
      <c r="O45" s="10">
        <v>1.1000000000000001</v>
      </c>
      <c r="P45" s="10">
        <v>1.1000000000000001</v>
      </c>
      <c r="Q45" s="10">
        <v>1.1000000000000001</v>
      </c>
      <c r="R45" s="10">
        <v>1.1000000000000001</v>
      </c>
    </row>
    <row r="46" spans="2:47" x14ac:dyDescent="0.2">
      <c r="K46" s="6">
        <f t="shared" ref="K46:M46" si="46">K45/G45-1</f>
        <v>-0.17775831873905434</v>
      </c>
      <c r="L46" s="6">
        <f t="shared" si="46"/>
        <v>-0.19298629337999418</v>
      </c>
      <c r="M46" s="6">
        <f t="shared" si="46"/>
        <v>-0.16050407485662532</v>
      </c>
      <c r="N46" s="6">
        <f>N45/J45-1</f>
        <v>-0.12299807815502883</v>
      </c>
      <c r="O46" s="6">
        <f>O45/K45-1</f>
        <v>-2.3784167554135593E-2</v>
      </c>
      <c r="P46" s="6">
        <f>P45/L45-1</f>
        <v>-6.233625440419055E-3</v>
      </c>
      <c r="Q46" s="6">
        <f t="shared" ref="Q46:R46" si="47">Q45/M45-1</f>
        <v>-1.1235955056179692E-2</v>
      </c>
      <c r="R46" s="6">
        <f t="shared" si="47"/>
        <v>4.3827611395179655E-3</v>
      </c>
    </row>
    <row r="48" spans="2:47" x14ac:dyDescent="0.2">
      <c r="B48" t="s">
        <v>83</v>
      </c>
      <c r="AA48" s="13">
        <f t="shared" ref="AA48:AJ48" si="48">AA25/AA49</f>
        <v>-8.1250820633288395E-2</v>
      </c>
      <c r="AB48" s="13">
        <f t="shared" si="48"/>
        <v>-0.28047656064114163</v>
      </c>
      <c r="AC48" s="13">
        <f t="shared" si="48"/>
        <v>0.19617747086863271</v>
      </c>
      <c r="AD48" s="13">
        <f t="shared" si="48"/>
        <v>7.3090957221863401E-2</v>
      </c>
      <c r="AE48" s="13">
        <f t="shared" si="48"/>
        <v>4.5069611637549759E-2</v>
      </c>
      <c r="AF48" s="13">
        <f t="shared" si="48"/>
        <v>3.2661430860856766E-2</v>
      </c>
      <c r="AG48" s="13">
        <f t="shared" si="48"/>
        <v>2.5660690490117176E-2</v>
      </c>
      <c r="AH48" s="13">
        <f t="shared" si="48"/>
        <v>2.1165121499886017E-2</v>
      </c>
      <c r="AI48" s="13">
        <f t="shared" si="48"/>
        <v>1.8034200016811473E-2</v>
      </c>
      <c r="AJ48" s="13">
        <f t="shared" si="48"/>
        <v>1.5728505826176041E-2</v>
      </c>
      <c r="AK48" s="13">
        <f>AK25/AK49</f>
        <v>1.3959817593454465E-2</v>
      </c>
      <c r="AL48" s="13">
        <f t="shared" ref="AL48:AO48" si="49">AL25/AL49</f>
        <v>1.2560137296358471E-2</v>
      </c>
      <c r="AM48" s="13">
        <f t="shared" si="49"/>
        <v>1.1424925057058825E-2</v>
      </c>
      <c r="AN48" s="13">
        <f t="shared" si="49"/>
        <v>1.0485721788043202E-2</v>
      </c>
      <c r="AO48" s="13">
        <f t="shared" si="49"/>
        <v>9.6958195132012676E-3</v>
      </c>
    </row>
    <row r="49" spans="2:41" x14ac:dyDescent="0.2">
      <c r="B49" t="s">
        <v>101</v>
      </c>
      <c r="N49" s="5">
        <f>N50-N65</f>
        <v>-31695</v>
      </c>
      <c r="Z49" s="4">
        <f>+N49</f>
        <v>-31695</v>
      </c>
      <c r="AA49" s="4">
        <f>+Z49+AA28</f>
        <v>-18461.351999999999</v>
      </c>
      <c r="AB49" s="4">
        <f>+AA49+AB28</f>
        <v>-5348.0404799999997</v>
      </c>
      <c r="AC49" s="4">
        <f t="shared" ref="AC49:AO49" si="50">+AB49+AC28</f>
        <v>7646.1379248000012</v>
      </c>
      <c r="AD49" s="4">
        <f t="shared" si="50"/>
        <v>20522.374545552004</v>
      </c>
      <c r="AE49" s="4">
        <f t="shared" si="50"/>
        <v>33281.848800096486</v>
      </c>
      <c r="AF49" s="4">
        <f t="shared" si="50"/>
        <v>45925.728312095525</v>
      </c>
      <c r="AG49" s="4">
        <f t="shared" si="50"/>
        <v>58455.169028974575</v>
      </c>
      <c r="AH49" s="4">
        <f t="shared" si="50"/>
        <v>70871.315338684828</v>
      </c>
      <c r="AI49" s="4">
        <f t="shared" si="50"/>
        <v>83175.30018529798</v>
      </c>
      <c r="AJ49" s="4">
        <f t="shared" si="50"/>
        <v>95368.245183445004</v>
      </c>
      <c r="AK49" s="4">
        <f t="shared" si="50"/>
        <v>107451.26073161056</v>
      </c>
      <c r="AL49" s="4">
        <f t="shared" si="50"/>
        <v>119425.44612429445</v>
      </c>
      <c r="AM49" s="4">
        <f t="shared" si="50"/>
        <v>131291.88966305152</v>
      </c>
      <c r="AN49" s="4">
        <f t="shared" si="50"/>
        <v>143051.668766421</v>
      </c>
      <c r="AO49" s="4">
        <f t="shared" si="50"/>
        <v>154705.8500787568</v>
      </c>
    </row>
    <row r="50" spans="2:41" s="4" customFormat="1" x14ac:dyDescent="0.2">
      <c r="B50" s="4" t="s">
        <v>40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f>7686+508</f>
        <v>8194</v>
      </c>
      <c r="O50" s="5"/>
      <c r="P50" s="5"/>
      <c r="Q50" s="5"/>
      <c r="R50" s="5"/>
    </row>
    <row r="51" spans="2:41" s="2" customFormat="1" x14ac:dyDescent="0.2">
      <c r="B51" s="2" t="s">
        <v>100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8333</v>
      </c>
      <c r="O51" s="3"/>
      <c r="P51" s="3"/>
      <c r="Q51" s="3"/>
      <c r="R51" s="3"/>
    </row>
    <row r="52" spans="2:41" s="2" customFormat="1" x14ac:dyDescent="0.2">
      <c r="B52" s="2" t="s">
        <v>99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19020</v>
      </c>
      <c r="O52" s="3"/>
      <c r="P52" s="3"/>
      <c r="Q52" s="3"/>
      <c r="R52" s="3"/>
    </row>
    <row r="53" spans="2:41" s="2" customFormat="1" x14ac:dyDescent="0.2">
      <c r="B53" s="2" t="s">
        <v>98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1201</v>
      </c>
      <c r="O53" s="3"/>
      <c r="P53" s="3"/>
      <c r="Q53" s="3"/>
      <c r="R53" s="3"/>
    </row>
    <row r="54" spans="2:41" s="2" customFormat="1" x14ac:dyDescent="0.2">
      <c r="B54" s="2" t="s">
        <v>97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1551</v>
      </c>
      <c r="O54" s="3"/>
      <c r="P54" s="3"/>
      <c r="Q54" s="3"/>
      <c r="R54" s="3"/>
    </row>
    <row r="55" spans="2:41" s="2" customFormat="1" x14ac:dyDescent="0.2">
      <c r="B55" s="2" t="s">
        <v>96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4205</v>
      </c>
      <c r="O55" s="3"/>
      <c r="P55" s="3"/>
      <c r="Q55" s="3"/>
      <c r="R55" s="3"/>
    </row>
    <row r="56" spans="2:41" s="2" customFormat="1" x14ac:dyDescent="0.2">
      <c r="B56" s="2" t="s">
        <v>94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10727</v>
      </c>
      <c r="O56" s="3"/>
      <c r="P56" s="3"/>
      <c r="Q56" s="3"/>
      <c r="R56" s="3"/>
    </row>
    <row r="57" spans="2:41" s="2" customFormat="1" x14ac:dyDescent="0.2">
      <c r="B57" s="2" t="s">
        <v>95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10013</v>
      </c>
      <c r="O57" s="3"/>
      <c r="P57" s="3"/>
      <c r="Q57" s="3"/>
      <c r="R57" s="3"/>
    </row>
    <row r="58" spans="2:41" s="2" customFormat="1" x14ac:dyDescent="0.2">
      <c r="B58" s="2" t="s">
        <v>92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1734</v>
      </c>
      <c r="O58" s="3"/>
      <c r="P58" s="3"/>
      <c r="Q58" s="3"/>
      <c r="R58" s="3"/>
    </row>
    <row r="59" spans="2:41" s="2" customFormat="1" x14ac:dyDescent="0.2">
      <c r="B59" s="2" t="s">
        <v>93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>
        <v>4822</v>
      </c>
      <c r="O59" s="3"/>
      <c r="P59" s="3"/>
      <c r="Q59" s="3"/>
      <c r="R59" s="3"/>
    </row>
    <row r="60" spans="2:41" s="2" customFormat="1" x14ac:dyDescent="0.2">
      <c r="B60" s="2" t="s">
        <v>91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>
        <f>32021+3487</f>
        <v>35508</v>
      </c>
      <c r="O60" s="3"/>
      <c r="P60" s="3"/>
      <c r="Q60" s="3"/>
      <c r="R60" s="3"/>
    </row>
    <row r="61" spans="2:41" s="2" customFormat="1" x14ac:dyDescent="0.2">
      <c r="B61" s="2" t="s">
        <v>90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5187</v>
      </c>
      <c r="O61" s="3"/>
      <c r="P61" s="3"/>
      <c r="Q61" s="3"/>
      <c r="R61" s="3"/>
    </row>
    <row r="62" spans="2:41" s="2" customFormat="1" x14ac:dyDescent="0.2">
      <c r="B62" s="2" t="s">
        <v>89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>
        <f>SUM(N50:N61)</f>
        <v>110495</v>
      </c>
      <c r="O62" s="3"/>
      <c r="P62" s="3"/>
      <c r="Q62" s="3"/>
      <c r="R62" s="3"/>
    </row>
    <row r="64" spans="2:41" s="2" customFormat="1" x14ac:dyDescent="0.2">
      <c r="B64" s="2" t="s">
        <v>35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2847</v>
      </c>
      <c r="O64" s="3"/>
      <c r="P64" s="3"/>
      <c r="Q64" s="3"/>
      <c r="R64" s="3"/>
    </row>
    <row r="65" spans="2:18" s="4" customFormat="1" x14ac:dyDescent="0.2">
      <c r="B65" s="4" t="s">
        <v>41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>
        <f>6461+33428</f>
        <v>39889</v>
      </c>
      <c r="O65" s="5"/>
      <c r="P65" s="5"/>
      <c r="Q65" s="5"/>
      <c r="R65" s="5"/>
    </row>
    <row r="66" spans="2:18" s="2" customFormat="1" x14ac:dyDescent="0.2">
      <c r="B66" s="2" t="s">
        <v>104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6028</v>
      </c>
      <c r="O66" s="3"/>
      <c r="P66" s="3"/>
      <c r="Q66" s="3"/>
      <c r="R66" s="3"/>
    </row>
    <row r="67" spans="2:18" s="2" customFormat="1" x14ac:dyDescent="0.2">
      <c r="B67" s="2" t="s">
        <v>102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3560</v>
      </c>
      <c r="O67" s="3"/>
      <c r="P67" s="3"/>
      <c r="Q67" s="3"/>
      <c r="R67" s="3"/>
    </row>
    <row r="68" spans="2:18" s="2" customFormat="1" x14ac:dyDescent="0.2">
      <c r="B68" s="2" t="s">
        <v>103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f>11021+3771</f>
        <v>14792</v>
      </c>
      <c r="O68" s="3"/>
      <c r="P68" s="3"/>
      <c r="Q68" s="3"/>
      <c r="R68" s="3"/>
    </row>
    <row r="69" spans="2:18" s="2" customFormat="1" x14ac:dyDescent="0.2">
      <c r="B69" s="2" t="s">
        <v>90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4353</v>
      </c>
      <c r="O69" s="3"/>
      <c r="P69" s="3"/>
      <c r="Q69" s="3"/>
      <c r="R69" s="3"/>
    </row>
    <row r="70" spans="2:18" s="2" customFormat="1" x14ac:dyDescent="0.2">
      <c r="B70" s="2" t="s">
        <v>105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16504</v>
      </c>
      <c r="O70" s="3"/>
      <c r="P70" s="3"/>
      <c r="Q70" s="3"/>
      <c r="R70" s="3"/>
    </row>
    <row r="71" spans="2:18" s="2" customFormat="1" x14ac:dyDescent="0.2">
      <c r="B71" s="2" t="s">
        <v>106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8099</v>
      </c>
      <c r="O71" s="3"/>
      <c r="P71" s="3"/>
      <c r="Q71" s="3"/>
      <c r="R71" s="3"/>
    </row>
    <row r="72" spans="2:18" s="2" customFormat="1" x14ac:dyDescent="0.2">
      <c r="B72" s="2" t="s">
        <v>107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14424</v>
      </c>
      <c r="O72" s="3"/>
      <c r="P72" s="3"/>
      <c r="Q72" s="3"/>
      <c r="R72" s="3"/>
    </row>
    <row r="73" spans="2:18" s="2" customFormat="1" x14ac:dyDescent="0.2">
      <c r="B73" s="2" t="s">
        <v>108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f>SUM(N64:N72)</f>
        <v>110496</v>
      </c>
      <c r="O73" s="3"/>
      <c r="P73" s="3"/>
      <c r="Q73" s="3"/>
      <c r="R7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GTS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2016-03-04T23:32:57Z</dcterms:created>
  <dcterms:modified xsi:type="dcterms:W3CDTF">2016-04-25T21:26:07Z</dcterms:modified>
</cp:coreProperties>
</file>