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16590" windowHeight="9525" activeTab="1"/>
  </bookViews>
  <sheets>
    <sheet name="Main" sheetId="1" r:id="rId1"/>
    <sheet name="Model" sheetId="3" r:id="rId2"/>
    <sheet name="obeticholic acid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3" l="1"/>
  <c r="V3" i="3"/>
  <c r="U3" i="3"/>
  <c r="T3" i="3"/>
  <c r="R14" i="3"/>
  <c r="Q21" i="3"/>
  <c r="Q16" i="3"/>
  <c r="Q17" i="3" s="1"/>
  <c r="Q15" i="3"/>
  <c r="Q13" i="3"/>
  <c r="Q12" i="3"/>
  <c r="Q11" i="3"/>
  <c r="Q9" i="3"/>
  <c r="Q8" i="3"/>
  <c r="R7" i="3"/>
  <c r="R11" i="3" s="1"/>
  <c r="R12" i="3" s="1"/>
  <c r="Q7" i="3"/>
  <c r="U4" i="3"/>
  <c r="V4" i="3" s="1"/>
  <c r="W4" i="3" s="1"/>
  <c r="X4" i="3" s="1"/>
  <c r="Y4" i="3" s="1"/>
  <c r="Z4" i="3" s="1"/>
  <c r="AA4" i="3" s="1"/>
  <c r="AB4" i="3" s="1"/>
  <c r="AC4" i="3" s="1"/>
  <c r="AD4" i="3" s="1"/>
  <c r="AE4" i="3" s="1"/>
  <c r="T4" i="3"/>
  <c r="J13" i="3"/>
  <c r="I13" i="3"/>
  <c r="H13" i="3"/>
  <c r="H15" i="3" s="1"/>
  <c r="H17" i="3" s="1"/>
  <c r="G13" i="3"/>
  <c r="G15" i="3" s="1"/>
  <c r="G17" i="3" s="1"/>
  <c r="G18" i="3" s="1"/>
  <c r="H12" i="3"/>
  <c r="H9" i="3"/>
  <c r="J19" i="3"/>
  <c r="I19" i="3"/>
  <c r="H19" i="3"/>
  <c r="J15" i="3"/>
  <c r="J17" i="3" s="1"/>
  <c r="I15" i="3"/>
  <c r="I17" i="3" s="1"/>
  <c r="I18" i="3" s="1"/>
  <c r="J14" i="3"/>
  <c r="I14" i="3"/>
  <c r="H14" i="3"/>
  <c r="J12" i="3"/>
  <c r="J9" i="3"/>
  <c r="I9" i="3"/>
  <c r="J8" i="3"/>
  <c r="I8" i="3"/>
  <c r="H8" i="3"/>
  <c r="J7" i="3"/>
  <c r="I7" i="3"/>
  <c r="H7" i="3"/>
  <c r="S5" i="3"/>
  <c r="S7" i="3" s="1"/>
  <c r="S11" i="3" s="1"/>
  <c r="R5" i="3"/>
  <c r="Q5" i="3"/>
  <c r="Q3" i="3"/>
  <c r="S4" i="3"/>
  <c r="R4" i="3"/>
  <c r="Q4" i="3"/>
  <c r="J4" i="3"/>
  <c r="J5" i="3" s="1"/>
  <c r="I4" i="3"/>
  <c r="I5" i="3" s="1"/>
  <c r="H4" i="3"/>
  <c r="H5" i="3" s="1"/>
  <c r="G4" i="3"/>
  <c r="G5" i="3"/>
  <c r="G12" i="3"/>
  <c r="G9" i="3"/>
  <c r="G25" i="3"/>
  <c r="G31" i="3"/>
  <c r="G29" i="3"/>
  <c r="G21" i="3"/>
  <c r="N2" i="3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M2" i="3"/>
  <c r="L7" i="1"/>
  <c r="L5" i="1"/>
  <c r="L4" i="1"/>
  <c r="R8" i="3" l="1"/>
  <c r="R9" i="3" s="1"/>
  <c r="R13" i="3" s="1"/>
  <c r="R15" i="3" s="1"/>
  <c r="R16" i="3" s="1"/>
  <c r="S8" i="3"/>
  <c r="S9" i="3" s="1"/>
  <c r="S12" i="3"/>
  <c r="U5" i="3"/>
  <c r="U7" i="3" s="1"/>
  <c r="T5" i="3"/>
  <c r="T7" i="3" s="1"/>
  <c r="H18" i="3"/>
  <c r="H21" i="3"/>
  <c r="I21" i="3" s="1"/>
  <c r="J21" i="3" s="1"/>
  <c r="J18" i="3"/>
  <c r="I12" i="3"/>
  <c r="S13" i="3" l="1"/>
  <c r="U8" i="3"/>
  <c r="U9" i="3" s="1"/>
  <c r="U11" i="3"/>
  <c r="U12" i="3" s="1"/>
  <c r="T8" i="3"/>
  <c r="T9" i="3"/>
  <c r="T11" i="3"/>
  <c r="T12" i="3" s="1"/>
  <c r="T13" i="3" s="1"/>
  <c r="R17" i="3"/>
  <c r="V5" i="3"/>
  <c r="V7" i="3" s="1"/>
  <c r="U13" i="3" l="1"/>
  <c r="V8" i="3"/>
  <c r="V9" i="3" s="1"/>
  <c r="V11" i="3"/>
  <c r="V12" i="3" s="1"/>
  <c r="R21" i="3"/>
  <c r="S14" i="3" s="1"/>
  <c r="S15" i="3" s="1"/>
  <c r="X3" i="3"/>
  <c r="W5" i="3"/>
  <c r="W7" i="3" s="1"/>
  <c r="V13" i="3" l="1"/>
  <c r="W8" i="3"/>
  <c r="W9" i="3" s="1"/>
  <c r="W11" i="3"/>
  <c r="W12" i="3" s="1"/>
  <c r="S16" i="3"/>
  <c r="S17" i="3" s="1"/>
  <c r="X5" i="3"/>
  <c r="X7" i="3" s="1"/>
  <c r="Y3" i="3"/>
  <c r="X8" i="3" l="1"/>
  <c r="X9" i="3" s="1"/>
  <c r="X11" i="3"/>
  <c r="X12" i="3" s="1"/>
  <c r="W13" i="3"/>
  <c r="S21" i="3"/>
  <c r="Y5" i="3"/>
  <c r="Y7" i="3" s="1"/>
  <c r="Z3" i="3"/>
  <c r="Y11" i="3" l="1"/>
  <c r="Y12" i="3" s="1"/>
  <c r="Y8" i="3"/>
  <c r="Y9" i="3" s="1"/>
  <c r="X13" i="3"/>
  <c r="T14" i="3"/>
  <c r="T15" i="3" s="1"/>
  <c r="Z5" i="3"/>
  <c r="Z7" i="3" s="1"/>
  <c r="AA3" i="3"/>
  <c r="Z8" i="3" l="1"/>
  <c r="Z9" i="3" s="1"/>
  <c r="Z11" i="3"/>
  <c r="Z12" i="3" s="1"/>
  <c r="Y13" i="3"/>
  <c r="T16" i="3"/>
  <c r="T17" i="3" s="1"/>
  <c r="AA5" i="3"/>
  <c r="AA7" i="3" s="1"/>
  <c r="AB3" i="3"/>
  <c r="AA11" i="3" l="1"/>
  <c r="AA12" i="3" s="1"/>
  <c r="AA8" i="3"/>
  <c r="AA9" i="3" s="1"/>
  <c r="Z13" i="3"/>
  <c r="T21" i="3"/>
  <c r="AC3" i="3"/>
  <c r="AB5" i="3"/>
  <c r="AB7" i="3" s="1"/>
  <c r="AB11" i="3" l="1"/>
  <c r="AB12" i="3" s="1"/>
  <c r="AB8" i="3"/>
  <c r="AB9" i="3" s="1"/>
  <c r="AA13" i="3"/>
  <c r="U14" i="3"/>
  <c r="U15" i="3" s="1"/>
  <c r="AD3" i="3"/>
  <c r="AC5" i="3"/>
  <c r="AC7" i="3" s="1"/>
  <c r="AC11" i="3" l="1"/>
  <c r="AC12" i="3" s="1"/>
  <c r="AC8" i="3"/>
  <c r="AC9" i="3"/>
  <c r="AB13" i="3"/>
  <c r="U16" i="3"/>
  <c r="U17" i="3" s="1"/>
  <c r="AE3" i="3"/>
  <c r="AE5" i="3" s="1"/>
  <c r="AE7" i="3" s="1"/>
  <c r="AD5" i="3"/>
  <c r="AD7" i="3" s="1"/>
  <c r="AE11" i="3" l="1"/>
  <c r="AE12" i="3" s="1"/>
  <c r="AE8" i="3"/>
  <c r="AE9" i="3" s="1"/>
  <c r="AD8" i="3"/>
  <c r="AD9" i="3" s="1"/>
  <c r="AD11" i="3"/>
  <c r="AD12" i="3" s="1"/>
  <c r="AC13" i="3"/>
  <c r="U21" i="3"/>
  <c r="AD13" i="3" l="1"/>
  <c r="AE13" i="3"/>
  <c r="V14" i="3"/>
  <c r="V15" i="3" s="1"/>
  <c r="V16" i="3" l="1"/>
  <c r="V17" i="3" s="1"/>
  <c r="V21" i="3" l="1"/>
  <c r="W14" i="3" l="1"/>
  <c r="W15" i="3" s="1"/>
  <c r="W16" i="3" l="1"/>
  <c r="W17" i="3" s="1"/>
  <c r="W21" i="3" l="1"/>
  <c r="X14" i="3" l="1"/>
  <c r="X15" i="3" s="1"/>
  <c r="X16" i="3" l="1"/>
  <c r="X17" i="3" s="1"/>
  <c r="X21" i="3" s="1"/>
  <c r="Y14" i="3" l="1"/>
  <c r="Y15" i="3" s="1"/>
  <c r="Y16" i="3" l="1"/>
  <c r="Y17" i="3" s="1"/>
  <c r="Y21" i="3" s="1"/>
  <c r="Z14" i="3" l="1"/>
  <c r="Z15" i="3" s="1"/>
  <c r="Z16" i="3" l="1"/>
  <c r="Z17" i="3" s="1"/>
  <c r="Z21" i="3" s="1"/>
  <c r="AA14" i="3" l="1"/>
  <c r="AA15" i="3" s="1"/>
  <c r="AA16" i="3" l="1"/>
  <c r="AA17" i="3" s="1"/>
  <c r="AA21" i="3" s="1"/>
  <c r="AB14" i="3" l="1"/>
  <c r="AB15" i="3" s="1"/>
  <c r="AB16" i="3" l="1"/>
  <c r="AB17" i="3" s="1"/>
  <c r="AB21" i="3" s="1"/>
  <c r="AC14" i="3" l="1"/>
  <c r="AC15" i="3" s="1"/>
  <c r="AC16" i="3" l="1"/>
  <c r="AC17" i="3" s="1"/>
  <c r="AC21" i="3" s="1"/>
  <c r="AD14" i="3" l="1"/>
  <c r="AD15" i="3" s="1"/>
  <c r="AD16" i="3" l="1"/>
  <c r="AD17" i="3" s="1"/>
  <c r="AD21" i="3" s="1"/>
  <c r="AE14" i="3" l="1"/>
  <c r="AE15" i="3" s="1"/>
  <c r="AE16" i="3" l="1"/>
  <c r="AE17" i="3" s="1"/>
  <c r="AF17" i="3" s="1"/>
  <c r="AG17" i="3" s="1"/>
  <c r="AH17" i="3" s="1"/>
  <c r="AI17" i="3" s="1"/>
  <c r="AJ17" i="3" s="1"/>
  <c r="AK17" i="3" s="1"/>
  <c r="AL17" i="3" s="1"/>
  <c r="AM17" i="3" s="1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AY17" i="3" s="1"/>
  <c r="AZ17" i="3" s="1"/>
  <c r="BA17" i="3" s="1"/>
  <c r="BB17" i="3" s="1"/>
  <c r="BC17" i="3" s="1"/>
  <c r="BD17" i="3" s="1"/>
  <c r="BE17" i="3" s="1"/>
  <c r="BF17" i="3" l="1"/>
  <c r="AI24" i="3"/>
  <c r="AI25" i="3" s="1"/>
  <c r="AE21" i="3"/>
</calcChain>
</file>

<file path=xl/comments1.xml><?xml version="1.0" encoding="utf-8"?>
<comments xmlns="http://schemas.openxmlformats.org/spreadsheetml/2006/main">
  <authors>
    <author>Martin Shkreli</author>
  </authors>
  <commentList>
    <comment ref="Q3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15k US patients are candidates for therapy</t>
        </r>
      </text>
    </comment>
  </commentList>
</comments>
</file>

<file path=xl/sharedStrings.xml><?xml version="1.0" encoding="utf-8"?>
<sst xmlns="http://schemas.openxmlformats.org/spreadsheetml/2006/main" count="83" uniqueCount="68">
  <si>
    <t>Price</t>
  </si>
  <si>
    <t>Shares</t>
  </si>
  <si>
    <t>MC</t>
  </si>
  <si>
    <t>Cash</t>
  </si>
  <si>
    <t>Debt</t>
  </si>
  <si>
    <t>EV</t>
  </si>
  <si>
    <t>Brand</t>
  </si>
  <si>
    <t>Generic</t>
  </si>
  <si>
    <t>obeticholic acid</t>
  </si>
  <si>
    <t>Q116</t>
  </si>
  <si>
    <t>Main</t>
  </si>
  <si>
    <t>Brand Name</t>
  </si>
  <si>
    <t>Economics</t>
  </si>
  <si>
    <t>$15m upfront from DSP for Asia</t>
  </si>
  <si>
    <t>Generic Name</t>
  </si>
  <si>
    <t>Indication</t>
  </si>
  <si>
    <t>Ocaliva</t>
  </si>
  <si>
    <t>Primary Biliary Cirrhosis</t>
  </si>
  <si>
    <t>Mechanism</t>
  </si>
  <si>
    <t>FXR agonist</t>
  </si>
  <si>
    <t>IP</t>
  </si>
  <si>
    <t>Clinical Trials</t>
  </si>
  <si>
    <t>Revenue</t>
  </si>
  <si>
    <t>Q115</t>
  </si>
  <si>
    <t>Q215</t>
  </si>
  <si>
    <t>Q315</t>
  </si>
  <si>
    <t>Q415</t>
  </si>
  <si>
    <t>Q216</t>
  </si>
  <si>
    <t>Q316</t>
  </si>
  <si>
    <t>Q416</t>
  </si>
  <si>
    <t>5/27/16: Ocaliva approval.</t>
  </si>
  <si>
    <t>Prepaids</t>
  </si>
  <si>
    <t>Fixed Assets</t>
  </si>
  <si>
    <t>Security Deposits</t>
  </si>
  <si>
    <t>Assets</t>
  </si>
  <si>
    <t>A/P</t>
  </si>
  <si>
    <t>Litigation</t>
  </si>
  <si>
    <t>DR</t>
  </si>
  <si>
    <t>SE</t>
  </si>
  <si>
    <t>L+SE</t>
  </si>
  <si>
    <t>COGS</t>
  </si>
  <si>
    <t>Gross Margin</t>
  </si>
  <si>
    <t>R&amp;D</t>
  </si>
  <si>
    <t>G&amp;A</t>
  </si>
  <si>
    <t>Operating Expenses</t>
  </si>
  <si>
    <t>Operating Income</t>
  </si>
  <si>
    <t>EPS</t>
  </si>
  <si>
    <t>Net Income</t>
  </si>
  <si>
    <t>Taxes</t>
  </si>
  <si>
    <t>Pretax Income</t>
  </si>
  <si>
    <t>Interest Income</t>
  </si>
  <si>
    <t>$190 for 5mg and 10mg pill</t>
  </si>
  <si>
    <t>Approved</t>
  </si>
  <si>
    <t>100%?</t>
  </si>
  <si>
    <t>PPPY</t>
  </si>
  <si>
    <t>Patients ($k)</t>
  </si>
  <si>
    <t>Discount</t>
  </si>
  <si>
    <t>NPV</t>
  </si>
  <si>
    <t>ROIC</t>
  </si>
  <si>
    <t>Maturity</t>
  </si>
  <si>
    <t>NASH</t>
  </si>
  <si>
    <t>III</t>
  </si>
  <si>
    <t>Phase</t>
  </si>
  <si>
    <t>Phase II FLINT in NASH</t>
  </si>
  <si>
    <t xml:space="preserve">Phase III REGENERATE n=2000 </t>
  </si>
  <si>
    <t>Phase III POISE PBC</t>
  </si>
  <si>
    <t>Reduction in alkaline phosphotase</t>
  </si>
  <si>
    <t>Phase III COBALT PBC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</si>
</sst>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2" fillId="0" borderId="0" xfId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1" applyBorder="1"/>
    <xf numFmtId="0" fontId="3" fillId="0" borderId="0" xfId="0" applyFont="1"/>
    <xf numFmtId="3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28575</xdr:rowOff>
    </xdr:from>
    <xdr:to>
      <xdr:col>7</xdr:col>
      <xdr:colOff>28575</xdr:colOff>
      <xdr:row>45</xdr:row>
      <xdr:rowOff>85725</xdr:rowOff>
    </xdr:to>
    <xdr:cxnSp macro="">
      <xdr:nvCxnSpPr>
        <xdr:cNvPr id="3" name="Straight Connector 2"/>
        <xdr:cNvCxnSpPr/>
      </xdr:nvCxnSpPr>
      <xdr:spPr>
        <a:xfrm>
          <a:off x="4467225" y="28575"/>
          <a:ext cx="0" cy="5724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0</xdr:row>
      <xdr:rowOff>0</xdr:rowOff>
    </xdr:from>
    <xdr:to>
      <xdr:col>16</xdr:col>
      <xdr:colOff>57150</xdr:colOff>
      <xdr:row>45</xdr:row>
      <xdr:rowOff>57150</xdr:rowOff>
    </xdr:to>
    <xdr:cxnSp macro="">
      <xdr:nvCxnSpPr>
        <xdr:cNvPr id="4" name="Straight Connector 3"/>
        <xdr:cNvCxnSpPr/>
      </xdr:nvCxnSpPr>
      <xdr:spPr>
        <a:xfrm>
          <a:off x="10134600" y="0"/>
          <a:ext cx="0" cy="7343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workbookViewId="0">
      <selection activeCell="D15" sqref="D15"/>
    </sheetView>
  </sheetViews>
  <sheetFormatPr defaultRowHeight="12.75" x14ac:dyDescent="0.2"/>
  <cols>
    <col min="1" max="1" width="3" customWidth="1"/>
    <col min="2" max="2" width="10" customWidth="1"/>
    <col min="3" max="3" width="17.42578125" customWidth="1"/>
    <col min="4" max="4" width="23.7109375" customWidth="1"/>
    <col min="5" max="5" width="8.5703125" bestFit="1" customWidth="1"/>
    <col min="6" max="6" width="14.28515625" customWidth="1"/>
    <col min="7" max="7" width="10.28515625" bestFit="1" customWidth="1"/>
    <col min="8" max="8" width="11.28515625" customWidth="1"/>
  </cols>
  <sheetData>
    <row r="2" spans="2:13" x14ac:dyDescent="0.2">
      <c r="B2" s="6" t="s">
        <v>6</v>
      </c>
      <c r="C2" s="8" t="s">
        <v>7</v>
      </c>
      <c r="D2" s="8" t="s">
        <v>15</v>
      </c>
      <c r="E2" s="8" t="s">
        <v>52</v>
      </c>
      <c r="F2" s="8" t="s">
        <v>18</v>
      </c>
      <c r="G2" s="8" t="s">
        <v>12</v>
      </c>
      <c r="H2" s="9" t="s">
        <v>20</v>
      </c>
      <c r="K2" t="s">
        <v>0</v>
      </c>
      <c r="L2" s="1">
        <v>150</v>
      </c>
    </row>
    <row r="3" spans="2:13" x14ac:dyDescent="0.2">
      <c r="B3" s="15" t="s">
        <v>16</v>
      </c>
      <c r="C3" s="10" t="s">
        <v>8</v>
      </c>
      <c r="D3" s="10" t="s">
        <v>17</v>
      </c>
      <c r="E3" s="10">
        <v>2016</v>
      </c>
      <c r="F3" s="11" t="s">
        <v>19</v>
      </c>
      <c r="G3" s="10" t="s">
        <v>53</v>
      </c>
      <c r="H3" s="12"/>
      <c r="K3" t="s">
        <v>1</v>
      </c>
      <c r="L3" s="2">
        <v>24.595269999999999</v>
      </c>
      <c r="M3" s="3" t="s">
        <v>9</v>
      </c>
    </row>
    <row r="4" spans="2:13" x14ac:dyDescent="0.2">
      <c r="B4" s="6"/>
      <c r="C4" s="8"/>
      <c r="D4" s="8"/>
      <c r="E4" s="8" t="s">
        <v>62</v>
      </c>
      <c r="F4" s="8"/>
      <c r="G4" s="8"/>
      <c r="H4" s="9"/>
      <c r="K4" t="s">
        <v>2</v>
      </c>
      <c r="L4" s="2">
        <f>+L3*L2</f>
        <v>3689.2905000000001</v>
      </c>
      <c r="M4" s="3"/>
    </row>
    <row r="5" spans="2:13" x14ac:dyDescent="0.2">
      <c r="B5" s="4" t="s">
        <v>16</v>
      </c>
      <c r="C5" s="10" t="s">
        <v>8</v>
      </c>
      <c r="D5" s="10" t="s">
        <v>60</v>
      </c>
      <c r="E5" s="10" t="s">
        <v>61</v>
      </c>
      <c r="F5" s="10" t="s">
        <v>19</v>
      </c>
      <c r="G5" s="10"/>
      <c r="H5" s="12"/>
      <c r="K5" t="s">
        <v>3</v>
      </c>
      <c r="L5" s="2">
        <f>49.205+507.655</f>
        <v>556.86</v>
      </c>
      <c r="M5" s="3" t="s">
        <v>9</v>
      </c>
    </row>
    <row r="6" spans="2:13" x14ac:dyDescent="0.2">
      <c r="B6" s="4"/>
      <c r="C6" s="10"/>
      <c r="D6" s="10"/>
      <c r="E6" s="10"/>
      <c r="F6" s="10"/>
      <c r="G6" s="10"/>
      <c r="H6" s="12"/>
      <c r="K6" t="s">
        <v>4</v>
      </c>
      <c r="L6" s="2">
        <v>0</v>
      </c>
      <c r="M6" s="3" t="s">
        <v>9</v>
      </c>
    </row>
    <row r="7" spans="2:13" x14ac:dyDescent="0.2">
      <c r="B7" s="5"/>
      <c r="C7" s="13"/>
      <c r="D7" s="13"/>
      <c r="E7" s="13"/>
      <c r="F7" s="13"/>
      <c r="G7" s="13"/>
      <c r="H7" s="14"/>
      <c r="K7" t="s">
        <v>5</v>
      </c>
      <c r="L7" s="2">
        <f>+L4-L5+L6</f>
        <v>3132.4304999999999</v>
      </c>
    </row>
    <row r="15" spans="2:13" x14ac:dyDescent="0.2">
      <c r="B15" t="s">
        <v>30</v>
      </c>
    </row>
  </sheetData>
  <hyperlinks>
    <hyperlink ref="B3" location="'obeticholic acid'!A1" display="Ocaliva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31"/>
  <sheetViews>
    <sheetView tabSelected="1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U16" sqref="U16"/>
    </sheetView>
  </sheetViews>
  <sheetFormatPr defaultRowHeight="12.75" x14ac:dyDescent="0.2"/>
  <cols>
    <col min="1" max="1" width="5" bestFit="1" customWidth="1"/>
    <col min="2" max="2" width="18.140625" bestFit="1" customWidth="1"/>
    <col min="3" max="31" width="9.140625" style="3"/>
    <col min="34" max="34" width="9.7109375" bestFit="1" customWidth="1"/>
  </cols>
  <sheetData>
    <row r="1" spans="1:31" x14ac:dyDescent="0.2">
      <c r="A1" s="7" t="s">
        <v>10</v>
      </c>
    </row>
    <row r="2" spans="1:31" x14ac:dyDescent="0.2">
      <c r="C2" s="3" t="s">
        <v>23</v>
      </c>
      <c r="D2" s="3" t="s">
        <v>24</v>
      </c>
      <c r="E2" s="3" t="s">
        <v>25</v>
      </c>
      <c r="F2" s="3" t="s">
        <v>26</v>
      </c>
      <c r="G2" s="3" t="s">
        <v>9</v>
      </c>
      <c r="H2" s="3" t="s">
        <v>27</v>
      </c>
      <c r="I2" s="3" t="s">
        <v>28</v>
      </c>
      <c r="J2" s="3" t="s">
        <v>29</v>
      </c>
      <c r="L2" s="3">
        <v>2011</v>
      </c>
      <c r="M2" s="3">
        <f>+L2+1</f>
        <v>2012</v>
      </c>
      <c r="N2" s="3">
        <f t="shared" ref="N2:AH2" si="0">+M2+1</f>
        <v>2013</v>
      </c>
      <c r="O2" s="3">
        <f t="shared" si="0"/>
        <v>2014</v>
      </c>
      <c r="P2" s="3">
        <f t="shared" si="0"/>
        <v>2015</v>
      </c>
      <c r="Q2" s="3">
        <f t="shared" si="0"/>
        <v>2016</v>
      </c>
      <c r="R2" s="3">
        <f t="shared" si="0"/>
        <v>2017</v>
      </c>
      <c r="S2" s="3">
        <f t="shared" si="0"/>
        <v>2018</v>
      </c>
      <c r="T2" s="3">
        <f t="shared" si="0"/>
        <v>2019</v>
      </c>
      <c r="U2" s="3">
        <f t="shared" si="0"/>
        <v>2020</v>
      </c>
      <c r="V2" s="3">
        <f t="shared" si="0"/>
        <v>2021</v>
      </c>
      <c r="W2" s="3">
        <f t="shared" si="0"/>
        <v>2022</v>
      </c>
      <c r="X2" s="3">
        <f t="shared" si="0"/>
        <v>2023</v>
      </c>
      <c r="Y2" s="3">
        <f t="shared" si="0"/>
        <v>2024</v>
      </c>
      <c r="Z2" s="3">
        <f t="shared" si="0"/>
        <v>2025</v>
      </c>
      <c r="AA2" s="3">
        <f t="shared" si="0"/>
        <v>2026</v>
      </c>
      <c r="AB2" s="3">
        <f t="shared" si="0"/>
        <v>2027</v>
      </c>
      <c r="AC2" s="3">
        <f t="shared" si="0"/>
        <v>2028</v>
      </c>
      <c r="AD2" s="3">
        <f t="shared" si="0"/>
        <v>2029</v>
      </c>
      <c r="AE2" s="3">
        <f t="shared" si="0"/>
        <v>2030</v>
      </c>
    </row>
    <row r="3" spans="1:31" x14ac:dyDescent="0.2">
      <c r="B3" t="s">
        <v>55</v>
      </c>
      <c r="G3" s="17">
        <v>0</v>
      </c>
      <c r="H3" s="3">
        <v>1</v>
      </c>
      <c r="I3" s="3">
        <v>2</v>
      </c>
      <c r="J3" s="3">
        <v>3</v>
      </c>
      <c r="Q3" s="21">
        <f>AVERAGE(G3:J3)</f>
        <v>1.5</v>
      </c>
      <c r="R3" s="21">
        <v>2</v>
      </c>
      <c r="S3" s="21">
        <v>3</v>
      </c>
      <c r="T3" s="21">
        <f>+S3*1.1</f>
        <v>3.3000000000000003</v>
      </c>
      <c r="U3" s="21">
        <f>+T3*1.05</f>
        <v>3.4650000000000003</v>
      </c>
      <c r="V3" s="21">
        <f>+U3*1.05</f>
        <v>3.6382500000000007</v>
      </c>
      <c r="W3" s="21">
        <f>+V3*1.05</f>
        <v>3.8201625000000008</v>
      </c>
      <c r="X3" s="21">
        <f t="shared" ref="U3:AE3" si="1">+W3*1.01</f>
        <v>3.8583641250000009</v>
      </c>
      <c r="Y3" s="21">
        <f t="shared" si="1"/>
        <v>3.8969477662500012</v>
      </c>
      <c r="Z3" s="21">
        <f t="shared" si="1"/>
        <v>3.9359172439125012</v>
      </c>
      <c r="AA3" s="21">
        <f t="shared" si="1"/>
        <v>3.9752764163516261</v>
      </c>
      <c r="AB3" s="21">
        <f t="shared" si="1"/>
        <v>4.0150291805151426</v>
      </c>
      <c r="AC3" s="21">
        <f t="shared" si="1"/>
        <v>4.0551794723202939</v>
      </c>
      <c r="AD3" s="21">
        <f t="shared" si="1"/>
        <v>4.0957312670434964</v>
      </c>
      <c r="AE3" s="21">
        <f t="shared" si="1"/>
        <v>4.1366885797139314</v>
      </c>
    </row>
    <row r="4" spans="1:31" x14ac:dyDescent="0.2">
      <c r="B4" t="s">
        <v>54</v>
      </c>
      <c r="G4" s="17">
        <f>70/4</f>
        <v>17.5</v>
      </c>
      <c r="H4" s="17">
        <f t="shared" ref="H4:J4" si="2">70/4</f>
        <v>17.5</v>
      </c>
      <c r="I4" s="17">
        <f t="shared" si="2"/>
        <v>17.5</v>
      </c>
      <c r="J4" s="17">
        <f t="shared" si="2"/>
        <v>17.5</v>
      </c>
      <c r="Q4" s="17">
        <f>SUM(G4:J4)</f>
        <v>70</v>
      </c>
      <c r="R4" s="3">
        <f>+Q4*1.1</f>
        <v>77</v>
      </c>
      <c r="S4" s="3">
        <f t="shared" ref="S4" si="3">+R4*1.1</f>
        <v>84.7</v>
      </c>
      <c r="T4" s="21">
        <f>+S4*1.02</f>
        <v>86.394000000000005</v>
      </c>
      <c r="U4" s="21">
        <f t="shared" ref="U4:AE4" si="4">+T4*1.02</f>
        <v>88.121880000000004</v>
      </c>
      <c r="V4" s="21">
        <f t="shared" si="4"/>
        <v>89.884317600000003</v>
      </c>
      <c r="W4" s="21">
        <f t="shared" si="4"/>
        <v>91.682003952000002</v>
      </c>
      <c r="X4" s="21">
        <f t="shared" si="4"/>
        <v>93.515644031039997</v>
      </c>
      <c r="Y4" s="21">
        <f t="shared" si="4"/>
        <v>95.385956911660799</v>
      </c>
      <c r="Z4" s="21">
        <f t="shared" si="4"/>
        <v>97.293676049894017</v>
      </c>
      <c r="AA4" s="21">
        <f t="shared" si="4"/>
        <v>99.239549570891896</v>
      </c>
      <c r="AB4" s="21">
        <f t="shared" si="4"/>
        <v>101.22434056230973</v>
      </c>
      <c r="AC4" s="21">
        <f t="shared" si="4"/>
        <v>103.24882737355593</v>
      </c>
      <c r="AD4" s="21">
        <f t="shared" si="4"/>
        <v>105.31380392102704</v>
      </c>
      <c r="AE4" s="21">
        <f t="shared" si="4"/>
        <v>107.42007999944759</v>
      </c>
    </row>
    <row r="5" spans="1:31" s="19" customFormat="1" x14ac:dyDescent="0.2">
      <c r="B5" s="19" t="s">
        <v>16</v>
      </c>
      <c r="C5" s="18"/>
      <c r="D5" s="18"/>
      <c r="E5" s="18"/>
      <c r="F5" s="18"/>
      <c r="G5" s="18">
        <f>G4*G3</f>
        <v>0</v>
      </c>
      <c r="H5" s="18">
        <f>+H4*H3</f>
        <v>17.5</v>
      </c>
      <c r="I5" s="18">
        <f t="shared" ref="I5:J5" si="5">+I4*I3</f>
        <v>35</v>
      </c>
      <c r="J5" s="18">
        <f t="shared" si="5"/>
        <v>52.5</v>
      </c>
      <c r="K5" s="18"/>
      <c r="L5" s="18"/>
      <c r="M5" s="18"/>
      <c r="N5" s="18"/>
      <c r="O5" s="18"/>
      <c r="P5" s="18"/>
      <c r="Q5" s="18">
        <f>SUM(G5:J5)</f>
        <v>105</v>
      </c>
      <c r="R5" s="18">
        <f>+R4*R3</f>
        <v>154</v>
      </c>
      <c r="S5" s="18">
        <f t="shared" ref="S5" si="6">+S4*S3</f>
        <v>254.10000000000002</v>
      </c>
      <c r="T5" s="18">
        <f t="shared" ref="T5" si="7">+T4*T3</f>
        <v>285.10020000000003</v>
      </c>
      <c r="U5" s="18">
        <f t="shared" ref="U5" si="8">+U4*U3</f>
        <v>305.34231420000003</v>
      </c>
      <c r="V5" s="18">
        <f t="shared" ref="V5" si="9">+V4*V3</f>
        <v>327.02161850820005</v>
      </c>
      <c r="W5" s="18">
        <f t="shared" ref="W5" si="10">+W4*W3</f>
        <v>350.24015342228228</v>
      </c>
      <c r="X5" s="18">
        <f t="shared" ref="X5" si="11">+X4*X3</f>
        <v>360.81740605563522</v>
      </c>
      <c r="Y5" s="18">
        <f t="shared" ref="Y5" si="12">+Y4*Y3</f>
        <v>371.71409171851542</v>
      </c>
      <c r="Z5" s="18">
        <f t="shared" ref="Z5" si="13">+Z4*Z3</f>
        <v>382.9398572884146</v>
      </c>
      <c r="AA5" s="18">
        <f t="shared" ref="AA5" si="14">+AA4*AA3</f>
        <v>394.50464097852466</v>
      </c>
      <c r="AB5" s="18">
        <f t="shared" ref="AB5" si="15">+AB4*AB3</f>
        <v>406.41868113607615</v>
      </c>
      <c r="AC5" s="18">
        <f t="shared" ref="AC5" si="16">+AC4*AC3</f>
        <v>418.69252530638562</v>
      </c>
      <c r="AD5" s="18">
        <f t="shared" ref="AD5" si="17">+AD4*AD3</f>
        <v>431.33703957063847</v>
      </c>
      <c r="AE5" s="18">
        <f t="shared" ref="AE5" si="18">+AE4*AE3</f>
        <v>444.36341816567176</v>
      </c>
    </row>
    <row r="7" spans="1:31" s="19" customFormat="1" x14ac:dyDescent="0.2">
      <c r="B7" s="19" t="s">
        <v>22</v>
      </c>
      <c r="C7" s="18"/>
      <c r="D7" s="18"/>
      <c r="E7" s="18"/>
      <c r="F7" s="18"/>
      <c r="G7" s="18">
        <v>0.44500000000000001</v>
      </c>
      <c r="H7" s="18">
        <f>+H5</f>
        <v>17.5</v>
      </c>
      <c r="I7" s="18">
        <f t="shared" ref="I7:J7" si="19">+I5</f>
        <v>35</v>
      </c>
      <c r="J7" s="18">
        <f t="shared" si="19"/>
        <v>52.5</v>
      </c>
      <c r="K7" s="18"/>
      <c r="L7" s="18"/>
      <c r="M7" s="18"/>
      <c r="N7" s="18"/>
      <c r="O7" s="18"/>
      <c r="P7" s="18"/>
      <c r="Q7" s="18">
        <f>Q5</f>
        <v>105</v>
      </c>
      <c r="R7" s="18">
        <f t="shared" ref="R7:AE7" si="20">R5</f>
        <v>154</v>
      </c>
      <c r="S7" s="18">
        <f t="shared" si="20"/>
        <v>254.10000000000002</v>
      </c>
      <c r="T7" s="18">
        <f t="shared" si="20"/>
        <v>285.10020000000003</v>
      </c>
      <c r="U7" s="18">
        <f t="shared" si="20"/>
        <v>305.34231420000003</v>
      </c>
      <c r="V7" s="18">
        <f t="shared" si="20"/>
        <v>327.02161850820005</v>
      </c>
      <c r="W7" s="18">
        <f t="shared" si="20"/>
        <v>350.24015342228228</v>
      </c>
      <c r="X7" s="18">
        <f t="shared" si="20"/>
        <v>360.81740605563522</v>
      </c>
      <c r="Y7" s="18">
        <f t="shared" si="20"/>
        <v>371.71409171851542</v>
      </c>
      <c r="Z7" s="18">
        <f t="shared" si="20"/>
        <v>382.9398572884146</v>
      </c>
      <c r="AA7" s="18">
        <f t="shared" si="20"/>
        <v>394.50464097852466</v>
      </c>
      <c r="AB7" s="18">
        <f t="shared" si="20"/>
        <v>406.41868113607615</v>
      </c>
      <c r="AC7" s="18">
        <f t="shared" si="20"/>
        <v>418.69252530638562</v>
      </c>
      <c r="AD7" s="18">
        <f t="shared" si="20"/>
        <v>431.33703957063847</v>
      </c>
      <c r="AE7" s="18">
        <f t="shared" si="20"/>
        <v>444.36341816567176</v>
      </c>
    </row>
    <row r="8" spans="1:31" s="20" customFormat="1" x14ac:dyDescent="0.2">
      <c r="B8" s="20" t="s">
        <v>40</v>
      </c>
      <c r="C8" s="21"/>
      <c r="D8" s="21"/>
      <c r="E8" s="21"/>
      <c r="F8" s="21"/>
      <c r="G8" s="21">
        <v>0</v>
      </c>
      <c r="H8" s="21">
        <f>+H7*0.01</f>
        <v>0.17500000000000002</v>
      </c>
      <c r="I8" s="21">
        <f t="shared" ref="I8:J8" si="21">+I7*0.01</f>
        <v>0.35000000000000003</v>
      </c>
      <c r="J8" s="21">
        <f t="shared" si="21"/>
        <v>0.52500000000000002</v>
      </c>
      <c r="K8" s="21"/>
      <c r="L8" s="21"/>
      <c r="M8" s="21"/>
      <c r="N8" s="21"/>
      <c r="O8" s="21"/>
      <c r="P8" s="21"/>
      <c r="Q8" s="21">
        <f t="shared" ref="Q8" si="22">+Q7*0.01</f>
        <v>1.05</v>
      </c>
      <c r="R8" s="21">
        <f t="shared" ref="R8" si="23">+R7*0.01</f>
        <v>1.54</v>
      </c>
      <c r="S8" s="21">
        <f t="shared" ref="S8" si="24">+S7*0.01</f>
        <v>2.5410000000000004</v>
      </c>
      <c r="T8" s="21">
        <f t="shared" ref="T8" si="25">+T7*0.01</f>
        <v>2.8510020000000003</v>
      </c>
      <c r="U8" s="21">
        <f t="shared" ref="U8" si="26">+U7*0.01</f>
        <v>3.0534231420000002</v>
      </c>
      <c r="V8" s="21">
        <f t="shared" ref="V8" si="27">+V7*0.01</f>
        <v>3.2702161850820004</v>
      </c>
      <c r="W8" s="21">
        <f t="shared" ref="W8" si="28">+W7*0.01</f>
        <v>3.5024015342228227</v>
      </c>
      <c r="X8" s="21">
        <f t="shared" ref="X8" si="29">+X7*0.01</f>
        <v>3.6081740605563524</v>
      </c>
      <c r="Y8" s="21">
        <f t="shared" ref="Y8" si="30">+Y7*0.01</f>
        <v>3.7171409171851542</v>
      </c>
      <c r="Z8" s="21">
        <f t="shared" ref="Z8" si="31">+Z7*0.01</f>
        <v>3.8293985728841462</v>
      </c>
      <c r="AA8" s="21">
        <f t="shared" ref="AA8" si="32">+AA7*0.01</f>
        <v>3.9450464097852467</v>
      </c>
      <c r="AB8" s="21">
        <f t="shared" ref="AB8" si="33">+AB7*0.01</f>
        <v>4.0641868113607611</v>
      </c>
      <c r="AC8" s="21">
        <f t="shared" ref="AC8" si="34">+AC7*0.01</f>
        <v>4.1869252530638565</v>
      </c>
      <c r="AD8" s="21">
        <f t="shared" ref="AD8" si="35">+AD7*0.01</f>
        <v>4.3133703957063849</v>
      </c>
      <c r="AE8" s="21">
        <f t="shared" ref="AE8" si="36">+AE7*0.01</f>
        <v>4.4436341816567175</v>
      </c>
    </row>
    <row r="9" spans="1:31" s="20" customFormat="1" x14ac:dyDescent="0.2">
      <c r="B9" s="20" t="s">
        <v>41</v>
      </c>
      <c r="C9" s="21"/>
      <c r="D9" s="21"/>
      <c r="E9" s="21"/>
      <c r="F9" s="21"/>
      <c r="G9" s="21">
        <f>+G7-G8</f>
        <v>0.44500000000000001</v>
      </c>
      <c r="H9" s="21">
        <f>+H7-H8</f>
        <v>17.324999999999999</v>
      </c>
      <c r="I9" s="21">
        <f t="shared" ref="H9:I9" si="37">+I7-I8</f>
        <v>34.65</v>
      </c>
      <c r="J9" s="21">
        <f t="shared" ref="J9" si="38">+J7-J8</f>
        <v>51.975000000000001</v>
      </c>
      <c r="K9" s="21"/>
      <c r="L9" s="21"/>
      <c r="M9" s="21"/>
      <c r="N9" s="21"/>
      <c r="O9" s="21"/>
      <c r="P9" s="21"/>
      <c r="Q9" s="21">
        <f>+Q7-Q8</f>
        <v>103.95</v>
      </c>
      <c r="R9" s="21">
        <f t="shared" ref="R9:AE9" si="39">+R7-R8</f>
        <v>152.46</v>
      </c>
      <c r="S9" s="21">
        <f t="shared" si="39"/>
        <v>251.55900000000003</v>
      </c>
      <c r="T9" s="21">
        <f t="shared" si="39"/>
        <v>282.24919800000004</v>
      </c>
      <c r="U9" s="21">
        <f t="shared" si="39"/>
        <v>302.28889105800005</v>
      </c>
      <c r="V9" s="21">
        <f t="shared" si="39"/>
        <v>323.75140232311804</v>
      </c>
      <c r="W9" s="21">
        <f t="shared" si="39"/>
        <v>346.73775188805945</v>
      </c>
      <c r="X9" s="21">
        <f t="shared" si="39"/>
        <v>357.20923199507888</v>
      </c>
      <c r="Y9" s="21">
        <f t="shared" si="39"/>
        <v>367.99695080133029</v>
      </c>
      <c r="Z9" s="21">
        <f t="shared" si="39"/>
        <v>379.11045871553046</v>
      </c>
      <c r="AA9" s="21">
        <f t="shared" si="39"/>
        <v>390.55959456873944</v>
      </c>
      <c r="AB9" s="21">
        <f t="shared" si="39"/>
        <v>402.3544943247154</v>
      </c>
      <c r="AC9" s="21">
        <f t="shared" si="39"/>
        <v>414.50560005332176</v>
      </c>
      <c r="AD9" s="21">
        <f t="shared" si="39"/>
        <v>427.02366917493208</v>
      </c>
      <c r="AE9" s="21">
        <f t="shared" si="39"/>
        <v>439.91978398401506</v>
      </c>
    </row>
    <row r="10" spans="1:31" s="20" customFormat="1" x14ac:dyDescent="0.2">
      <c r="B10" s="20" t="s">
        <v>42</v>
      </c>
      <c r="C10" s="21"/>
      <c r="D10" s="21"/>
      <c r="E10" s="21"/>
      <c r="F10" s="21"/>
      <c r="G10" s="21">
        <v>37.412999999999997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 s="20" customFormat="1" x14ac:dyDescent="0.2">
      <c r="B11" s="20" t="s">
        <v>43</v>
      </c>
      <c r="C11" s="21"/>
      <c r="D11" s="21"/>
      <c r="E11" s="21"/>
      <c r="F11" s="21"/>
      <c r="G11" s="21">
        <v>90.432000000000002</v>
      </c>
      <c r="H11" s="21">
        <v>40</v>
      </c>
      <c r="I11" s="21">
        <v>40</v>
      </c>
      <c r="J11" s="21">
        <v>40</v>
      </c>
      <c r="K11" s="21"/>
      <c r="L11" s="21"/>
      <c r="M11" s="21"/>
      <c r="N11" s="21"/>
      <c r="O11" s="21"/>
      <c r="P11" s="21"/>
      <c r="Q11" s="21">
        <f>SUM(G11:J11)</f>
        <v>210.43200000000002</v>
      </c>
      <c r="R11" s="21">
        <f>+R7*0.25</f>
        <v>38.5</v>
      </c>
      <c r="S11" s="21">
        <f t="shared" ref="S11:AE11" si="40">+S7*0.25</f>
        <v>63.525000000000006</v>
      </c>
      <c r="T11" s="21">
        <f t="shared" si="40"/>
        <v>71.275050000000007</v>
      </c>
      <c r="U11" s="21">
        <f t="shared" si="40"/>
        <v>76.335578550000008</v>
      </c>
      <c r="V11" s="21">
        <f t="shared" si="40"/>
        <v>81.755404627050012</v>
      </c>
      <c r="W11" s="21">
        <f t="shared" si="40"/>
        <v>87.560038355570569</v>
      </c>
      <c r="X11" s="21">
        <f t="shared" si="40"/>
        <v>90.204351513908804</v>
      </c>
      <c r="Y11" s="21">
        <f t="shared" si="40"/>
        <v>92.928522929628855</v>
      </c>
      <c r="Z11" s="21">
        <f t="shared" si="40"/>
        <v>95.73496432210365</v>
      </c>
      <c r="AA11" s="21">
        <f t="shared" si="40"/>
        <v>98.626160244631166</v>
      </c>
      <c r="AB11" s="21">
        <f t="shared" si="40"/>
        <v>101.60467028401904</v>
      </c>
      <c r="AC11" s="21">
        <f t="shared" si="40"/>
        <v>104.6731313265964</v>
      </c>
      <c r="AD11" s="21">
        <f t="shared" si="40"/>
        <v>107.83425989265962</v>
      </c>
      <c r="AE11" s="21">
        <f t="shared" si="40"/>
        <v>111.09085454141794</v>
      </c>
    </row>
    <row r="12" spans="1:31" s="20" customFormat="1" x14ac:dyDescent="0.2">
      <c r="B12" s="20" t="s">
        <v>44</v>
      </c>
      <c r="C12" s="21"/>
      <c r="D12" s="21"/>
      <c r="E12" s="21"/>
      <c r="F12" s="21"/>
      <c r="G12" s="21">
        <f>+G10+G11</f>
        <v>127.845</v>
      </c>
      <c r="H12" s="21">
        <f>+H10+H11</f>
        <v>40</v>
      </c>
      <c r="I12" s="21">
        <f t="shared" ref="H12:J12" si="41">+I10+I11</f>
        <v>40</v>
      </c>
      <c r="J12" s="21">
        <f t="shared" si="41"/>
        <v>40</v>
      </c>
      <c r="K12" s="21"/>
      <c r="L12" s="21"/>
      <c r="M12" s="21"/>
      <c r="N12" s="21"/>
      <c r="O12" s="21"/>
      <c r="P12" s="21"/>
      <c r="Q12" s="21">
        <f>+Q10+Q11</f>
        <v>210.43200000000002</v>
      </c>
      <c r="R12" s="21">
        <f t="shared" ref="R12:AE12" si="42">+R10+R11</f>
        <v>38.5</v>
      </c>
      <c r="S12" s="21">
        <f t="shared" si="42"/>
        <v>63.525000000000006</v>
      </c>
      <c r="T12" s="21">
        <f t="shared" si="42"/>
        <v>71.275050000000007</v>
      </c>
      <c r="U12" s="21">
        <f t="shared" si="42"/>
        <v>76.335578550000008</v>
      </c>
      <c r="V12" s="21">
        <f t="shared" si="42"/>
        <v>81.755404627050012</v>
      </c>
      <c r="W12" s="21">
        <f t="shared" si="42"/>
        <v>87.560038355570569</v>
      </c>
      <c r="X12" s="21">
        <f t="shared" si="42"/>
        <v>90.204351513908804</v>
      </c>
      <c r="Y12" s="21">
        <f t="shared" si="42"/>
        <v>92.928522929628855</v>
      </c>
      <c r="Z12" s="21">
        <f t="shared" si="42"/>
        <v>95.73496432210365</v>
      </c>
      <c r="AA12" s="21">
        <f t="shared" si="42"/>
        <v>98.626160244631166</v>
      </c>
      <c r="AB12" s="21">
        <f t="shared" si="42"/>
        <v>101.60467028401904</v>
      </c>
      <c r="AC12" s="21">
        <f t="shared" si="42"/>
        <v>104.6731313265964</v>
      </c>
      <c r="AD12" s="21">
        <f t="shared" si="42"/>
        <v>107.83425989265962</v>
      </c>
      <c r="AE12" s="21">
        <f t="shared" si="42"/>
        <v>111.09085454141794</v>
      </c>
    </row>
    <row r="13" spans="1:31" s="20" customFormat="1" x14ac:dyDescent="0.2">
      <c r="B13" s="20" t="s">
        <v>45</v>
      </c>
      <c r="C13" s="21"/>
      <c r="D13" s="21"/>
      <c r="E13" s="21"/>
      <c r="F13" s="21"/>
      <c r="G13" s="21">
        <f>+G9-G12</f>
        <v>-127.4</v>
      </c>
      <c r="H13" s="21">
        <f t="shared" ref="H13:J13" si="43">+H9-H12</f>
        <v>-22.675000000000001</v>
      </c>
      <c r="I13" s="21">
        <f t="shared" si="43"/>
        <v>-5.3500000000000014</v>
      </c>
      <c r="J13" s="21">
        <f t="shared" si="43"/>
        <v>11.975000000000001</v>
      </c>
      <c r="K13" s="21"/>
      <c r="L13" s="21"/>
      <c r="M13" s="21"/>
      <c r="N13" s="21"/>
      <c r="O13" s="21"/>
      <c r="P13" s="21"/>
      <c r="Q13" s="21">
        <f>+Q9-Q12</f>
        <v>-106.48200000000001</v>
      </c>
      <c r="R13" s="21">
        <f t="shared" ref="R13:AE13" si="44">+R9-R12</f>
        <v>113.96000000000001</v>
      </c>
      <c r="S13" s="21">
        <f t="shared" si="44"/>
        <v>188.03400000000002</v>
      </c>
      <c r="T13" s="21">
        <f t="shared" si="44"/>
        <v>210.97414800000001</v>
      </c>
      <c r="U13" s="21">
        <f t="shared" si="44"/>
        <v>225.95331250800004</v>
      </c>
      <c r="V13" s="21">
        <f t="shared" si="44"/>
        <v>241.99599769606803</v>
      </c>
      <c r="W13" s="21">
        <f t="shared" si="44"/>
        <v>259.17771353248889</v>
      </c>
      <c r="X13" s="21">
        <f t="shared" si="44"/>
        <v>267.00488048117006</v>
      </c>
      <c r="Y13" s="21">
        <f t="shared" si="44"/>
        <v>275.06842787170143</v>
      </c>
      <c r="Z13" s="21">
        <f t="shared" si="44"/>
        <v>283.37549439342683</v>
      </c>
      <c r="AA13" s="21">
        <f t="shared" si="44"/>
        <v>291.93343432410825</v>
      </c>
      <c r="AB13" s="21">
        <f t="shared" si="44"/>
        <v>300.74982404069635</v>
      </c>
      <c r="AC13" s="21">
        <f t="shared" si="44"/>
        <v>309.83246872672532</v>
      </c>
      <c r="AD13" s="21">
        <f t="shared" si="44"/>
        <v>319.18940928227244</v>
      </c>
      <c r="AE13" s="21">
        <f t="shared" si="44"/>
        <v>328.82892944259709</v>
      </c>
    </row>
    <row r="14" spans="1:31" s="20" customFormat="1" x14ac:dyDescent="0.2">
      <c r="B14" s="20" t="s">
        <v>50</v>
      </c>
      <c r="C14" s="21"/>
      <c r="D14" s="21"/>
      <c r="E14" s="21"/>
      <c r="F14" s="21"/>
      <c r="G14" s="21">
        <v>0.72599999999999998</v>
      </c>
      <c r="H14" s="21">
        <f>+G14</f>
        <v>0.72599999999999998</v>
      </c>
      <c r="I14" s="21">
        <f t="shared" ref="I14:J14" si="45">+H14</f>
        <v>0.72599999999999998</v>
      </c>
      <c r="J14" s="21">
        <f t="shared" si="45"/>
        <v>0.72599999999999998</v>
      </c>
      <c r="K14" s="21"/>
      <c r="L14" s="21"/>
      <c r="M14" s="21"/>
      <c r="N14" s="21"/>
      <c r="O14" s="21"/>
      <c r="P14" s="21"/>
      <c r="Q14" s="21"/>
      <c r="R14" s="21">
        <f>+Q21*$AI$22</f>
        <v>5.4298800000000007</v>
      </c>
      <c r="S14" s="21">
        <f>+R21*$AI$22</f>
        <v>6.3253041000000012</v>
      </c>
      <c r="T14" s="21">
        <f>+S21*$AI$22</f>
        <v>7.782998880750001</v>
      </c>
      <c r="U14" s="21">
        <f>+T21*$AI$22</f>
        <v>9.4236774823556271</v>
      </c>
      <c r="V14" s="21">
        <f>+U21*$AI$22</f>
        <v>11.189004907283294</v>
      </c>
      <c r="W14" s="21">
        <f>+V21*$AI$22</f>
        <v>13.08789242680843</v>
      </c>
      <c r="X14" s="21">
        <f>+W21*$AI$22</f>
        <v>15.129884471503161</v>
      </c>
      <c r="Y14" s="21">
        <f>+X21*$AI$22</f>
        <v>17.245895208648211</v>
      </c>
      <c r="Z14" s="21">
        <f>+Y21*$AI$22</f>
        <v>19.438252631750835</v>
      </c>
      <c r="AA14" s="21">
        <f>+Z21*$AI$22</f>
        <v>21.709355734439669</v>
      </c>
      <c r="AB14" s="21">
        <f>+AA21*$AI$22</f>
        <v>24.061676659878778</v>
      </c>
      <c r="AC14" s="21">
        <f>+AB21*$AI$22</f>
        <v>26.497762915133091</v>
      </c>
      <c r="AD14" s="21">
        <f>+AC21*$AI$22</f>
        <v>29.020239652447028</v>
      </c>
      <c r="AE14" s="21">
        <f>+AD21*$AI$22</f>
        <v>31.631812019457421</v>
      </c>
    </row>
    <row r="15" spans="1:31" s="20" customFormat="1" x14ac:dyDescent="0.2">
      <c r="B15" s="20" t="s">
        <v>49</v>
      </c>
      <c r="C15" s="21"/>
      <c r="D15" s="21"/>
      <c r="E15" s="21"/>
      <c r="F15" s="21"/>
      <c r="G15" s="21">
        <f>+G13+G14</f>
        <v>-126.67400000000001</v>
      </c>
      <c r="H15" s="21">
        <f t="shared" ref="H15:J15" si="46">+H13+H14</f>
        <v>-21.949000000000002</v>
      </c>
      <c r="I15" s="21">
        <f t="shared" si="46"/>
        <v>-4.6240000000000014</v>
      </c>
      <c r="J15" s="21">
        <f t="shared" si="46"/>
        <v>12.701000000000001</v>
      </c>
      <c r="K15" s="21"/>
      <c r="L15" s="21"/>
      <c r="M15" s="21"/>
      <c r="N15" s="21"/>
      <c r="O15" s="21"/>
      <c r="P15" s="21"/>
      <c r="Q15" s="21">
        <f>+Q13+Q14</f>
        <v>-106.48200000000001</v>
      </c>
      <c r="R15" s="21">
        <f t="shared" ref="R15:AE15" si="47">+R13+R14</f>
        <v>119.38988000000001</v>
      </c>
      <c r="S15" s="21">
        <f t="shared" si="47"/>
        <v>194.35930410000003</v>
      </c>
      <c r="T15" s="21">
        <f t="shared" si="47"/>
        <v>218.75714688075001</v>
      </c>
      <c r="U15" s="21">
        <f t="shared" si="47"/>
        <v>235.37698999035567</v>
      </c>
      <c r="V15" s="21">
        <f t="shared" si="47"/>
        <v>253.18500260335134</v>
      </c>
      <c r="W15" s="21">
        <f t="shared" si="47"/>
        <v>272.26560595929732</v>
      </c>
      <c r="X15" s="21">
        <f t="shared" si="47"/>
        <v>282.13476495267321</v>
      </c>
      <c r="Y15" s="21">
        <f t="shared" si="47"/>
        <v>292.31432308034965</v>
      </c>
      <c r="Z15" s="21">
        <f t="shared" si="47"/>
        <v>302.81374702517769</v>
      </c>
      <c r="AA15" s="21">
        <f t="shared" si="47"/>
        <v>313.64279005854792</v>
      </c>
      <c r="AB15" s="21">
        <f t="shared" si="47"/>
        <v>324.81150070057515</v>
      </c>
      <c r="AC15" s="21">
        <f t="shared" si="47"/>
        <v>336.3302316418584</v>
      </c>
      <c r="AD15" s="21">
        <f t="shared" si="47"/>
        <v>348.20964893471944</v>
      </c>
      <c r="AE15" s="21">
        <f>+AE13+AE14</f>
        <v>360.4607414620545</v>
      </c>
    </row>
    <row r="16" spans="1:31" s="20" customFormat="1" x14ac:dyDescent="0.2">
      <c r="B16" s="20" t="s">
        <v>48</v>
      </c>
      <c r="C16" s="21"/>
      <c r="D16" s="21"/>
      <c r="E16" s="21"/>
      <c r="F16" s="21"/>
      <c r="G16" s="21">
        <v>0</v>
      </c>
      <c r="H16" s="21">
        <v>0</v>
      </c>
      <c r="I16" s="21">
        <v>0</v>
      </c>
      <c r="J16" s="21">
        <v>0</v>
      </c>
      <c r="K16" s="21"/>
      <c r="L16" s="21"/>
      <c r="M16" s="21"/>
      <c r="N16" s="21"/>
      <c r="O16" s="21"/>
      <c r="P16" s="21"/>
      <c r="Q16" s="21">
        <f>+Q15*0.3</f>
        <v>-31.944600000000001</v>
      </c>
      <c r="R16" s="21">
        <f>+R15*0.25</f>
        <v>29.847470000000001</v>
      </c>
      <c r="S16" s="21">
        <f t="shared" ref="S16:AE16" si="48">+S15*0.25</f>
        <v>48.589826025000008</v>
      </c>
      <c r="T16" s="21">
        <f t="shared" si="48"/>
        <v>54.689286720187503</v>
      </c>
      <c r="U16" s="21">
        <f t="shared" si="48"/>
        <v>58.844247497588917</v>
      </c>
      <c r="V16" s="21">
        <f t="shared" si="48"/>
        <v>63.296250650837834</v>
      </c>
      <c r="W16" s="21">
        <f t="shared" si="48"/>
        <v>68.066401489824329</v>
      </c>
      <c r="X16" s="21">
        <f t="shared" si="48"/>
        <v>70.533691238168302</v>
      </c>
      <c r="Y16" s="21">
        <f t="shared" si="48"/>
        <v>73.078580770087413</v>
      </c>
      <c r="Z16" s="21">
        <f t="shared" si="48"/>
        <v>75.703436756294423</v>
      </c>
      <c r="AA16" s="21">
        <f t="shared" si="48"/>
        <v>78.410697514636979</v>
      </c>
      <c r="AB16" s="21">
        <f t="shared" si="48"/>
        <v>81.202875175143788</v>
      </c>
      <c r="AC16" s="21">
        <f t="shared" si="48"/>
        <v>84.082557910464601</v>
      </c>
      <c r="AD16" s="21">
        <f t="shared" si="48"/>
        <v>87.05241223367986</v>
      </c>
      <c r="AE16" s="21">
        <f>+AE15*0.25</f>
        <v>90.115185365513625</v>
      </c>
    </row>
    <row r="17" spans="2:58" s="20" customFormat="1" x14ac:dyDescent="0.2">
      <c r="B17" s="20" t="s">
        <v>47</v>
      </c>
      <c r="C17" s="21"/>
      <c r="D17" s="21"/>
      <c r="E17" s="21"/>
      <c r="F17" s="21"/>
      <c r="G17" s="21">
        <f>+G15-G16</f>
        <v>-126.67400000000001</v>
      </c>
      <c r="H17" s="21">
        <f t="shared" ref="H17:J17" si="49">+H15-H16</f>
        <v>-21.949000000000002</v>
      </c>
      <c r="I17" s="21">
        <f t="shared" si="49"/>
        <v>-4.6240000000000014</v>
      </c>
      <c r="J17" s="21">
        <f t="shared" si="49"/>
        <v>12.701000000000001</v>
      </c>
      <c r="K17" s="21"/>
      <c r="L17" s="21"/>
      <c r="M17" s="21"/>
      <c r="N17" s="21"/>
      <c r="O17" s="21"/>
      <c r="P17" s="21"/>
      <c r="Q17" s="21">
        <f>+Q15-Q16</f>
        <v>-74.537400000000019</v>
      </c>
      <c r="R17" s="21">
        <f t="shared" ref="R17:AE17" si="50">+R15-R16</f>
        <v>89.542410000000004</v>
      </c>
      <c r="S17" s="21">
        <f t="shared" si="50"/>
        <v>145.76947807500002</v>
      </c>
      <c r="T17" s="21">
        <f t="shared" si="50"/>
        <v>164.0678601605625</v>
      </c>
      <c r="U17" s="21">
        <f t="shared" si="50"/>
        <v>176.53274249276674</v>
      </c>
      <c r="V17" s="21">
        <f t="shared" si="50"/>
        <v>189.8887519525135</v>
      </c>
      <c r="W17" s="21">
        <f t="shared" si="50"/>
        <v>204.19920446947299</v>
      </c>
      <c r="X17" s="21">
        <f t="shared" si="50"/>
        <v>211.60107371450491</v>
      </c>
      <c r="Y17" s="21">
        <f t="shared" si="50"/>
        <v>219.23574231026225</v>
      </c>
      <c r="Z17" s="21">
        <f t="shared" si="50"/>
        <v>227.11031026888327</v>
      </c>
      <c r="AA17" s="21">
        <f t="shared" si="50"/>
        <v>235.23209254391094</v>
      </c>
      <c r="AB17" s="21">
        <f t="shared" si="50"/>
        <v>243.60862552543136</v>
      </c>
      <c r="AC17" s="21">
        <f t="shared" si="50"/>
        <v>252.2476737313938</v>
      </c>
      <c r="AD17" s="21">
        <f t="shared" si="50"/>
        <v>261.15723670103955</v>
      </c>
      <c r="AE17" s="21">
        <f>+AE15-AE16</f>
        <v>270.34555609654086</v>
      </c>
      <c r="AF17" s="20">
        <f>+AE17*(1+$AI$21)</f>
        <v>189.24188926757859</v>
      </c>
      <c r="AG17" s="20">
        <f>+AF17*(1+$AI$21)</f>
        <v>132.46932248730499</v>
      </c>
      <c r="AH17" s="20">
        <f>+AG17*(1+$AI$21)</f>
        <v>92.728525741113486</v>
      </c>
      <c r="AI17" s="20">
        <f>+AH17*(1+$AI$21)</f>
        <v>64.909968018779438</v>
      </c>
      <c r="AJ17" s="20">
        <f>+AI17*(1+$AI$21)</f>
        <v>45.436977613145601</v>
      </c>
      <c r="AK17" s="20">
        <f>+AJ17*(1+$AI$21)</f>
        <v>31.80588432920192</v>
      </c>
      <c r="AL17" s="20">
        <f>+AK17*(1+$AI$21)</f>
        <v>22.264119030441343</v>
      </c>
      <c r="AM17" s="20">
        <f>+AL17*(1+$AI$21)</f>
        <v>15.584883321308938</v>
      </c>
      <c r="AN17" s="20">
        <f>+AM17*(1+$AI$21)</f>
        <v>10.909418324916256</v>
      </c>
      <c r="AO17" s="20">
        <f>+AN17*(1+$AI$21)</f>
        <v>7.6365928274413788</v>
      </c>
      <c r="AP17" s="20">
        <f>+AO17*(1+$AI$21)</f>
        <v>5.3456149792089649</v>
      </c>
      <c r="AQ17" s="20">
        <f>+AP17*(1+$AI$21)</f>
        <v>3.7419304854462752</v>
      </c>
      <c r="AR17" s="20">
        <f>+AQ17*(1+$AI$21)</f>
        <v>2.6193513398123924</v>
      </c>
      <c r="AS17" s="20">
        <f>+AR17*(1+$AI$21)</f>
        <v>1.8335459378686745</v>
      </c>
      <c r="AT17" s="20">
        <f>+AS17*(1+$AI$21)</f>
        <v>1.2834821565080721</v>
      </c>
      <c r="AU17" s="20">
        <f>+AT17*(1+$AI$21)</f>
        <v>0.89843750955565038</v>
      </c>
      <c r="AV17" s="20">
        <f>+AU17*(1+$AI$21)</f>
        <v>0.62890625668895528</v>
      </c>
      <c r="AW17" s="20">
        <f>+AV17*(1+$AI$21)</f>
        <v>0.44023437968226864</v>
      </c>
      <c r="AX17" s="20">
        <f>+AW17*(1+$AI$21)</f>
        <v>0.30816406577758804</v>
      </c>
      <c r="AY17" s="20">
        <f>+AX17*(1+$AI$21)</f>
        <v>0.21571484604431163</v>
      </c>
      <c r="AZ17" s="20">
        <f>+AY17*(1+$AI$21)</f>
        <v>0.15100039223101813</v>
      </c>
      <c r="BA17" s="20">
        <f>+AZ17*(1+$AI$21)</f>
        <v>0.10570027456171269</v>
      </c>
      <c r="BB17" s="20">
        <f>+BA17*(1+$AI$21)</f>
        <v>7.399019219319887E-2</v>
      </c>
      <c r="BC17" s="20">
        <f>+BB17*(1+$AI$21)</f>
        <v>5.1793134535239205E-2</v>
      </c>
      <c r="BD17" s="20">
        <f>+BC17*(1+$AI$21)</f>
        <v>3.6255194174667438E-2</v>
      </c>
      <c r="BE17" s="20">
        <f>+BD17*(1+$AI$21)</f>
        <v>2.5378635922267204E-2</v>
      </c>
      <c r="BF17" s="20">
        <f>+BE17*(1+$AI$21)</f>
        <v>1.7765045145587043E-2</v>
      </c>
    </row>
    <row r="18" spans="2:58" x14ac:dyDescent="0.2">
      <c r="B18" t="s">
        <v>46</v>
      </c>
      <c r="G18" s="22">
        <f>G17/G19</f>
        <v>-5.1714548300116006</v>
      </c>
      <c r="H18" s="22">
        <f t="shared" ref="H18:J18" si="51">H17/H19</f>
        <v>-0.89606598089524792</v>
      </c>
      <c r="I18" s="22">
        <f t="shared" si="51"/>
        <v>-0.18877439043508257</v>
      </c>
      <c r="J18" s="22">
        <f t="shared" si="51"/>
        <v>0.51851720002508284</v>
      </c>
    </row>
    <row r="19" spans="2:58" x14ac:dyDescent="0.2">
      <c r="B19" t="s">
        <v>1</v>
      </c>
      <c r="G19" s="21">
        <v>24.494848000000001</v>
      </c>
      <c r="H19" s="21">
        <f>+G19</f>
        <v>24.494848000000001</v>
      </c>
      <c r="I19" s="21">
        <f t="shared" ref="I19:J19" si="52">+H19</f>
        <v>24.494848000000001</v>
      </c>
      <c r="J19" s="21">
        <f t="shared" si="52"/>
        <v>24.494848000000001</v>
      </c>
    </row>
    <row r="21" spans="2:58" s="2" customFormat="1" x14ac:dyDescent="0.2">
      <c r="B21" s="2" t="s">
        <v>3</v>
      </c>
      <c r="C21" s="17"/>
      <c r="D21" s="17"/>
      <c r="E21" s="17"/>
      <c r="F21" s="17"/>
      <c r="G21" s="17">
        <f>49.205+507.655</f>
        <v>556.86</v>
      </c>
      <c r="H21" s="17">
        <f>+G21+H17</f>
        <v>534.91100000000006</v>
      </c>
      <c r="I21" s="17">
        <f t="shared" ref="I21:J21" si="53">+H21+I17</f>
        <v>530.28700000000003</v>
      </c>
      <c r="J21" s="17">
        <f t="shared" si="53"/>
        <v>542.98800000000006</v>
      </c>
      <c r="K21" s="17"/>
      <c r="L21" s="17"/>
      <c r="M21" s="17"/>
      <c r="N21" s="17"/>
      <c r="O21" s="17"/>
      <c r="P21" s="17"/>
      <c r="Q21" s="17">
        <f>+J21</f>
        <v>542.98800000000006</v>
      </c>
      <c r="R21" s="17">
        <f>+Q21+R17</f>
        <v>632.53041000000007</v>
      </c>
      <c r="S21" s="17">
        <f t="shared" ref="S21:AE21" si="54">+R21+S17</f>
        <v>778.29988807500013</v>
      </c>
      <c r="T21" s="17">
        <f t="shared" si="54"/>
        <v>942.36774823556266</v>
      </c>
      <c r="U21" s="17">
        <f t="shared" si="54"/>
        <v>1118.9004907283295</v>
      </c>
      <c r="V21" s="17">
        <f t="shared" si="54"/>
        <v>1308.789242680843</v>
      </c>
      <c r="W21" s="17">
        <f t="shared" si="54"/>
        <v>1512.988447150316</v>
      </c>
      <c r="X21" s="17">
        <f t="shared" si="54"/>
        <v>1724.589520864821</v>
      </c>
      <c r="Y21" s="17">
        <f t="shared" si="54"/>
        <v>1943.8252631750834</v>
      </c>
      <c r="Z21" s="17">
        <f t="shared" si="54"/>
        <v>2170.9355734439669</v>
      </c>
      <c r="AA21" s="17">
        <f t="shared" si="54"/>
        <v>2406.1676659878776</v>
      </c>
      <c r="AB21" s="17">
        <f t="shared" si="54"/>
        <v>2649.7762915133089</v>
      </c>
      <c r="AC21" s="17">
        <f t="shared" si="54"/>
        <v>2902.0239652447026</v>
      </c>
      <c r="AD21" s="17">
        <f t="shared" si="54"/>
        <v>3163.181201945742</v>
      </c>
      <c r="AE21" s="17">
        <f t="shared" si="54"/>
        <v>3433.5267580422828</v>
      </c>
      <c r="AH21" t="s">
        <v>59</v>
      </c>
      <c r="AI21" s="23">
        <v>-0.3</v>
      </c>
    </row>
    <row r="22" spans="2:58" s="2" customFormat="1" x14ac:dyDescent="0.2">
      <c r="B22" s="2" t="s">
        <v>31</v>
      </c>
      <c r="C22" s="17"/>
      <c r="D22" s="17"/>
      <c r="E22" s="17"/>
      <c r="F22" s="17"/>
      <c r="G22" s="17">
        <v>18.085999999999999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H22" s="20" t="s">
        <v>58</v>
      </c>
      <c r="AI22" s="23">
        <v>0.01</v>
      </c>
    </row>
    <row r="23" spans="2:58" s="2" customFormat="1" x14ac:dyDescent="0.2">
      <c r="B23" s="2" t="s">
        <v>32</v>
      </c>
      <c r="C23" s="17"/>
      <c r="D23" s="17"/>
      <c r="E23" s="17"/>
      <c r="F23" s="17"/>
      <c r="G23" s="17">
        <v>11.77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H23" t="s">
        <v>56</v>
      </c>
      <c r="AI23" s="23">
        <v>0.06</v>
      </c>
    </row>
    <row r="24" spans="2:58" s="2" customFormat="1" x14ac:dyDescent="0.2">
      <c r="B24" s="2" t="s">
        <v>33</v>
      </c>
      <c r="C24" s="17"/>
      <c r="D24" s="17"/>
      <c r="E24" s="17"/>
      <c r="F24" s="17"/>
      <c r="G24" s="17">
        <v>6.6580000000000004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H24" t="s">
        <v>57</v>
      </c>
      <c r="AI24" s="2">
        <f>NPV(AI23,Q17:BE17)</f>
        <v>1863.5522461757</v>
      </c>
    </row>
    <row r="25" spans="2:58" s="2" customFormat="1" x14ac:dyDescent="0.2">
      <c r="B25" s="2" t="s">
        <v>34</v>
      </c>
      <c r="C25" s="17"/>
      <c r="D25" s="17"/>
      <c r="E25" s="17"/>
      <c r="F25" s="17"/>
      <c r="G25" s="17">
        <f>SUM(G21:G24)</f>
        <v>593.37400000000002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H25"/>
      <c r="AI25" s="1">
        <f>AI24/Main!L3</f>
        <v>75.768724887984561</v>
      </c>
    </row>
    <row r="26" spans="2:58" s="2" customFormat="1" x14ac:dyDescent="0.2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</row>
    <row r="27" spans="2:58" s="2" customFormat="1" x14ac:dyDescent="0.2">
      <c r="B27" s="2" t="s">
        <v>35</v>
      </c>
      <c r="C27" s="17"/>
      <c r="D27" s="17"/>
      <c r="E27" s="17"/>
      <c r="F27" s="17"/>
      <c r="G27" s="17">
        <v>42.47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</row>
    <row r="28" spans="2:58" s="2" customFormat="1" x14ac:dyDescent="0.2">
      <c r="B28" s="2" t="s">
        <v>36</v>
      </c>
      <c r="C28" s="17"/>
      <c r="D28" s="17"/>
      <c r="E28" s="17"/>
      <c r="F28" s="17"/>
      <c r="G28" s="17">
        <v>55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</row>
    <row r="29" spans="2:58" s="2" customFormat="1" x14ac:dyDescent="0.2">
      <c r="B29" s="2" t="s">
        <v>37</v>
      </c>
      <c r="C29" s="17"/>
      <c r="D29" s="17"/>
      <c r="E29" s="17"/>
      <c r="F29" s="17"/>
      <c r="G29" s="17">
        <f>1.782+5.79</f>
        <v>7.5720000000000001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</row>
    <row r="30" spans="2:58" s="2" customFormat="1" x14ac:dyDescent="0.2">
      <c r="B30" s="2" t="s">
        <v>38</v>
      </c>
      <c r="C30" s="17"/>
      <c r="D30" s="17"/>
      <c r="E30" s="17"/>
      <c r="F30" s="17"/>
      <c r="G30" s="17">
        <v>488.33300000000003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</row>
    <row r="31" spans="2:58" s="2" customFormat="1" x14ac:dyDescent="0.2">
      <c r="B31" s="2" t="s">
        <v>39</v>
      </c>
      <c r="C31" s="17"/>
      <c r="D31" s="17"/>
      <c r="E31" s="17"/>
      <c r="F31" s="17"/>
      <c r="G31" s="17">
        <f>SUM(G27:G30)</f>
        <v>593.375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</row>
  </sheetData>
  <hyperlinks>
    <hyperlink ref="A1" location="Main!A1" display="Main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2.75" x14ac:dyDescent="0.2"/>
  <cols>
    <col min="1" max="1" width="5" bestFit="1" customWidth="1"/>
    <col min="2" max="2" width="14.140625" customWidth="1"/>
  </cols>
  <sheetData>
    <row r="1" spans="1:3" x14ac:dyDescent="0.2">
      <c r="A1" s="7" t="s">
        <v>10</v>
      </c>
    </row>
    <row r="2" spans="1:3" x14ac:dyDescent="0.2">
      <c r="B2" t="s">
        <v>11</v>
      </c>
    </row>
    <row r="3" spans="1:3" x14ac:dyDescent="0.2">
      <c r="B3" t="s">
        <v>14</v>
      </c>
      <c r="C3" t="s">
        <v>8</v>
      </c>
    </row>
    <row r="4" spans="1:3" x14ac:dyDescent="0.2">
      <c r="B4" t="s">
        <v>15</v>
      </c>
      <c r="C4" t="s">
        <v>17</v>
      </c>
    </row>
    <row r="5" spans="1:3" x14ac:dyDescent="0.2">
      <c r="B5" t="s">
        <v>12</v>
      </c>
      <c r="C5" t="s">
        <v>13</v>
      </c>
    </row>
    <row r="6" spans="1:3" x14ac:dyDescent="0.2">
      <c r="B6" t="s">
        <v>0</v>
      </c>
      <c r="C6" t="s">
        <v>51</v>
      </c>
    </row>
    <row r="7" spans="1:3" x14ac:dyDescent="0.2">
      <c r="B7" t="s">
        <v>21</v>
      </c>
    </row>
    <row r="8" spans="1:3" x14ac:dyDescent="0.2">
      <c r="C8" s="16" t="s">
        <v>67</v>
      </c>
    </row>
    <row r="12" spans="1:3" x14ac:dyDescent="0.2">
      <c r="C12" s="16" t="s">
        <v>65</v>
      </c>
    </row>
    <row r="13" spans="1:3" x14ac:dyDescent="0.2">
      <c r="C13" t="s">
        <v>66</v>
      </c>
    </row>
    <row r="15" spans="1:3" x14ac:dyDescent="0.2">
      <c r="C15" s="16" t="s">
        <v>64</v>
      </c>
    </row>
    <row r="19" spans="3:3" x14ac:dyDescent="0.2">
      <c r="C19" s="16" t="s">
        <v>63</v>
      </c>
    </row>
  </sheetData>
  <hyperlinks>
    <hyperlink ref="A1" location="Main!A1" display="Mai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obeticholic acid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2016-06-10T16:54:54Z</dcterms:created>
  <dcterms:modified xsi:type="dcterms:W3CDTF">2016-06-10T17:59:44Z</dcterms:modified>
</cp:coreProperties>
</file>