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590" windowHeight="9525"/>
  </bookViews>
  <sheets>
    <sheet name="Main" sheetId="1" r:id="rId1"/>
    <sheet name="Model" sheetId="2" r:id="rId2"/>
    <sheet name="54828" sheetId="8" r:id="rId3"/>
    <sheet name="50465" sheetId="7" r:id="rId4"/>
    <sheet name="39110" sheetId="6" r:id="rId5"/>
    <sheet name="epacadostat" sheetId="5" r:id="rId6"/>
    <sheet name="Jakafi" sheetId="3" r:id="rId7"/>
    <sheet name="baricitinib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2" l="1"/>
  <c r="AH13" i="2" s="1"/>
  <c r="AI13" i="2" s="1"/>
  <c r="AJ13" i="2" s="1"/>
  <c r="AK13" i="2" s="1"/>
  <c r="AF9" i="2"/>
  <c r="AH7" i="2"/>
  <c r="AI7" i="2" s="1"/>
  <c r="AE7" i="2"/>
  <c r="AF7" i="2" s="1"/>
  <c r="AG7" i="2" s="1"/>
  <c r="AD7" i="2"/>
  <c r="AB7" i="2"/>
  <c r="AC7" i="2" s="1"/>
  <c r="AA7" i="2"/>
  <c r="Z7" i="2"/>
  <c r="Y7" i="2"/>
  <c r="X7" i="2"/>
  <c r="Z5" i="2"/>
  <c r="Y5" i="2"/>
  <c r="N5" i="2"/>
  <c r="N23" i="2" s="1"/>
  <c r="AH21" i="2"/>
  <c r="AI21" i="2" s="1"/>
  <c r="AJ21" i="2" s="1"/>
  <c r="AK21" i="2" s="1"/>
  <c r="Z21" i="2"/>
  <c r="AA21" i="2" s="1"/>
  <c r="AB21" i="2" s="1"/>
  <c r="AC21" i="2" s="1"/>
  <c r="AD21" i="2" s="1"/>
  <c r="AE21" i="2" s="1"/>
  <c r="AF21" i="2" s="1"/>
  <c r="AG21" i="2" s="1"/>
  <c r="Y21" i="2"/>
  <c r="X21" i="2"/>
  <c r="M5" i="2"/>
  <c r="M9" i="2" s="1"/>
  <c r="V21" i="2"/>
  <c r="V18" i="2"/>
  <c r="V16" i="2"/>
  <c r="V13" i="2"/>
  <c r="V14" i="2" s="1"/>
  <c r="V12" i="2"/>
  <c r="V10" i="2"/>
  <c r="V8" i="2"/>
  <c r="V6" i="2"/>
  <c r="V9" i="2" s="1"/>
  <c r="V11" i="2" s="1"/>
  <c r="V5" i="2"/>
  <c r="W21" i="2"/>
  <c r="W16" i="2"/>
  <c r="W13" i="2"/>
  <c r="W14" i="2" s="1"/>
  <c r="W12" i="2"/>
  <c r="W8" i="2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N24" i="2"/>
  <c r="M24" i="2"/>
  <c r="N21" i="2"/>
  <c r="M21" i="2"/>
  <c r="L21" i="2"/>
  <c r="N14" i="2"/>
  <c r="M14" i="2"/>
  <c r="N13" i="2"/>
  <c r="M13" i="2"/>
  <c r="N6" i="2"/>
  <c r="M6" i="2"/>
  <c r="L5" i="2"/>
  <c r="G20" i="2"/>
  <c r="D16" i="2"/>
  <c r="D14" i="2"/>
  <c r="D11" i="2"/>
  <c r="H16" i="2"/>
  <c r="H23" i="2"/>
  <c r="H24" i="2"/>
  <c r="D9" i="2"/>
  <c r="D8" i="2"/>
  <c r="H14" i="2"/>
  <c r="H9" i="2"/>
  <c r="H11" i="2" s="1"/>
  <c r="E16" i="2"/>
  <c r="E14" i="2"/>
  <c r="E11" i="2"/>
  <c r="E15" i="2" s="1"/>
  <c r="E17" i="2" s="1"/>
  <c r="E19" i="2" s="1"/>
  <c r="E20" i="2" s="1"/>
  <c r="L24" i="2"/>
  <c r="L23" i="2"/>
  <c r="I24" i="2"/>
  <c r="I23" i="2"/>
  <c r="I16" i="2"/>
  <c r="E8" i="2"/>
  <c r="E9" i="2"/>
  <c r="I14" i="2"/>
  <c r="I9" i="2"/>
  <c r="I11" i="2" s="1"/>
  <c r="F20" i="2"/>
  <c r="F16" i="2"/>
  <c r="F14" i="2"/>
  <c r="F11" i="2"/>
  <c r="J24" i="2"/>
  <c r="J23" i="2"/>
  <c r="J16" i="2"/>
  <c r="J14" i="2"/>
  <c r="J11" i="2"/>
  <c r="J15" i="2" s="1"/>
  <c r="F9" i="2"/>
  <c r="J9" i="2"/>
  <c r="L16" i="2"/>
  <c r="L14" i="2"/>
  <c r="L9" i="2"/>
  <c r="L11" i="2" s="1"/>
  <c r="K24" i="2"/>
  <c r="K23" i="2"/>
  <c r="G16" i="2"/>
  <c r="G17" i="2"/>
  <c r="G19" i="2"/>
  <c r="K16" i="2"/>
  <c r="G14" i="2"/>
  <c r="G11" i="2"/>
  <c r="K14" i="2"/>
  <c r="G8" i="2"/>
  <c r="G9" i="2"/>
  <c r="K9" i="2"/>
  <c r="K11" i="2" s="1"/>
  <c r="K8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K5" i="1"/>
  <c r="K4" i="1"/>
  <c r="K7" i="1" s="1"/>
  <c r="V15" i="2" l="1"/>
  <c r="V17" i="2" s="1"/>
  <c r="V19" i="2" s="1"/>
  <c r="V20" i="2" s="1"/>
  <c r="X13" i="2"/>
  <c r="N9" i="2"/>
  <c r="N10" i="2" s="1"/>
  <c r="N11" i="2" s="1"/>
  <c r="N15" i="2" s="1"/>
  <c r="N17" i="2" s="1"/>
  <c r="AI6" i="2"/>
  <c r="AJ6" i="2" s="1"/>
  <c r="AK6" i="2" s="1"/>
  <c r="M10" i="2"/>
  <c r="W10" i="2" s="1"/>
  <c r="M23" i="2"/>
  <c r="W5" i="2"/>
  <c r="D15" i="2"/>
  <c r="D17" i="2" s="1"/>
  <c r="D19" i="2" s="1"/>
  <c r="D20" i="2" s="1"/>
  <c r="H15" i="2"/>
  <c r="H17" i="2" s="1"/>
  <c r="H19" i="2" s="1"/>
  <c r="H20" i="2" s="1"/>
  <c r="I15" i="2"/>
  <c r="I17" i="2" s="1"/>
  <c r="I19" i="2" s="1"/>
  <c r="I20" i="2" s="1"/>
  <c r="F15" i="2"/>
  <c r="F17" i="2" s="1"/>
  <c r="F19" i="2" s="1"/>
  <c r="J17" i="2"/>
  <c r="J19" i="2" s="1"/>
  <c r="J20" i="2" s="1"/>
  <c r="L15" i="2"/>
  <c r="L17" i="2" s="1"/>
  <c r="K15" i="2"/>
  <c r="K17" i="2" s="1"/>
  <c r="K19" i="2" s="1"/>
  <c r="K20" i="2" s="1"/>
  <c r="G15" i="2"/>
  <c r="X14" i="2" l="1"/>
  <c r="Y13" i="2"/>
  <c r="W9" i="2"/>
  <c r="X5" i="2"/>
  <c r="N18" i="2"/>
  <c r="N19" i="2" s="1"/>
  <c r="N20" i="2" s="1"/>
  <c r="W11" i="2"/>
  <c r="W15" i="2" s="1"/>
  <c r="W17" i="2" s="1"/>
  <c r="M11" i="2"/>
  <c r="M15" i="2" s="1"/>
  <c r="M17" i="2" s="1"/>
  <c r="M18" i="2" s="1"/>
  <c r="L18" i="2"/>
  <c r="L19" i="2" s="1"/>
  <c r="L20" i="2" s="1"/>
  <c r="Z13" i="2" l="1"/>
  <c r="Y14" i="2"/>
  <c r="X9" i="2"/>
  <c r="M19" i="2"/>
  <c r="M20" i="2" s="1"/>
  <c r="W18" i="2"/>
  <c r="W19" i="2" s="1"/>
  <c r="Z14" i="2" l="1"/>
  <c r="AA13" i="2"/>
  <c r="Y9" i="2"/>
  <c r="Y10" i="2" s="1"/>
  <c r="Y11" i="2" s="1"/>
  <c r="Y15" i="2" s="1"/>
  <c r="W20" i="2"/>
  <c r="X26" i="2"/>
  <c r="X10" i="2"/>
  <c r="X11" i="2" s="1"/>
  <c r="X15" i="2" s="1"/>
  <c r="AB13" i="2" l="1"/>
  <c r="AA14" i="2"/>
  <c r="AA5" i="2"/>
  <c r="Z9" i="2"/>
  <c r="X16" i="2"/>
  <c r="X17" i="2" s="1"/>
  <c r="X18" i="2" s="1"/>
  <c r="X19" i="2" s="1"/>
  <c r="AC13" i="2" l="1"/>
  <c r="AB14" i="2"/>
  <c r="X20" i="2"/>
  <c r="Y26" i="2"/>
  <c r="Y16" i="2" s="1"/>
  <c r="Y17" i="2" s="1"/>
  <c r="Y18" i="2" s="1"/>
  <c r="Y19" i="2" s="1"/>
  <c r="AB5" i="2"/>
  <c r="AA9" i="2"/>
  <c r="AA10" i="2" s="1"/>
  <c r="AA11" i="2" s="1"/>
  <c r="AA15" i="2" s="1"/>
  <c r="Z10" i="2"/>
  <c r="Z11" i="2" s="1"/>
  <c r="Z15" i="2" s="1"/>
  <c r="AD13" i="2" l="1"/>
  <c r="AC14" i="2"/>
  <c r="AC5" i="2"/>
  <c r="AB9" i="2"/>
  <c r="Z26" i="2"/>
  <c r="Y20" i="2"/>
  <c r="AE13" i="2" l="1"/>
  <c r="AD14" i="2"/>
  <c r="Z16" i="2"/>
  <c r="Z17" i="2" s="1"/>
  <c r="Z18" i="2" s="1"/>
  <c r="Z19" i="2" s="1"/>
  <c r="Z20" i="2" s="1"/>
  <c r="AB10" i="2"/>
  <c r="AB11" i="2" s="1"/>
  <c r="AB15" i="2" s="1"/>
  <c r="AD5" i="2"/>
  <c r="AC9" i="2"/>
  <c r="AA26" i="2" l="1"/>
  <c r="AA16" i="2" s="1"/>
  <c r="AA17" i="2" s="1"/>
  <c r="AA18" i="2" s="1"/>
  <c r="AA19" i="2" s="1"/>
  <c r="AB26" i="2" s="1"/>
  <c r="AE14" i="2"/>
  <c r="AF13" i="2"/>
  <c r="AA20" i="2"/>
  <c r="AE5" i="2"/>
  <c r="AD9" i="2"/>
  <c r="AC10" i="2"/>
  <c r="AC11" i="2" s="1"/>
  <c r="AC15" i="2" s="1"/>
  <c r="AB16" i="2"/>
  <c r="AB17" i="2" s="1"/>
  <c r="AB18" i="2" s="1"/>
  <c r="AB19" i="2" s="1"/>
  <c r="AF14" i="2" l="1"/>
  <c r="AD10" i="2"/>
  <c r="AD11" i="2" s="1"/>
  <c r="AD15" i="2" s="1"/>
  <c r="AF5" i="2"/>
  <c r="AE9" i="2"/>
  <c r="AE10" i="2" s="1"/>
  <c r="AE11" i="2" s="1"/>
  <c r="AE15" i="2" s="1"/>
  <c r="AB20" i="2"/>
  <c r="AC26" i="2"/>
  <c r="AG14" i="2" l="1"/>
  <c r="AG5" i="2"/>
  <c r="AF10" i="2"/>
  <c r="AF11" i="2" s="1"/>
  <c r="AF15" i="2" s="1"/>
  <c r="AC16" i="2"/>
  <c r="AC17" i="2" s="1"/>
  <c r="AC18" i="2" s="1"/>
  <c r="AC19" i="2" s="1"/>
  <c r="AH14" i="2" l="1"/>
  <c r="AH5" i="2"/>
  <c r="AG9" i="2"/>
  <c r="AG10" i="2" s="1"/>
  <c r="AG11" i="2" s="1"/>
  <c r="AG15" i="2" s="1"/>
  <c r="AC20" i="2"/>
  <c r="AD26" i="2"/>
  <c r="AI14" i="2" l="1"/>
  <c r="AI5" i="2"/>
  <c r="AH9" i="2"/>
  <c r="AH10" i="2" s="1"/>
  <c r="AH11" i="2" s="1"/>
  <c r="AH15" i="2" s="1"/>
  <c r="AD16" i="2"/>
  <c r="AD17" i="2" s="1"/>
  <c r="AD18" i="2" s="1"/>
  <c r="AD19" i="2" s="1"/>
  <c r="AK14" i="2" l="1"/>
  <c r="AJ14" i="2"/>
  <c r="AJ5" i="2"/>
  <c r="AI9" i="2"/>
  <c r="AI10" i="2" s="1"/>
  <c r="AI11" i="2" s="1"/>
  <c r="AI15" i="2" s="1"/>
  <c r="AD20" i="2"/>
  <c r="AE26" i="2"/>
  <c r="AJ9" i="2" l="1"/>
  <c r="AJ10" i="2" s="1"/>
  <c r="AJ11" i="2" s="1"/>
  <c r="AJ15" i="2" s="1"/>
  <c r="AK5" i="2"/>
  <c r="AK9" i="2" s="1"/>
  <c r="AK10" i="2" s="1"/>
  <c r="AK11" i="2" s="1"/>
  <c r="AK15" i="2" s="1"/>
  <c r="AE16" i="2"/>
  <c r="AE17" i="2" s="1"/>
  <c r="AE18" i="2" s="1"/>
  <c r="AE19" i="2" s="1"/>
  <c r="AE20" i="2" s="1"/>
  <c r="AF26" i="2" l="1"/>
  <c r="AF16" i="2" l="1"/>
  <c r="AF17" i="2" s="1"/>
  <c r="AF18" i="2" s="1"/>
  <c r="AF19" i="2" s="1"/>
  <c r="AF20" i="2" s="1"/>
  <c r="AG26" i="2" l="1"/>
  <c r="AG16" i="2" l="1"/>
  <c r="AG17" i="2" s="1"/>
  <c r="AG18" i="2" s="1"/>
  <c r="AG19" i="2" s="1"/>
  <c r="AG20" i="2" l="1"/>
  <c r="AN24" i="2"/>
  <c r="AH26" i="2"/>
  <c r="AH16" i="2" l="1"/>
  <c r="AH17" i="2" s="1"/>
  <c r="AH18" i="2" l="1"/>
  <c r="AH19" i="2" s="1"/>
  <c r="AH20" i="2" l="1"/>
  <c r="AI26" i="2"/>
  <c r="AI16" i="2" l="1"/>
  <c r="AI17" i="2" s="1"/>
  <c r="AI18" i="2" s="1"/>
  <c r="AI19" i="2" s="1"/>
  <c r="AJ26" i="2" s="1"/>
  <c r="AJ16" i="2" l="1"/>
  <c r="AJ17" i="2" s="1"/>
  <c r="AI20" i="2"/>
  <c r="AJ18" i="2" l="1"/>
  <c r="AJ19" i="2" s="1"/>
  <c r="AJ20" i="2" l="1"/>
  <c r="AK26" i="2"/>
  <c r="AK16" i="2" s="1"/>
  <c r="AK17" i="2" s="1"/>
  <c r="AK18" i="2" l="1"/>
  <c r="AK19" i="2" s="1"/>
  <c r="AK20" i="2" l="1"/>
  <c r="AL19" i="2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AN25" i="2" l="1"/>
  <c r="AN26" i="2" s="1"/>
  <c r="AN27" i="2" s="1"/>
</calcChain>
</file>

<file path=xl/comments1.xml><?xml version="1.0" encoding="utf-8"?>
<comments xmlns="http://schemas.openxmlformats.org/spreadsheetml/2006/main">
  <authors>
    <author>Martin Shkreli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"Adding new MF and PV patients, patients are staying on drug for a long time"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Q1: 815-830m guidance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company notes $1.5bn peak for MPNs in Q116 presentation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COM expiry</t>
        </r>
      </text>
    </comment>
  </commentList>
</comments>
</file>

<file path=xl/sharedStrings.xml><?xml version="1.0" encoding="utf-8"?>
<sst xmlns="http://schemas.openxmlformats.org/spreadsheetml/2006/main" count="214" uniqueCount="151">
  <si>
    <t>Price</t>
  </si>
  <si>
    <t>Shares</t>
  </si>
  <si>
    <t>MC</t>
  </si>
  <si>
    <t>Cash</t>
  </si>
  <si>
    <t>Debt</t>
  </si>
  <si>
    <t>EV</t>
  </si>
  <si>
    <t>Q116</t>
  </si>
  <si>
    <t>Brand</t>
  </si>
  <si>
    <t>Generic</t>
  </si>
  <si>
    <t>Indication</t>
  </si>
  <si>
    <t>Approved</t>
  </si>
  <si>
    <t>MOA</t>
  </si>
  <si>
    <t>Economics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</si>
  <si>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</si>
  <si>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</si>
  <si>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</si>
  <si>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</si>
  <si>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</si>
  <si>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</si>
  <si>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</si>
  <si>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</si>
  <si>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</si>
  <si>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</si>
  <si>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</si>
  <si>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</si>
  <si>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Jakafi</t>
  </si>
  <si>
    <t>ruxolitinib</t>
  </si>
  <si>
    <t>Myelofibrosis</t>
  </si>
  <si>
    <t>Novartis</t>
  </si>
  <si>
    <t>IP</t>
  </si>
  <si>
    <t>Iclusig</t>
  </si>
  <si>
    <t>ponatinib</t>
  </si>
  <si>
    <t>EU, ARIA WW</t>
  </si>
  <si>
    <t>JAK1/2</t>
  </si>
  <si>
    <t>INCB39110</t>
  </si>
  <si>
    <t>INCB52793</t>
  </si>
  <si>
    <t>INCB50465</t>
  </si>
  <si>
    <t>INCB54828</t>
  </si>
  <si>
    <t>INCB54329</t>
  </si>
  <si>
    <t>INCB53914</t>
  </si>
  <si>
    <t>INCB59872</t>
  </si>
  <si>
    <t>JAK1</t>
  </si>
  <si>
    <t>Cancer</t>
  </si>
  <si>
    <t>PI3Kdelta</t>
  </si>
  <si>
    <t>FGFR</t>
  </si>
  <si>
    <t>capmatinib</t>
  </si>
  <si>
    <t>PIM</t>
  </si>
  <si>
    <t>LSD1</t>
  </si>
  <si>
    <t>baricitinib</t>
  </si>
  <si>
    <t>LLY</t>
  </si>
  <si>
    <t>Phase</t>
  </si>
  <si>
    <t>Novartis ex-US</t>
  </si>
  <si>
    <t>Jakafi US</t>
  </si>
  <si>
    <t>EU Royalty</t>
  </si>
  <si>
    <t>Other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</si>
  <si>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</si>
  <si>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</si>
  <si>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</si>
  <si>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</si>
  <si>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</si>
  <si>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</si>
  <si>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</si>
  <si>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Myelofibrosis, PV</t>
  </si>
  <si>
    <t>CML</t>
  </si>
  <si>
    <t>Interest Income</t>
  </si>
  <si>
    <t>Pretax Income</t>
  </si>
  <si>
    <t>EU Revenue</t>
  </si>
  <si>
    <t>Taxes</t>
  </si>
  <si>
    <t>Net Income</t>
  </si>
  <si>
    <t>EPS</t>
  </si>
  <si>
    <t>Jakafi Growth</t>
  </si>
  <si>
    <t>Brand Name</t>
  </si>
  <si>
    <t>Generic Name</t>
  </si>
  <si>
    <t>7598257 (COM), 8415362, 8722693, 8822481, 8829013, 9079912 - expires 2026</t>
  </si>
  <si>
    <t>Discount</t>
  </si>
  <si>
    <t>2026 COM</t>
  </si>
  <si>
    <t>BCR-ABL</t>
  </si>
  <si>
    <t>GvHD</t>
  </si>
  <si>
    <t>epacadostat</t>
  </si>
  <si>
    <t>Royalty Growth</t>
  </si>
  <si>
    <t>Net Cash</t>
  </si>
  <si>
    <t>IDO1</t>
  </si>
  <si>
    <t>Melanoma</t>
  </si>
  <si>
    <t>III</t>
  </si>
  <si>
    <t>2018: ECHO-301 Phase III melanoma data.</t>
  </si>
  <si>
    <t>INCSHR1210</t>
  </si>
  <si>
    <t>Cmet</t>
  </si>
  <si>
    <t>INCAGN1876</t>
  </si>
  <si>
    <t>INCAGN1949</t>
  </si>
  <si>
    <t>AML, SCLC</t>
  </si>
  <si>
    <t>NSCLC c-Met+</t>
  </si>
  <si>
    <t>II</t>
  </si>
  <si>
    <t>I</t>
  </si>
  <si>
    <t>III?</t>
  </si>
  <si>
    <t>Hengrui</t>
  </si>
  <si>
    <t>Agenus</t>
  </si>
  <si>
    <t>Solid Tumors</t>
  </si>
  <si>
    <t>RA, Psoriasis, DN</t>
  </si>
  <si>
    <t>1/19/2016: Filed baricitinib NDA.</t>
  </si>
  <si>
    <t>1/19/2017 PDUFA</t>
  </si>
  <si>
    <t>JAK1/2 inhibitor</t>
  </si>
  <si>
    <t>Lilly</t>
  </si>
  <si>
    <t>Rheumatoid Arthritis</t>
  </si>
  <si>
    <t>Clinical Trials</t>
  </si>
  <si>
    <t>Phase III RA-BEACON - NEJM</t>
  </si>
  <si>
    <t>Structure</t>
  </si>
  <si>
    <t>same scaffold as Jakafi (nitrile, pyrimidine, pyrazole).</t>
  </si>
  <si>
    <t>Phase III RA-BEGIN</t>
  </si>
  <si>
    <t>Phase III COMFORT-1</t>
  </si>
  <si>
    <t>Phase III ReTHINK</t>
  </si>
  <si>
    <t>INC280</t>
  </si>
  <si>
    <t>Phase III RESPONSE</t>
  </si>
  <si>
    <t>JUMP</t>
  </si>
  <si>
    <t>Competition</t>
  </si>
  <si>
    <t>Lung Cancer, GvHD, MPNs</t>
  </si>
  <si>
    <t>B-Cell Cancers, MPNs</t>
  </si>
  <si>
    <t>Maturity</t>
  </si>
  <si>
    <t>Share</t>
  </si>
  <si>
    <t>NPV1</t>
  </si>
  <si>
    <t>NPV2</t>
  </si>
  <si>
    <t>tNPV</t>
  </si>
  <si>
    <t>ROIC</t>
  </si>
  <si>
    <t>momelotinib (Gilead, Cytopia, GS-0387, CYT387), pacritinib, NS-018 (NS Pharma), Imetelstat, fedratinib (Sanofi, halted, JAK2, encephalopathy tox)</t>
  </si>
  <si>
    <t>INCB024360</t>
  </si>
  <si>
    <t>Phase III "ECHO-301" in n=600 metastatic melanoma - pembrolizumab+-epacadostat</t>
  </si>
  <si>
    <t>IDO inhibitor, 7nM for IDO1 (Beatty, ASCO 12)</t>
  </si>
  <si>
    <t>Papers</t>
  </si>
  <si>
    <t>Hydroxyamidine inhibitors of indoleamine-2,3-dioxygenase potently suppress systemic tryptophan catabolism and the growth of IDO-expressing tumors. Koblish et al. 2010.</t>
  </si>
  <si>
    <t>JAK1 only?</t>
  </si>
  <si>
    <t>INCB039110</t>
  </si>
  <si>
    <t>Phase I/II DLBCL with ibrutinib NCT02760485</t>
  </si>
  <si>
    <t>Phase I GVHD NCT02614612</t>
  </si>
  <si>
    <t>DLBCL, GVHD</t>
  </si>
  <si>
    <t>Phase II NSCLC NCT02257619</t>
  </si>
  <si>
    <t>Pancreatic Cancer</t>
  </si>
  <si>
    <t>JAK1 selective</t>
  </si>
  <si>
    <t>Psoriasis - published in J Dermatolog Treat 2016</t>
  </si>
  <si>
    <t>(2-(3-(4-(7H-pyrrolo[2,3-day]pyrimidin-4-yl)-1H-pyrazol-1-yl)-1-(1-(3-fluoro-2-(trifluoromethyl)isonicotinoyl)piperidin-4-yl)azetidin-3-yl)acetonitrile)</t>
  </si>
  <si>
    <t>100%?</t>
  </si>
  <si>
    <t>INCB050465</t>
  </si>
  <si>
    <t>B-Cell Tumors</t>
  </si>
  <si>
    <t>PI3K-delta, 1nM vs. 20uM for alpha, beta and gamma.</t>
  </si>
  <si>
    <t>Phase I/II B-Cell Cancers</t>
  </si>
  <si>
    <t>60% ORR</t>
  </si>
  <si>
    <t>Phase II myelofibrosis+Jakafi NCT02718300</t>
  </si>
  <si>
    <t>BRD/BET</t>
  </si>
  <si>
    <t>Zydelig (idelalisib, 2.5nM vs. 90-820uM), buparlisib Phase III success in breast cancer!</t>
  </si>
  <si>
    <t>GITR antibody</t>
  </si>
  <si>
    <t>OX40 antibody</t>
  </si>
  <si>
    <t>PD1 antibody</t>
  </si>
  <si>
    <t>baricitinib royalty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</si>
</sst>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2" fillId="0" borderId="1" xfId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0</xdr:rowOff>
    </xdr:from>
    <xdr:to>
      <xdr:col>11</xdr:col>
      <xdr:colOff>47625</xdr:colOff>
      <xdr:row>39</xdr:row>
      <xdr:rowOff>47625</xdr:rowOff>
    </xdr:to>
    <xdr:cxnSp macro="">
      <xdr:nvCxnSpPr>
        <xdr:cNvPr id="3" name="Straight Connector 2"/>
        <xdr:cNvCxnSpPr/>
      </xdr:nvCxnSpPr>
      <xdr:spPr>
        <a:xfrm>
          <a:off x="7077075" y="0"/>
          <a:ext cx="0" cy="6200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39</xdr:row>
      <xdr:rowOff>47625</xdr:rowOff>
    </xdr:to>
    <xdr:cxnSp macro="">
      <xdr:nvCxnSpPr>
        <xdr:cNvPr id="4" name="Straight Connector 3"/>
        <xdr:cNvCxnSpPr/>
      </xdr:nvCxnSpPr>
      <xdr:spPr>
        <a:xfrm>
          <a:off x="13773150" y="0"/>
          <a:ext cx="0" cy="6200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6</xdr:row>
      <xdr:rowOff>66675</xdr:rowOff>
    </xdr:from>
    <xdr:to>
      <xdr:col>11</xdr:col>
      <xdr:colOff>238125</xdr:colOff>
      <xdr:row>29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038225"/>
          <a:ext cx="20193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571501</xdr:colOff>
      <xdr:row>14</xdr:row>
      <xdr:rowOff>152400</xdr:rowOff>
    </xdr:from>
    <xdr:to>
      <xdr:col>14</xdr:col>
      <xdr:colOff>8745</xdr:colOff>
      <xdr:row>29</xdr:row>
      <xdr:rowOff>104775</xdr:rowOff>
    </xdr:to>
    <xdr:pic>
      <xdr:nvPicPr>
        <xdr:cNvPr id="3" name="Picture 2" descr="Ruxolitinib skeletal.sv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6" y="2419350"/>
          <a:ext cx="1266044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10</xdr:row>
      <xdr:rowOff>95250</xdr:rowOff>
    </xdr:from>
    <xdr:to>
      <xdr:col>8</xdr:col>
      <xdr:colOff>534686</xdr:colOff>
      <xdr:row>29</xdr:row>
      <xdr:rowOff>66675</xdr:rowOff>
    </xdr:to>
    <xdr:pic>
      <xdr:nvPicPr>
        <xdr:cNvPr id="2" name="Picture 1" descr="Ruxolitinib skeletal.sv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714500"/>
          <a:ext cx="1620536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3</xdr:row>
      <xdr:rowOff>47625</xdr:rowOff>
    </xdr:from>
    <xdr:to>
      <xdr:col>13</xdr:col>
      <xdr:colOff>153612</xdr:colOff>
      <xdr:row>26</xdr:row>
      <xdr:rowOff>95250</xdr:rowOff>
    </xdr:to>
    <xdr:pic>
      <xdr:nvPicPr>
        <xdr:cNvPr id="2" name="Picture 1" descr="Baricitinib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33400"/>
          <a:ext cx="3192087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G14" sqref="G14"/>
    </sheetView>
  </sheetViews>
  <sheetFormatPr defaultRowHeight="12.75" x14ac:dyDescent="0.2"/>
  <cols>
    <col min="1" max="1" width="3.42578125" customWidth="1"/>
    <col min="2" max="2" width="13" customWidth="1"/>
    <col min="3" max="3" width="11.5703125" customWidth="1"/>
    <col min="4" max="4" width="24" bestFit="1" customWidth="1"/>
    <col min="5" max="5" width="16.140625" bestFit="1" customWidth="1"/>
    <col min="6" max="6" width="13.140625" bestFit="1" customWidth="1"/>
    <col min="7" max="7" width="15" customWidth="1"/>
    <col min="8" max="8" width="10.7109375" customWidth="1"/>
  </cols>
  <sheetData>
    <row r="2" spans="2:12" x14ac:dyDescent="0.2">
      <c r="B2" s="7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10" t="s">
        <v>29</v>
      </c>
      <c r="J2" t="s">
        <v>0</v>
      </c>
      <c r="K2" s="1">
        <v>82.68</v>
      </c>
    </row>
    <row r="3" spans="2:12" x14ac:dyDescent="0.2">
      <c r="B3" s="8" t="s">
        <v>25</v>
      </c>
      <c r="C3" s="11" t="s">
        <v>26</v>
      </c>
      <c r="D3" s="11" t="s">
        <v>62</v>
      </c>
      <c r="E3" s="12">
        <v>40893</v>
      </c>
      <c r="F3" s="13" t="s">
        <v>33</v>
      </c>
      <c r="G3" s="13" t="s">
        <v>51</v>
      </c>
      <c r="H3" s="14" t="s">
        <v>75</v>
      </c>
      <c r="J3" t="s">
        <v>1</v>
      </c>
      <c r="K3" s="2">
        <v>187.619384</v>
      </c>
      <c r="L3" s="3" t="s">
        <v>6</v>
      </c>
    </row>
    <row r="4" spans="2:12" x14ac:dyDescent="0.2">
      <c r="B4" s="5" t="s">
        <v>30</v>
      </c>
      <c r="C4" s="11" t="s">
        <v>31</v>
      </c>
      <c r="D4" s="11" t="s">
        <v>63</v>
      </c>
      <c r="E4" s="11"/>
      <c r="F4" s="11" t="s">
        <v>76</v>
      </c>
      <c r="G4" s="11" t="s">
        <v>32</v>
      </c>
      <c r="H4" s="14"/>
      <c r="J4" t="s">
        <v>2</v>
      </c>
      <c r="K4" s="2">
        <f>+K3*K2</f>
        <v>15512.37066912</v>
      </c>
      <c r="L4" s="3"/>
    </row>
    <row r="5" spans="2:12" x14ac:dyDescent="0.2">
      <c r="B5" s="7"/>
      <c r="C5" s="9"/>
      <c r="D5" s="9"/>
      <c r="E5" s="9" t="s">
        <v>50</v>
      </c>
      <c r="F5" s="9"/>
      <c r="G5" s="9"/>
      <c r="H5" s="10"/>
      <c r="J5" t="s">
        <v>3</v>
      </c>
      <c r="K5" s="2">
        <f>657.615+153.054+0.517+32.298+13.866</f>
        <v>857.35</v>
      </c>
      <c r="L5" s="3" t="s">
        <v>6</v>
      </c>
    </row>
    <row r="6" spans="2:12" x14ac:dyDescent="0.2">
      <c r="B6" s="5"/>
      <c r="C6" s="27" t="s">
        <v>48</v>
      </c>
      <c r="D6" s="11" t="s">
        <v>97</v>
      </c>
      <c r="E6" s="11" t="s">
        <v>99</v>
      </c>
      <c r="F6" s="11" t="s">
        <v>33</v>
      </c>
      <c r="G6" s="11" t="s">
        <v>49</v>
      </c>
      <c r="H6" s="14"/>
      <c r="J6" t="s">
        <v>4</v>
      </c>
      <c r="K6" s="2">
        <v>627.64200000000005</v>
      </c>
      <c r="L6" s="3" t="s">
        <v>6</v>
      </c>
    </row>
    <row r="7" spans="2:12" x14ac:dyDescent="0.2">
      <c r="B7" s="8" t="s">
        <v>25</v>
      </c>
      <c r="C7" s="11" t="s">
        <v>26</v>
      </c>
      <c r="D7" s="11" t="s">
        <v>77</v>
      </c>
      <c r="E7" s="11" t="s">
        <v>93</v>
      </c>
      <c r="F7" s="11"/>
      <c r="G7" s="11" t="s">
        <v>51</v>
      </c>
      <c r="H7" s="14"/>
      <c r="J7" t="s">
        <v>5</v>
      </c>
      <c r="K7" s="2">
        <f>+K4-K5+K6</f>
        <v>15282.66266912</v>
      </c>
    </row>
    <row r="8" spans="2:12" x14ac:dyDescent="0.2">
      <c r="B8" s="5" t="s">
        <v>123</v>
      </c>
      <c r="C8" s="27" t="s">
        <v>78</v>
      </c>
      <c r="D8" s="11" t="s">
        <v>82</v>
      </c>
      <c r="E8" s="11" t="s">
        <v>83</v>
      </c>
      <c r="F8" s="11" t="s">
        <v>81</v>
      </c>
      <c r="G8" s="24">
        <v>1</v>
      </c>
      <c r="H8" s="14"/>
      <c r="K8" s="2"/>
    </row>
    <row r="9" spans="2:12" x14ac:dyDescent="0.2">
      <c r="B9" s="8" t="s">
        <v>34</v>
      </c>
      <c r="C9" s="11"/>
      <c r="D9" s="11" t="s">
        <v>114</v>
      </c>
      <c r="E9" s="11" t="s">
        <v>92</v>
      </c>
      <c r="F9" s="11" t="s">
        <v>41</v>
      </c>
      <c r="G9" s="24">
        <v>1</v>
      </c>
      <c r="H9" s="14"/>
    </row>
    <row r="10" spans="2:12" x14ac:dyDescent="0.2">
      <c r="B10" s="5" t="s">
        <v>35</v>
      </c>
      <c r="C10" s="11"/>
      <c r="D10" s="11" t="s">
        <v>42</v>
      </c>
      <c r="E10" s="11" t="s">
        <v>92</v>
      </c>
      <c r="F10" s="11" t="s">
        <v>128</v>
      </c>
      <c r="G10" s="24">
        <v>1</v>
      </c>
      <c r="H10" s="14"/>
    </row>
    <row r="11" spans="2:12" x14ac:dyDescent="0.2">
      <c r="B11" s="8" t="s">
        <v>36</v>
      </c>
      <c r="C11" s="11"/>
      <c r="D11" s="11" t="s">
        <v>115</v>
      </c>
      <c r="E11" s="11" t="s">
        <v>92</v>
      </c>
      <c r="F11" s="11" t="s">
        <v>43</v>
      </c>
      <c r="G11" s="24">
        <v>1</v>
      </c>
      <c r="H11" s="14"/>
    </row>
    <row r="12" spans="2:12" x14ac:dyDescent="0.2">
      <c r="B12" s="8" t="s">
        <v>37</v>
      </c>
      <c r="C12" s="11"/>
      <c r="D12" s="11" t="s">
        <v>42</v>
      </c>
      <c r="E12" s="11" t="s">
        <v>92</v>
      </c>
      <c r="F12" s="11" t="s">
        <v>44</v>
      </c>
      <c r="G12" s="24">
        <v>1</v>
      </c>
      <c r="H12" s="14"/>
    </row>
    <row r="13" spans="2:12" x14ac:dyDescent="0.2">
      <c r="B13" s="5" t="s">
        <v>38</v>
      </c>
      <c r="C13" s="11"/>
      <c r="D13" s="11" t="s">
        <v>42</v>
      </c>
      <c r="E13" s="11" t="s">
        <v>92</v>
      </c>
      <c r="F13" s="11" t="s">
        <v>145</v>
      </c>
      <c r="G13" s="24">
        <v>1</v>
      </c>
      <c r="H13" s="14"/>
    </row>
    <row r="14" spans="2:12" x14ac:dyDescent="0.2">
      <c r="B14" s="5" t="s">
        <v>39</v>
      </c>
      <c r="C14" s="11"/>
      <c r="D14" s="11" t="s">
        <v>42</v>
      </c>
      <c r="E14" s="11" t="s">
        <v>92</v>
      </c>
      <c r="F14" s="11" t="s">
        <v>46</v>
      </c>
      <c r="G14" s="11"/>
      <c r="H14" s="14"/>
    </row>
    <row r="15" spans="2:12" x14ac:dyDescent="0.2">
      <c r="B15" s="5" t="s">
        <v>40</v>
      </c>
      <c r="C15" s="11"/>
      <c r="D15" s="11" t="s">
        <v>89</v>
      </c>
      <c r="E15" s="11" t="s">
        <v>92</v>
      </c>
      <c r="F15" s="11" t="s">
        <v>47</v>
      </c>
      <c r="G15" s="24">
        <v>1</v>
      </c>
      <c r="H15" s="14"/>
    </row>
    <row r="16" spans="2:12" x14ac:dyDescent="0.2">
      <c r="B16" s="5" t="s">
        <v>110</v>
      </c>
      <c r="C16" s="11" t="s">
        <v>45</v>
      </c>
      <c r="D16" s="11" t="s">
        <v>90</v>
      </c>
      <c r="E16" s="11" t="s">
        <v>91</v>
      </c>
      <c r="F16" s="11" t="s">
        <v>86</v>
      </c>
      <c r="G16" s="11" t="s">
        <v>28</v>
      </c>
      <c r="H16" s="14"/>
    </row>
    <row r="17" spans="2:8" x14ac:dyDescent="0.2">
      <c r="B17" s="5" t="s">
        <v>87</v>
      </c>
      <c r="C17" s="11"/>
      <c r="D17" s="11" t="s">
        <v>96</v>
      </c>
      <c r="E17" s="11" t="s">
        <v>92</v>
      </c>
      <c r="F17" s="11" t="s">
        <v>147</v>
      </c>
      <c r="G17" s="11" t="s">
        <v>95</v>
      </c>
      <c r="H17" s="14"/>
    </row>
    <row r="18" spans="2:8" x14ac:dyDescent="0.2">
      <c r="B18" s="5" t="s">
        <v>88</v>
      </c>
      <c r="C18" s="11"/>
      <c r="D18" s="11" t="s">
        <v>96</v>
      </c>
      <c r="E18" s="11" t="s">
        <v>92</v>
      </c>
      <c r="F18" s="11" t="s">
        <v>148</v>
      </c>
      <c r="G18" s="11" t="s">
        <v>95</v>
      </c>
      <c r="H18" s="14"/>
    </row>
    <row r="19" spans="2:8" x14ac:dyDescent="0.2">
      <c r="B19" s="6" t="s">
        <v>85</v>
      </c>
      <c r="C19" s="15"/>
      <c r="D19" s="15" t="s">
        <v>96</v>
      </c>
      <c r="E19" s="15" t="s">
        <v>92</v>
      </c>
      <c r="F19" s="15" t="s">
        <v>149</v>
      </c>
      <c r="G19" s="15" t="s">
        <v>94</v>
      </c>
      <c r="H19" s="16"/>
    </row>
    <row r="21" spans="2:8" x14ac:dyDescent="0.2">
      <c r="B21" s="25" t="s">
        <v>98</v>
      </c>
    </row>
    <row r="22" spans="2:8" x14ac:dyDescent="0.2">
      <c r="B22" t="s">
        <v>84</v>
      </c>
    </row>
  </sheetData>
  <hyperlinks>
    <hyperlink ref="B3" location="Jakafi!A1" display="Jakafi"/>
    <hyperlink ref="B7" location="Jakafi!A1" display="Jakafi"/>
    <hyperlink ref="C6" location="baricitinib!A1" display="baricitinib"/>
    <hyperlink ref="C8" location="epacadostat!A1" display="epacadostat"/>
    <hyperlink ref="B9" location="'39110'!A1" display="INCB39110"/>
    <hyperlink ref="B11" location="'50465'!A1" display="INCB50465"/>
    <hyperlink ref="B12" location="'54828'!A1" display="INCB54828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27"/>
  <sheetViews>
    <sheetView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K14" sqref="AK1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40" max="40" width="7.7109375" customWidth="1"/>
  </cols>
  <sheetData>
    <row r="1" spans="1:45" x14ac:dyDescent="0.2">
      <c r="A1" s="4" t="s">
        <v>13</v>
      </c>
    </row>
    <row r="2" spans="1:45" x14ac:dyDescent="0.2"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6</v>
      </c>
      <c r="L2" s="3" t="s">
        <v>22</v>
      </c>
      <c r="M2" s="3" t="s">
        <v>23</v>
      </c>
      <c r="N2" s="3" t="s">
        <v>24</v>
      </c>
      <c r="Q2">
        <v>2010</v>
      </c>
      <c r="R2">
        <f>+Q2+1</f>
        <v>2011</v>
      </c>
      <c r="S2">
        <f t="shared" ref="S2:AS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</row>
    <row r="3" spans="1:45" x14ac:dyDescent="0.2">
      <c r="B3" t="s">
        <v>66</v>
      </c>
    </row>
    <row r="5" spans="1:45" s="2" customFormat="1" x14ac:dyDescent="0.2">
      <c r="B5" s="2" t="s">
        <v>52</v>
      </c>
      <c r="C5" s="17"/>
      <c r="D5" s="17">
        <v>84.025000000000006</v>
      </c>
      <c r="E5" s="17">
        <v>97.837000000000003</v>
      </c>
      <c r="F5" s="17">
        <v>106.04900000000001</v>
      </c>
      <c r="G5" s="17">
        <v>115.33</v>
      </c>
      <c r="H5" s="17">
        <v>142.40600000000001</v>
      </c>
      <c r="I5" s="17">
        <v>161.25899999999999</v>
      </c>
      <c r="J5" s="17">
        <v>182.02099999999999</v>
      </c>
      <c r="K5" s="17">
        <v>183.267</v>
      </c>
      <c r="L5" s="17">
        <f>+H5*1.4</f>
        <v>199.36840000000001</v>
      </c>
      <c r="M5" s="17">
        <f>+I5*1.35</f>
        <v>217.69964999999999</v>
      </c>
      <c r="N5" s="17">
        <f>+J5*1.3</f>
        <v>236.62729999999999</v>
      </c>
      <c r="V5" s="2">
        <f>SUM(G5:J5)</f>
        <v>601.01599999999996</v>
      </c>
      <c r="W5" s="2">
        <f>SUM(K5:N5)</f>
        <v>836.96235000000001</v>
      </c>
      <c r="X5" s="2">
        <f>+W5*1.3</f>
        <v>1088.0510550000001</v>
      </c>
      <c r="Y5" s="2">
        <f>+X5*1.25</f>
        <v>1360.0638187500001</v>
      </c>
      <c r="Z5" s="2">
        <f>+Y5*1.15</f>
        <v>1564.0733915625001</v>
      </c>
      <c r="AA5" s="2">
        <f>+Z5*1.05</f>
        <v>1642.2770611406252</v>
      </c>
      <c r="AB5" s="2">
        <f>+AA5*1.03</f>
        <v>1691.545372974844</v>
      </c>
      <c r="AC5" s="2">
        <f>+AB5*1.03</f>
        <v>1742.2917341640893</v>
      </c>
      <c r="AD5" s="2">
        <f t="shared" ref="AD5:AG5" si="1">+AC5*1.05</f>
        <v>1829.4063208722939</v>
      </c>
      <c r="AE5" s="2">
        <f t="shared" si="1"/>
        <v>1920.8766369159086</v>
      </c>
      <c r="AF5" s="2">
        <f t="shared" si="1"/>
        <v>2016.9204687617041</v>
      </c>
      <c r="AG5" s="2">
        <f t="shared" si="1"/>
        <v>2117.7664921997894</v>
      </c>
      <c r="AH5" s="2">
        <f t="shared" ref="AH5:AK5" si="2">+AG5*1.05</f>
        <v>2223.6548168097788</v>
      </c>
      <c r="AI5" s="2">
        <f t="shared" si="2"/>
        <v>2334.8375576502681</v>
      </c>
      <c r="AJ5" s="2">
        <f t="shared" si="2"/>
        <v>2451.5794355327816</v>
      </c>
      <c r="AK5" s="2">
        <f t="shared" si="2"/>
        <v>2574.1584073094209</v>
      </c>
    </row>
    <row r="6" spans="1:45" s="2" customFormat="1" x14ac:dyDescent="0.2">
      <c r="B6" s="2" t="s">
        <v>53</v>
      </c>
      <c r="C6" s="17"/>
      <c r="D6" s="17">
        <v>12.34</v>
      </c>
      <c r="E6" s="17">
        <v>12.093</v>
      </c>
      <c r="F6" s="17">
        <v>14.707000000000001</v>
      </c>
      <c r="G6" s="17">
        <v>15.673</v>
      </c>
      <c r="H6" s="17">
        <v>17.364000000000001</v>
      </c>
      <c r="I6" s="17">
        <v>18.138000000000002</v>
      </c>
      <c r="J6" s="17">
        <v>23.646000000000001</v>
      </c>
      <c r="K6" s="17">
        <v>21.902999999999999</v>
      </c>
      <c r="L6" s="17">
        <v>21.902999999999999</v>
      </c>
      <c r="M6" s="17">
        <f t="shared" ref="M6" si="3">+I6*1.3</f>
        <v>23.579400000000003</v>
      </c>
      <c r="N6" s="17">
        <f t="shared" ref="N6" si="4">+J6*1.2</f>
        <v>28.3752</v>
      </c>
      <c r="V6" s="2">
        <f t="shared" ref="V6:V13" si="5">SUM(G6:J6)</f>
        <v>74.820999999999998</v>
      </c>
      <c r="W6" s="2">
        <f t="shared" ref="W6:W13" si="6">SUM(K6:N6)</f>
        <v>95.760600000000011</v>
      </c>
      <c r="X6" s="2">
        <f t="shared" ref="X6:AA6" si="7">+W6*1.1</f>
        <v>105.33666000000002</v>
      </c>
      <c r="Y6" s="2">
        <f t="shared" si="7"/>
        <v>115.87032600000003</v>
      </c>
      <c r="Z6" s="2">
        <f t="shared" si="7"/>
        <v>127.45735860000005</v>
      </c>
      <c r="AA6" s="2">
        <f t="shared" si="7"/>
        <v>140.20309446000007</v>
      </c>
      <c r="AB6" s="2">
        <f t="shared" ref="AB6:AG6" si="8">+AA6*1.05</f>
        <v>147.21324918300007</v>
      </c>
      <c r="AC6" s="2">
        <f t="shared" si="8"/>
        <v>154.57391164215008</v>
      </c>
      <c r="AD6" s="2">
        <f t="shared" si="8"/>
        <v>162.3026072242576</v>
      </c>
      <c r="AE6" s="2">
        <f t="shared" si="8"/>
        <v>170.41773758547049</v>
      </c>
      <c r="AF6" s="2">
        <f t="shared" si="8"/>
        <v>178.93862446474401</v>
      </c>
      <c r="AG6" s="2">
        <f t="shared" si="8"/>
        <v>187.88555568798122</v>
      </c>
      <c r="AH6" s="2">
        <f t="shared" ref="AH6:AK6" si="9">+AG6*1.05</f>
        <v>197.27983347238029</v>
      </c>
      <c r="AI6" s="2">
        <f t="shared" si="9"/>
        <v>207.1438251459993</v>
      </c>
      <c r="AJ6" s="2">
        <f t="shared" si="9"/>
        <v>217.50101640329927</v>
      </c>
      <c r="AK6" s="2">
        <f t="shared" si="9"/>
        <v>228.37606722346425</v>
      </c>
    </row>
    <row r="7" spans="1:45" s="2" customFormat="1" x14ac:dyDescent="0.2">
      <c r="B7" s="2" t="s">
        <v>150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X7" s="2">
        <f>100*0.2</f>
        <v>20</v>
      </c>
      <c r="Y7" s="2">
        <f>+X7*1.5</f>
        <v>30</v>
      </c>
      <c r="Z7" s="2">
        <f t="shared" ref="Z7" si="10">+Y7*1.5</f>
        <v>45</v>
      </c>
      <c r="AA7" s="2">
        <f>+Z7*1.3</f>
        <v>58.5</v>
      </c>
      <c r="AB7" s="2">
        <f t="shared" ref="AB7:AC7" si="11">+AA7*1.3</f>
        <v>76.05</v>
      </c>
      <c r="AC7" s="2">
        <f t="shared" si="11"/>
        <v>98.864999999999995</v>
      </c>
      <c r="AD7" s="2">
        <f>+AC7*1.1</f>
        <v>108.75150000000001</v>
      </c>
      <c r="AE7" s="2">
        <f t="shared" ref="AE7:AI7" si="12">+AD7*1.1</f>
        <v>119.62665000000001</v>
      </c>
      <c r="AF7" s="2">
        <f t="shared" si="12"/>
        <v>131.58931500000003</v>
      </c>
      <c r="AG7" s="2">
        <f t="shared" si="12"/>
        <v>144.74824650000005</v>
      </c>
      <c r="AH7" s="2">
        <f t="shared" si="12"/>
        <v>159.22307115000007</v>
      </c>
      <c r="AI7" s="2">
        <f t="shared" si="12"/>
        <v>175.14537826500009</v>
      </c>
    </row>
    <row r="8" spans="1:45" s="2" customFormat="1" x14ac:dyDescent="0.2">
      <c r="B8" s="2" t="s">
        <v>54</v>
      </c>
      <c r="C8" s="17"/>
      <c r="D8" s="17">
        <f>3.214+0.003</f>
        <v>3.2170000000000001</v>
      </c>
      <c r="E8" s="17">
        <f>88.214+0.003</f>
        <v>88.216999999999999</v>
      </c>
      <c r="F8" s="17">
        <v>3.2170000000000001</v>
      </c>
      <c r="G8" s="17">
        <f>28.214+0.058</f>
        <v>28.271999999999998</v>
      </c>
      <c r="H8" s="17">
        <v>3.214</v>
      </c>
      <c r="I8" s="17">
        <v>8.2140000000000004</v>
      </c>
      <c r="J8" s="17">
        <v>38.213999999999999</v>
      </c>
      <c r="K8" s="17">
        <f>58.214+0.08</f>
        <v>58.293999999999997</v>
      </c>
      <c r="L8" s="17"/>
      <c r="M8" s="17"/>
      <c r="N8" s="17"/>
      <c r="V8" s="2">
        <f t="shared" si="5"/>
        <v>77.913999999999987</v>
      </c>
      <c r="W8" s="2">
        <f t="shared" si="6"/>
        <v>58.293999999999997</v>
      </c>
    </row>
    <row r="9" spans="1:45" s="18" customFormat="1" x14ac:dyDescent="0.2">
      <c r="B9" s="18" t="s">
        <v>55</v>
      </c>
      <c r="C9" s="19"/>
      <c r="D9" s="19">
        <f t="shared" ref="D9" si="13">+D8+D6+D5</f>
        <v>99.582000000000008</v>
      </c>
      <c r="E9" s="19">
        <f>+E8+E6+E5</f>
        <v>198.14699999999999</v>
      </c>
      <c r="F9" s="19">
        <f>+F8+F6+F5</f>
        <v>123.97300000000001</v>
      </c>
      <c r="G9" s="19">
        <f>+G8+G6+G5</f>
        <v>159.27500000000001</v>
      </c>
      <c r="H9" s="19">
        <f t="shared" ref="H9" si="14">+H8+H6+H5</f>
        <v>162.98400000000001</v>
      </c>
      <c r="I9" s="19">
        <f t="shared" ref="I9" si="15">+I8+I6+I5</f>
        <v>187.61099999999999</v>
      </c>
      <c r="J9" s="19">
        <f>+J8+J6+J5</f>
        <v>243.88099999999997</v>
      </c>
      <c r="K9" s="19">
        <f>+K8+K6+K5</f>
        <v>263.464</v>
      </c>
      <c r="L9" s="19">
        <f t="shared" ref="L9" si="16">+L8+L6+L5</f>
        <v>221.2714</v>
      </c>
      <c r="M9" s="19">
        <f t="shared" ref="M9" si="17">+M8+M6+M5</f>
        <v>241.27904999999998</v>
      </c>
      <c r="N9" s="19">
        <f t="shared" ref="N9" si="18">+N8+N6+N5</f>
        <v>265.0025</v>
      </c>
      <c r="V9" s="18">
        <f>SUM(V5:V8)</f>
        <v>753.75099999999998</v>
      </c>
      <c r="W9" s="18">
        <f>SUM(W5:W8)</f>
        <v>991.01695000000007</v>
      </c>
      <c r="X9" s="18">
        <f t="shared" ref="X9:AG9" si="19">SUM(X5:X8)</f>
        <v>1213.3877150000001</v>
      </c>
      <c r="Y9" s="18">
        <f t="shared" si="19"/>
        <v>1505.9341447500001</v>
      </c>
      <c r="Z9" s="18">
        <f t="shared" si="19"/>
        <v>1736.5307501625002</v>
      </c>
      <c r="AA9" s="18">
        <f t="shared" si="19"/>
        <v>1840.9801556006253</v>
      </c>
      <c r="AB9" s="18">
        <f t="shared" si="19"/>
        <v>1914.808622157844</v>
      </c>
      <c r="AC9" s="18">
        <f t="shared" si="19"/>
        <v>1995.7306458062394</v>
      </c>
      <c r="AD9" s="18">
        <f t="shared" si="19"/>
        <v>2100.4604280965514</v>
      </c>
      <c r="AE9" s="18">
        <f t="shared" si="19"/>
        <v>2210.9210245013792</v>
      </c>
      <c r="AF9" s="18">
        <f>SUM(AF5:AF8)</f>
        <v>2327.4484082264485</v>
      </c>
      <c r="AG9" s="18">
        <f t="shared" si="19"/>
        <v>2450.4002943877704</v>
      </c>
      <c r="AH9" s="18">
        <f t="shared" ref="AH9" si="20">SUM(AH5:AH8)</f>
        <v>2580.1577214321592</v>
      </c>
      <c r="AI9" s="18">
        <f t="shared" ref="AI9" si="21">SUM(AI5:AI8)</f>
        <v>2717.1267610612676</v>
      </c>
      <c r="AJ9" s="18">
        <f t="shared" ref="AJ9" si="22">SUM(AJ5:AJ8)</f>
        <v>2669.0804519360809</v>
      </c>
      <c r="AK9" s="18">
        <f t="shared" ref="AK9" si="23">SUM(AK5:AK8)</f>
        <v>2802.5344745328853</v>
      </c>
    </row>
    <row r="10" spans="1:45" s="2" customFormat="1" x14ac:dyDescent="0.2">
      <c r="B10" s="2" t="s">
        <v>56</v>
      </c>
      <c r="C10" s="17"/>
      <c r="D10" s="17">
        <v>0.187</v>
      </c>
      <c r="E10" s="17">
        <v>0.221</v>
      </c>
      <c r="F10" s="17">
        <v>2.4279999999999999</v>
      </c>
      <c r="G10" s="17">
        <v>2.9740000000000002</v>
      </c>
      <c r="H10" s="17">
        <v>6.2539999999999996</v>
      </c>
      <c r="I10" s="17">
        <v>8.0399999999999991</v>
      </c>
      <c r="J10" s="17">
        <v>9.7040000000000006</v>
      </c>
      <c r="K10" s="17">
        <v>6.0049999999999999</v>
      </c>
      <c r="L10" s="17">
        <v>6.0049999999999999</v>
      </c>
      <c r="M10" s="17">
        <f>+M9*0.03</f>
        <v>7.2383714999999995</v>
      </c>
      <c r="N10" s="17">
        <f t="shared" ref="N10" si="24">+N9*0.03</f>
        <v>7.950075</v>
      </c>
      <c r="V10" s="2">
        <f t="shared" si="5"/>
        <v>26.972000000000001</v>
      </c>
      <c r="W10" s="2">
        <f t="shared" si="6"/>
        <v>27.198446499999996</v>
      </c>
      <c r="X10" s="2">
        <f>+X9*0.03</f>
        <v>36.401631450000004</v>
      </c>
      <c r="Y10" s="2">
        <f t="shared" ref="Y10:AG10" si="25">+Y9*0.03</f>
        <v>45.178024342500002</v>
      </c>
      <c r="Z10" s="2">
        <f t="shared" si="25"/>
        <v>52.095922504875006</v>
      </c>
      <c r="AA10" s="2">
        <f t="shared" si="25"/>
        <v>55.229404668018759</v>
      </c>
      <c r="AB10" s="2">
        <f t="shared" si="25"/>
        <v>57.444258664735315</v>
      </c>
      <c r="AC10" s="2">
        <f t="shared" si="25"/>
        <v>59.871919374187179</v>
      </c>
      <c r="AD10" s="2">
        <f t="shared" si="25"/>
        <v>63.013812842896542</v>
      </c>
      <c r="AE10" s="2">
        <f t="shared" si="25"/>
        <v>66.327630735041367</v>
      </c>
      <c r="AF10" s="2">
        <f t="shared" si="25"/>
        <v>69.823452246793451</v>
      </c>
      <c r="AG10" s="2">
        <f t="shared" si="25"/>
        <v>73.512008831633111</v>
      </c>
      <c r="AH10" s="2">
        <f t="shared" ref="AH10" si="26">+AH9*0.03</f>
        <v>77.404731642964776</v>
      </c>
      <c r="AI10" s="2">
        <f t="shared" ref="AI10" si="27">+AI9*0.03</f>
        <v>81.513802831838021</v>
      </c>
      <c r="AJ10" s="2">
        <f t="shared" ref="AJ10" si="28">+AJ9*0.03</f>
        <v>80.072413558082417</v>
      </c>
      <c r="AK10" s="2">
        <f t="shared" ref="AK10" si="29">+AK9*0.03</f>
        <v>84.076034235986555</v>
      </c>
    </row>
    <row r="11" spans="1:45" s="2" customFormat="1" x14ac:dyDescent="0.2">
      <c r="B11" s="2" t="s">
        <v>57</v>
      </c>
      <c r="C11" s="17"/>
      <c r="D11" s="17">
        <f t="shared" ref="D11" si="30">+D9-D10</f>
        <v>99.39500000000001</v>
      </c>
      <c r="E11" s="17">
        <f>+E9-E10</f>
        <v>197.92599999999999</v>
      </c>
      <c r="F11" s="17">
        <f>+F9-F10</f>
        <v>121.54500000000002</v>
      </c>
      <c r="G11" s="17">
        <f>+G9-G10</f>
        <v>156.30100000000002</v>
      </c>
      <c r="H11" s="17">
        <f t="shared" ref="H11" si="31">+H9-H10</f>
        <v>156.73000000000002</v>
      </c>
      <c r="I11" s="17">
        <f t="shared" ref="I11" si="32">+I9-I10</f>
        <v>179.571</v>
      </c>
      <c r="J11" s="17">
        <f>+J9-J10</f>
        <v>234.17699999999996</v>
      </c>
      <c r="K11" s="17">
        <f>+K9-K10</f>
        <v>257.459</v>
      </c>
      <c r="L11" s="17">
        <f t="shared" ref="L11" si="33">+L9-L10</f>
        <v>215.2664</v>
      </c>
      <c r="M11" s="17">
        <f t="shared" ref="M11" si="34">+M9-M10</f>
        <v>234.04067849999998</v>
      </c>
      <c r="N11" s="17">
        <f t="shared" ref="N11" si="35">+N9-N10</f>
        <v>257.05242499999997</v>
      </c>
      <c r="V11" s="2">
        <f>V9-V10</f>
        <v>726.779</v>
      </c>
      <c r="W11" s="2">
        <f>W9-W10</f>
        <v>963.81850350000002</v>
      </c>
      <c r="X11" s="2">
        <f t="shared" ref="X11:AG11" si="36">X9-X10</f>
        <v>1176.9860835500001</v>
      </c>
      <c r="Y11" s="2">
        <f t="shared" si="36"/>
        <v>1460.7561204075</v>
      </c>
      <c r="Z11" s="2">
        <f t="shared" si="36"/>
        <v>1684.4348276576252</v>
      </c>
      <c r="AA11" s="2">
        <f t="shared" si="36"/>
        <v>1785.7507509326065</v>
      </c>
      <c r="AB11" s="2">
        <f t="shared" si="36"/>
        <v>1857.3643634931086</v>
      </c>
      <c r="AC11" s="2">
        <f t="shared" si="36"/>
        <v>1935.8587264320522</v>
      </c>
      <c r="AD11" s="2">
        <f t="shared" si="36"/>
        <v>2037.4466152536547</v>
      </c>
      <c r="AE11" s="2">
        <f t="shared" si="36"/>
        <v>2144.5933937663376</v>
      </c>
      <c r="AF11" s="2">
        <f t="shared" si="36"/>
        <v>2257.6249559796552</v>
      </c>
      <c r="AG11" s="2">
        <f t="shared" si="36"/>
        <v>2376.8882855561374</v>
      </c>
      <c r="AH11" s="2">
        <f t="shared" ref="AH11" si="37">AH9-AH10</f>
        <v>2502.7529897891945</v>
      </c>
      <c r="AI11" s="2">
        <f t="shared" ref="AI11" si="38">AI9-AI10</f>
        <v>2635.6129582294298</v>
      </c>
      <c r="AJ11" s="2">
        <f t="shared" ref="AJ11" si="39">AJ9-AJ10</f>
        <v>2589.0080383779987</v>
      </c>
      <c r="AK11" s="2">
        <f t="shared" ref="AK11" si="40">AK9-AK10</f>
        <v>2718.4584402968985</v>
      </c>
    </row>
    <row r="12" spans="1:45" s="2" customFormat="1" x14ac:dyDescent="0.2">
      <c r="B12" s="2" t="s">
        <v>58</v>
      </c>
      <c r="C12" s="17"/>
      <c r="D12" s="17">
        <v>84.683000000000007</v>
      </c>
      <c r="E12" s="17">
        <v>88.537000000000006</v>
      </c>
      <c r="F12" s="17">
        <v>98.716999999999999</v>
      </c>
      <c r="G12" s="17">
        <v>118.36499999999999</v>
      </c>
      <c r="H12" s="17">
        <v>112.44499999999999</v>
      </c>
      <c r="I12" s="17">
        <v>132.07300000000001</v>
      </c>
      <c r="J12" s="17">
        <v>116.63</v>
      </c>
      <c r="K12" s="17">
        <v>156.82400000000001</v>
      </c>
      <c r="L12" s="17"/>
      <c r="M12" s="17"/>
      <c r="N12" s="17"/>
      <c r="V12" s="2">
        <f t="shared" si="5"/>
        <v>479.51300000000003</v>
      </c>
      <c r="W12" s="2">
        <f t="shared" si="6"/>
        <v>156.82400000000001</v>
      </c>
    </row>
    <row r="13" spans="1:45" s="2" customFormat="1" x14ac:dyDescent="0.2">
      <c r="B13" s="2" t="s">
        <v>59</v>
      </c>
      <c r="C13" s="17"/>
      <c r="D13" s="17">
        <v>40.899000000000001</v>
      </c>
      <c r="E13" s="17">
        <v>39.445999999999998</v>
      </c>
      <c r="F13" s="17">
        <v>48.451999999999998</v>
      </c>
      <c r="G13" s="17">
        <v>44.871000000000002</v>
      </c>
      <c r="H13" s="17">
        <v>51.679000000000002</v>
      </c>
      <c r="I13" s="17">
        <v>47.598999999999997</v>
      </c>
      <c r="J13" s="17">
        <v>52.466999999999999</v>
      </c>
      <c r="K13" s="17">
        <v>64.596000000000004</v>
      </c>
      <c r="L13" s="17">
        <v>64.596000000000004</v>
      </c>
      <c r="M13" s="17">
        <f>+L13</f>
        <v>64.596000000000004</v>
      </c>
      <c r="N13" s="17">
        <f t="shared" ref="N13" si="41">+M13</f>
        <v>64.596000000000004</v>
      </c>
      <c r="V13" s="2">
        <f t="shared" si="5"/>
        <v>196.61599999999999</v>
      </c>
      <c r="W13" s="2">
        <f t="shared" si="6"/>
        <v>258.38400000000001</v>
      </c>
      <c r="X13" s="2">
        <f>+W13</f>
        <v>258.38400000000001</v>
      </c>
      <c r="Y13" s="2">
        <f t="shared" ref="Y13:AK13" si="42">+X13</f>
        <v>258.38400000000001</v>
      </c>
      <c r="Z13" s="2">
        <f t="shared" si="42"/>
        <v>258.38400000000001</v>
      </c>
      <c r="AA13" s="2">
        <f t="shared" si="42"/>
        <v>258.38400000000001</v>
      </c>
      <c r="AB13" s="2">
        <f t="shared" si="42"/>
        <v>258.38400000000001</v>
      </c>
      <c r="AC13" s="2">
        <f t="shared" si="42"/>
        <v>258.38400000000001</v>
      </c>
      <c r="AD13" s="2">
        <f t="shared" si="42"/>
        <v>258.38400000000001</v>
      </c>
      <c r="AE13" s="2">
        <f t="shared" si="42"/>
        <v>258.38400000000001</v>
      </c>
      <c r="AF13" s="2">
        <f t="shared" si="42"/>
        <v>258.38400000000001</v>
      </c>
      <c r="AG13" s="2">
        <f t="shared" si="42"/>
        <v>258.38400000000001</v>
      </c>
      <c r="AH13" s="2">
        <f t="shared" si="42"/>
        <v>258.38400000000001</v>
      </c>
      <c r="AI13" s="2">
        <f t="shared" si="42"/>
        <v>258.38400000000001</v>
      </c>
      <c r="AJ13" s="2">
        <f t="shared" si="42"/>
        <v>258.38400000000001</v>
      </c>
      <c r="AK13" s="2">
        <f t="shared" si="42"/>
        <v>258.38400000000001</v>
      </c>
    </row>
    <row r="14" spans="1:45" s="2" customFormat="1" x14ac:dyDescent="0.2">
      <c r="B14" s="2" t="s">
        <v>60</v>
      </c>
      <c r="C14" s="17"/>
      <c r="D14" s="17">
        <f t="shared" ref="D14" si="43">+D13+D12</f>
        <v>125.58200000000001</v>
      </c>
      <c r="E14" s="17">
        <f>+E13+E12</f>
        <v>127.983</v>
      </c>
      <c r="F14" s="17">
        <f>+F13+F12</f>
        <v>147.16899999999998</v>
      </c>
      <c r="G14" s="17">
        <f>+G13+G12</f>
        <v>163.23599999999999</v>
      </c>
      <c r="H14" s="17">
        <f t="shared" ref="H14" si="44">+H13+H12</f>
        <v>164.124</v>
      </c>
      <c r="I14" s="17">
        <f t="shared" ref="I14" si="45">+I13+I12</f>
        <v>179.672</v>
      </c>
      <c r="J14" s="17">
        <f>+J13+J12</f>
        <v>169.09699999999998</v>
      </c>
      <c r="K14" s="17">
        <f>+K13+K12</f>
        <v>221.42000000000002</v>
      </c>
      <c r="L14" s="17">
        <f t="shared" ref="L14" si="46">+L13+L12</f>
        <v>64.596000000000004</v>
      </c>
      <c r="M14" s="17">
        <f t="shared" ref="M14" si="47">+M13+M12</f>
        <v>64.596000000000004</v>
      </c>
      <c r="N14" s="17">
        <f t="shared" ref="N14" si="48">+N13+N12</f>
        <v>64.596000000000004</v>
      </c>
      <c r="V14" s="17">
        <f t="shared" ref="V14" si="49">+V13+V12</f>
        <v>676.12900000000002</v>
      </c>
      <c r="W14" s="17">
        <f t="shared" ref="W14" si="50">+W13+W12</f>
        <v>415.20800000000003</v>
      </c>
      <c r="X14" s="17">
        <f t="shared" ref="X14" si="51">+X13+X12</f>
        <v>258.38400000000001</v>
      </c>
      <c r="Y14" s="17">
        <f t="shared" ref="Y14" si="52">+Y13+Y12</f>
        <v>258.38400000000001</v>
      </c>
      <c r="Z14" s="17">
        <f t="shared" ref="Z14" si="53">+Z13+Z12</f>
        <v>258.38400000000001</v>
      </c>
      <c r="AA14" s="17">
        <f t="shared" ref="AA14" si="54">+AA13+AA12</f>
        <v>258.38400000000001</v>
      </c>
      <c r="AB14" s="17">
        <f t="shared" ref="AB14" si="55">+AB13+AB12</f>
        <v>258.38400000000001</v>
      </c>
      <c r="AC14" s="17">
        <f t="shared" ref="AC14" si="56">+AC13+AC12</f>
        <v>258.38400000000001</v>
      </c>
      <c r="AD14" s="17">
        <f t="shared" ref="AD14" si="57">+AD13+AD12</f>
        <v>258.38400000000001</v>
      </c>
      <c r="AE14" s="17">
        <f t="shared" ref="AE14" si="58">+AE13+AE12</f>
        <v>258.38400000000001</v>
      </c>
      <c r="AF14" s="17">
        <f t="shared" ref="AF14" si="59">+AF13+AF12</f>
        <v>258.38400000000001</v>
      </c>
      <c r="AG14" s="17">
        <f t="shared" ref="AG14" si="60">+AG13+AG12</f>
        <v>258.38400000000001</v>
      </c>
      <c r="AH14" s="17">
        <f t="shared" ref="AH14" si="61">+AH13+AH12</f>
        <v>258.38400000000001</v>
      </c>
      <c r="AI14" s="17">
        <f t="shared" ref="AI14" si="62">+AI13+AI12</f>
        <v>258.38400000000001</v>
      </c>
      <c r="AJ14" s="17">
        <f t="shared" ref="AJ14" si="63">+AJ13+AJ12</f>
        <v>258.38400000000001</v>
      </c>
      <c r="AK14" s="17">
        <f t="shared" ref="AK14" si="64">+AK13+AK12</f>
        <v>258.38400000000001</v>
      </c>
    </row>
    <row r="15" spans="1:45" s="2" customFormat="1" x14ac:dyDescent="0.2">
      <c r="B15" s="2" t="s">
        <v>61</v>
      </c>
      <c r="C15" s="17"/>
      <c r="D15" s="17">
        <f t="shared" ref="D15" si="65">+D11-D14</f>
        <v>-26.186999999999998</v>
      </c>
      <c r="E15" s="17">
        <f>+E11-E14</f>
        <v>69.942999999999984</v>
      </c>
      <c r="F15" s="17">
        <f>+F11-F14</f>
        <v>-25.623999999999967</v>
      </c>
      <c r="G15" s="17">
        <f>+G11-G14</f>
        <v>-6.9349999999999739</v>
      </c>
      <c r="H15" s="17">
        <f t="shared" ref="H15" si="66">+H11-H14</f>
        <v>-7.393999999999977</v>
      </c>
      <c r="I15" s="17">
        <f t="shared" ref="I15" si="67">+I11-I14</f>
        <v>-0.10099999999999909</v>
      </c>
      <c r="J15" s="17">
        <f>+J11-J14</f>
        <v>65.079999999999984</v>
      </c>
      <c r="K15" s="17">
        <f>+K11-K14</f>
        <v>36.038999999999987</v>
      </c>
      <c r="L15" s="17">
        <f t="shared" ref="L15" si="68">+L11-L14</f>
        <v>150.6704</v>
      </c>
      <c r="M15" s="17">
        <f t="shared" ref="M15" si="69">+M11-M14</f>
        <v>169.44467849999998</v>
      </c>
      <c r="N15" s="17">
        <f t="shared" ref="N15" si="70">+N11-N14</f>
        <v>192.45642499999997</v>
      </c>
      <c r="V15" s="17">
        <f t="shared" ref="V15" si="71">+V11-V14</f>
        <v>50.649999999999977</v>
      </c>
      <c r="W15" s="17">
        <f t="shared" ref="W15" si="72">+W11-W14</f>
        <v>548.61050350000005</v>
      </c>
      <c r="X15" s="17">
        <f t="shared" ref="X15" si="73">+X11-X14</f>
        <v>918.60208355000009</v>
      </c>
      <c r="Y15" s="17">
        <f t="shared" ref="Y15" si="74">+Y11-Y14</f>
        <v>1202.3721204075</v>
      </c>
      <c r="Z15" s="17">
        <f t="shared" ref="Z15" si="75">+Z11-Z14</f>
        <v>1426.0508276576252</v>
      </c>
      <c r="AA15" s="17">
        <f t="shared" ref="AA15" si="76">+AA11-AA14</f>
        <v>1527.3667509326065</v>
      </c>
      <c r="AB15" s="17">
        <f t="shared" ref="AB15" si="77">+AB11-AB14</f>
        <v>1598.9803634931086</v>
      </c>
      <c r="AC15" s="17">
        <f t="shared" ref="AC15" si="78">+AC11-AC14</f>
        <v>1677.4747264320522</v>
      </c>
      <c r="AD15" s="17">
        <f t="shared" ref="AD15" si="79">+AD11-AD14</f>
        <v>1779.0626152536547</v>
      </c>
      <c r="AE15" s="17">
        <f t="shared" ref="AE15" si="80">+AE11-AE14</f>
        <v>1886.2093937663376</v>
      </c>
      <c r="AF15" s="17">
        <f t="shared" ref="AF15" si="81">+AF11-AF14</f>
        <v>1999.2409559796552</v>
      </c>
      <c r="AG15" s="17">
        <f t="shared" ref="AG15" si="82">+AG11-AG14</f>
        <v>2118.5042855561373</v>
      </c>
      <c r="AH15" s="17">
        <f t="shared" ref="AH15" si="83">+AH11-AH14</f>
        <v>2244.3689897891945</v>
      </c>
      <c r="AI15" s="17">
        <f t="shared" ref="AI15" si="84">+AI11-AI14</f>
        <v>2377.2289582294297</v>
      </c>
      <c r="AJ15" s="17">
        <f t="shared" ref="AJ15" si="85">+AJ11-AJ14</f>
        <v>2330.6240383779987</v>
      </c>
      <c r="AK15" s="17">
        <f t="shared" ref="AK15" si="86">+AK11-AK14</f>
        <v>2460.0744402968985</v>
      </c>
    </row>
    <row r="16" spans="1:45" s="2" customFormat="1" x14ac:dyDescent="0.2">
      <c r="B16" s="20" t="s">
        <v>64</v>
      </c>
      <c r="C16" s="17"/>
      <c r="D16" s="17">
        <f>0.79-11.406</f>
        <v>-10.616</v>
      </c>
      <c r="E16" s="17">
        <f>0.885-11.463</f>
        <v>-10.577999999999999</v>
      </c>
      <c r="F16" s="17">
        <f>0.94-12.516</f>
        <v>-11.576000000000001</v>
      </c>
      <c r="G16" s="17">
        <f>1.63-12.687</f>
        <v>-11.056999999999999</v>
      </c>
      <c r="H16" s="17">
        <f>1.144+27.174-11.494</f>
        <v>16.823999999999998</v>
      </c>
      <c r="I16" s="17">
        <f>3.026-11.209</f>
        <v>-8.1829999999999998</v>
      </c>
      <c r="J16" s="17">
        <f>1.289-10.213-0.466</f>
        <v>-9.3899999999999988</v>
      </c>
      <c r="K16" s="17">
        <f>1.492-10.134-2.95</f>
        <v>-11.591999999999999</v>
      </c>
      <c r="L16" s="17">
        <f t="shared" ref="L16" si="87">1.492-10.134-2.95</f>
        <v>-11.591999999999999</v>
      </c>
      <c r="M16" s="17"/>
      <c r="N16" s="17"/>
      <c r="V16" s="2">
        <f t="shared" ref="V16" si="88">SUM(G16:J16)</f>
        <v>-11.805999999999999</v>
      </c>
      <c r="W16" s="2">
        <f>SUM(K16:N16)</f>
        <v>-23.183999999999997</v>
      </c>
      <c r="X16" s="2">
        <f>+X26*$AN$21</f>
        <v>4.2483060280000009</v>
      </c>
      <c r="Y16" s="2">
        <f t="shared" ref="Y16:AK16" si="89">+Y26*$AN$21</f>
        <v>11.631109144624002</v>
      </c>
      <c r="Z16" s="2">
        <f t="shared" si="89"/>
        <v>21.343134981040993</v>
      </c>
      <c r="AA16" s="2">
        <f t="shared" si="89"/>
        <v>32.922286682150329</v>
      </c>
      <c r="AB16" s="2">
        <f t="shared" si="89"/>
        <v>45.404598983068382</v>
      </c>
      <c r="AC16" s="2">
        <f t="shared" si="89"/>
        <v>58.559678682877802</v>
      </c>
      <c r="AD16" s="2">
        <f t="shared" si="89"/>
        <v>72.447953923797243</v>
      </c>
      <c r="AE16" s="2">
        <f t="shared" si="89"/>
        <v>87.260038477216867</v>
      </c>
      <c r="AF16" s="2">
        <f t="shared" si="89"/>
        <v>103.0477939351653</v>
      </c>
      <c r="AG16" s="2">
        <f t="shared" si="89"/>
        <v>119.86610393448387</v>
      </c>
      <c r="AH16" s="2">
        <f t="shared" si="89"/>
        <v>137.77306705040886</v>
      </c>
      <c r="AI16" s="2">
        <f t="shared" si="89"/>
        <v>156.83020350512567</v>
      </c>
      <c r="AJ16" s="2">
        <f t="shared" si="89"/>
        <v>177.10267679900213</v>
      </c>
      <c r="AK16" s="2">
        <f t="shared" si="89"/>
        <v>197.16449052041813</v>
      </c>
    </row>
    <row r="17" spans="2:120" s="2" customFormat="1" x14ac:dyDescent="0.2">
      <c r="B17" s="20" t="s">
        <v>65</v>
      </c>
      <c r="C17" s="17"/>
      <c r="D17" s="17">
        <f t="shared" ref="D17" si="90">+D15+D16</f>
        <v>-36.802999999999997</v>
      </c>
      <c r="E17" s="17">
        <f t="shared" ref="E17:I17" si="91">+E15+E16</f>
        <v>59.364999999999981</v>
      </c>
      <c r="F17" s="17">
        <f t="shared" si="91"/>
        <v>-37.199999999999967</v>
      </c>
      <c r="G17" s="17">
        <f t="shared" si="91"/>
        <v>-17.991999999999972</v>
      </c>
      <c r="H17" s="17">
        <f t="shared" ref="H17" si="92">+H15+H16</f>
        <v>9.430000000000021</v>
      </c>
      <c r="I17" s="17">
        <f t="shared" si="91"/>
        <v>-8.2839999999999989</v>
      </c>
      <c r="J17" s="17">
        <f>+J15+J16</f>
        <v>55.689999999999984</v>
      </c>
      <c r="K17" s="17">
        <f>+K15+K16</f>
        <v>24.446999999999989</v>
      </c>
      <c r="L17" s="17">
        <f t="shared" ref="L17" si="93">+L15+L16</f>
        <v>139.07839999999999</v>
      </c>
      <c r="M17" s="17">
        <f t="shared" ref="M17" si="94">+M15+M16</f>
        <v>169.44467849999998</v>
      </c>
      <c r="N17" s="17">
        <f t="shared" ref="N17" si="95">+N15+N16</f>
        <v>192.45642499999997</v>
      </c>
      <c r="V17" s="17">
        <f t="shared" ref="V17" si="96">+V15+V16</f>
        <v>38.84399999999998</v>
      </c>
      <c r="W17" s="17">
        <f t="shared" ref="W17" si="97">+W15+W16</f>
        <v>525.42650350000008</v>
      </c>
      <c r="X17" s="17">
        <f t="shared" ref="X17" si="98">+X15+X16</f>
        <v>922.85038957800009</v>
      </c>
      <c r="Y17" s="17">
        <f t="shared" ref="Y17" si="99">+Y15+Y16</f>
        <v>1214.0032295521239</v>
      </c>
      <c r="Z17" s="17">
        <f t="shared" ref="Z17" si="100">+Z15+Z16</f>
        <v>1447.3939626386662</v>
      </c>
      <c r="AA17" s="17">
        <f t="shared" ref="AA17" si="101">+AA15+AA16</f>
        <v>1560.2890376147568</v>
      </c>
      <c r="AB17" s="17">
        <f t="shared" ref="AB17" si="102">+AB15+AB16</f>
        <v>1644.384962476177</v>
      </c>
      <c r="AC17" s="17">
        <f t="shared" ref="AC17" si="103">+AC15+AC16</f>
        <v>1736.03440511493</v>
      </c>
      <c r="AD17" s="17">
        <f t="shared" ref="AD17" si="104">+AD15+AD16</f>
        <v>1851.510569177452</v>
      </c>
      <c r="AE17" s="17">
        <f t="shared" ref="AE17" si="105">+AE15+AE16</f>
        <v>1973.4694322435544</v>
      </c>
      <c r="AF17" s="17">
        <f t="shared" ref="AF17" si="106">+AF15+AF16</f>
        <v>2102.2887499148205</v>
      </c>
      <c r="AG17" s="17">
        <f t="shared" ref="AG17" si="107">+AG15+AG16</f>
        <v>2238.3703894906212</v>
      </c>
      <c r="AH17" s="17">
        <f t="shared" ref="AH17" si="108">+AH15+AH16</f>
        <v>2382.1420568396034</v>
      </c>
      <c r="AI17" s="17">
        <f t="shared" ref="AI17" si="109">+AI15+AI16</f>
        <v>2534.0591617345553</v>
      </c>
      <c r="AJ17" s="17">
        <f t="shared" ref="AJ17" si="110">+AJ15+AJ16</f>
        <v>2507.7267151770006</v>
      </c>
      <c r="AK17" s="17">
        <f t="shared" ref="AK17" si="111">+AK15+AK16</f>
        <v>2657.2389308173165</v>
      </c>
    </row>
    <row r="18" spans="2:120" s="2" customFormat="1" x14ac:dyDescent="0.2">
      <c r="B18" s="2" t="s">
        <v>67</v>
      </c>
      <c r="C18" s="17"/>
      <c r="D18" s="17">
        <v>7.0000000000000007E-2</v>
      </c>
      <c r="E18" s="17">
        <v>7.1999999999999995E-2</v>
      </c>
      <c r="F18" s="17">
        <v>-0.25600000000000001</v>
      </c>
      <c r="G18" s="17">
        <v>0.36699999999999999</v>
      </c>
      <c r="H18" s="17">
        <v>0.13600000000000001</v>
      </c>
      <c r="I18" s="17">
        <v>8.9999999999999993E-3</v>
      </c>
      <c r="J18" s="17">
        <v>0.51200000000000001</v>
      </c>
      <c r="K18" s="17">
        <v>0.4</v>
      </c>
      <c r="L18" s="17">
        <f>+L17*0.2</f>
        <v>27.81568</v>
      </c>
      <c r="M18" s="17">
        <f t="shared" ref="M18:N18" si="112">+M17*0.2</f>
        <v>33.888935699999998</v>
      </c>
      <c r="N18" s="17">
        <f t="shared" si="112"/>
        <v>38.491284999999998</v>
      </c>
      <c r="V18" s="2">
        <f>SUM(G18:J18)</f>
        <v>1.024</v>
      </c>
      <c r="W18" s="2">
        <f>SUM(K18:N18)</f>
        <v>100.59590069999999</v>
      </c>
      <c r="X18" s="2">
        <f>+X17*0.2</f>
        <v>184.57007791560002</v>
      </c>
      <c r="Y18" s="2">
        <f t="shared" ref="Y18:AG18" si="113">+Y17*0.2</f>
        <v>242.80064591042481</v>
      </c>
      <c r="Z18" s="2">
        <f t="shared" si="113"/>
        <v>289.47879252773322</v>
      </c>
      <c r="AA18" s="2">
        <f t="shared" si="113"/>
        <v>312.05780752295141</v>
      </c>
      <c r="AB18" s="2">
        <f t="shared" si="113"/>
        <v>328.87699249523541</v>
      </c>
      <c r="AC18" s="2">
        <f t="shared" si="113"/>
        <v>347.20688102298601</v>
      </c>
      <c r="AD18" s="2">
        <f t="shared" si="113"/>
        <v>370.30211383549045</v>
      </c>
      <c r="AE18" s="2">
        <f t="shared" si="113"/>
        <v>394.69388644871088</v>
      </c>
      <c r="AF18" s="2">
        <f t="shared" si="113"/>
        <v>420.45774998296412</v>
      </c>
      <c r="AG18" s="2">
        <f t="shared" si="113"/>
        <v>447.67407789812427</v>
      </c>
      <c r="AH18" s="2">
        <f t="shared" ref="AH18" si="114">+AH17*0.2</f>
        <v>476.42841136792072</v>
      </c>
      <c r="AI18" s="2">
        <f t="shared" ref="AI18" si="115">+AI17*0.2</f>
        <v>506.8118323469111</v>
      </c>
      <c r="AJ18" s="2">
        <f t="shared" ref="AJ18" si="116">+AJ17*0.2</f>
        <v>501.54534303540015</v>
      </c>
      <c r="AK18" s="2">
        <f t="shared" ref="AK18" si="117">+AK17*0.2</f>
        <v>531.44778616346332</v>
      </c>
    </row>
    <row r="19" spans="2:120" s="2" customFormat="1" x14ac:dyDescent="0.2">
      <c r="B19" s="2" t="s">
        <v>68</v>
      </c>
      <c r="C19" s="17"/>
      <c r="D19" s="17">
        <f t="shared" ref="D19" si="118">+D17-D18</f>
        <v>-36.872999999999998</v>
      </c>
      <c r="E19" s="17">
        <f t="shared" ref="E19:I19" si="119">+E17-E18</f>
        <v>59.292999999999978</v>
      </c>
      <c r="F19" s="17">
        <f t="shared" si="119"/>
        <v>-36.943999999999967</v>
      </c>
      <c r="G19" s="17">
        <f t="shared" si="119"/>
        <v>-18.358999999999973</v>
      </c>
      <c r="H19" s="17">
        <f t="shared" ref="H19" si="120">+H17-H18</f>
        <v>9.2940000000000218</v>
      </c>
      <c r="I19" s="17">
        <f t="shared" si="119"/>
        <v>-8.2929999999999993</v>
      </c>
      <c r="J19" s="17">
        <f>+J17-J18</f>
        <v>55.177999999999983</v>
      </c>
      <c r="K19" s="17">
        <f>+K17-K18</f>
        <v>24.04699999999999</v>
      </c>
      <c r="L19" s="17">
        <f t="shared" ref="L19" si="121">+L17-L18</f>
        <v>111.26271999999999</v>
      </c>
      <c r="M19" s="17">
        <f t="shared" ref="M19" si="122">+M17-M18</f>
        <v>135.55574279999999</v>
      </c>
      <c r="N19" s="17">
        <f t="shared" ref="N19" si="123">+N17-N18</f>
        <v>153.96513999999996</v>
      </c>
      <c r="V19" s="2">
        <f>V17-V18</f>
        <v>37.819999999999979</v>
      </c>
      <c r="W19" s="2">
        <f>W17-W18</f>
        <v>424.83060280000007</v>
      </c>
      <c r="X19" s="2">
        <f t="shared" ref="X19" si="124">X17-X18</f>
        <v>738.28031166240009</v>
      </c>
      <c r="Y19" s="2">
        <f t="shared" ref="Y19" si="125">Y17-Y18</f>
        <v>971.20258364169911</v>
      </c>
      <c r="Z19" s="2">
        <f t="shared" ref="Z19" si="126">Z17-Z18</f>
        <v>1157.9151701109329</v>
      </c>
      <c r="AA19" s="2">
        <f t="shared" ref="AA19" si="127">AA17-AA18</f>
        <v>1248.2312300918054</v>
      </c>
      <c r="AB19" s="2">
        <f t="shared" ref="AB19" si="128">AB17-AB18</f>
        <v>1315.5079699809417</v>
      </c>
      <c r="AC19" s="2">
        <f t="shared" ref="AC19" si="129">AC17-AC18</f>
        <v>1388.827524091944</v>
      </c>
      <c r="AD19" s="2">
        <f t="shared" ref="AD19" si="130">AD17-AD18</f>
        <v>1481.2084553419616</v>
      </c>
      <c r="AE19" s="2">
        <f t="shared" ref="AE19" si="131">AE17-AE18</f>
        <v>1578.7755457948435</v>
      </c>
      <c r="AF19" s="2">
        <f t="shared" ref="AF19" si="132">AF17-AF18</f>
        <v>1681.8309999318565</v>
      </c>
      <c r="AG19" s="2">
        <f t="shared" ref="AG19" si="133">AG17-AG18</f>
        <v>1790.6963115924968</v>
      </c>
      <c r="AH19" s="2">
        <f t="shared" ref="AH19" si="134">AH17-AH18</f>
        <v>1905.7136454716826</v>
      </c>
      <c r="AI19" s="2">
        <f t="shared" ref="AI19" si="135">AI17-AI18</f>
        <v>2027.2473293876442</v>
      </c>
      <c r="AJ19" s="2">
        <f t="shared" ref="AJ19" si="136">AJ17-AJ18</f>
        <v>2006.1813721416006</v>
      </c>
      <c r="AK19" s="2">
        <f t="shared" ref="AK19" si="137">AK17-AK18</f>
        <v>2125.7911446538533</v>
      </c>
      <c r="AL19" s="2">
        <f>+AK19*(1+$AN$22)</f>
        <v>2062.0174103142376</v>
      </c>
      <c r="AM19" s="2">
        <f t="shared" ref="AM19:CX19" si="138">+AL19*(1+$AN$22)</f>
        <v>2000.1568880048105</v>
      </c>
      <c r="AN19" s="2">
        <f t="shared" si="138"/>
        <v>1940.1521813646661</v>
      </c>
      <c r="AO19" s="2">
        <f t="shared" si="138"/>
        <v>1881.9476159237261</v>
      </c>
      <c r="AP19" s="2">
        <f t="shared" si="138"/>
        <v>1825.4891874460143</v>
      </c>
      <c r="AQ19" s="2">
        <f t="shared" si="138"/>
        <v>1770.7245118226338</v>
      </c>
      <c r="AR19" s="2">
        <f t="shared" si="138"/>
        <v>1717.6027764679548</v>
      </c>
      <c r="AS19" s="2">
        <f t="shared" si="138"/>
        <v>1666.0746931739161</v>
      </c>
      <c r="AT19" s="2">
        <f t="shared" si="138"/>
        <v>1616.0924523786987</v>
      </c>
      <c r="AU19" s="2">
        <f t="shared" si="138"/>
        <v>1567.6096788073378</v>
      </c>
      <c r="AV19" s="2">
        <f t="shared" si="138"/>
        <v>1520.5813884431177</v>
      </c>
      <c r="AW19" s="2">
        <f t="shared" si="138"/>
        <v>1474.9639467898241</v>
      </c>
      <c r="AX19" s="2">
        <f t="shared" si="138"/>
        <v>1430.7150283861295</v>
      </c>
      <c r="AY19" s="2">
        <f t="shared" si="138"/>
        <v>1387.7935775345456</v>
      </c>
      <c r="AZ19" s="2">
        <f t="shared" si="138"/>
        <v>1346.1597702085091</v>
      </c>
      <c r="BA19" s="2">
        <f t="shared" si="138"/>
        <v>1305.7749771022538</v>
      </c>
      <c r="BB19" s="2">
        <f t="shared" si="138"/>
        <v>1266.6017277891863</v>
      </c>
      <c r="BC19" s="2">
        <f t="shared" si="138"/>
        <v>1228.6036759555107</v>
      </c>
      <c r="BD19" s="2">
        <f t="shared" si="138"/>
        <v>1191.7455656768452</v>
      </c>
      <c r="BE19" s="2">
        <f t="shared" si="138"/>
        <v>1155.9931987065399</v>
      </c>
      <c r="BF19" s="2">
        <f t="shared" si="138"/>
        <v>1121.3134027453436</v>
      </c>
      <c r="BG19" s="2">
        <f t="shared" si="138"/>
        <v>1087.6740006629832</v>
      </c>
      <c r="BH19" s="2">
        <f t="shared" si="138"/>
        <v>1055.0437806430937</v>
      </c>
      <c r="BI19" s="2">
        <f t="shared" si="138"/>
        <v>1023.3924672238008</v>
      </c>
      <c r="BJ19" s="2">
        <f t="shared" si="138"/>
        <v>992.69069320708684</v>
      </c>
      <c r="BK19" s="2">
        <f t="shared" si="138"/>
        <v>962.90997241087416</v>
      </c>
      <c r="BL19" s="2">
        <f t="shared" si="138"/>
        <v>934.0226732385479</v>
      </c>
      <c r="BM19" s="2">
        <f t="shared" si="138"/>
        <v>906.00199304139142</v>
      </c>
      <c r="BN19" s="2">
        <f t="shared" si="138"/>
        <v>878.82193325014964</v>
      </c>
      <c r="BO19" s="2">
        <f t="shared" si="138"/>
        <v>852.4572752526451</v>
      </c>
      <c r="BP19" s="2">
        <f t="shared" si="138"/>
        <v>826.88355699506576</v>
      </c>
      <c r="BQ19" s="2">
        <f t="shared" si="138"/>
        <v>802.07705028521377</v>
      </c>
      <c r="BR19" s="2">
        <f t="shared" si="138"/>
        <v>778.01473877665728</v>
      </c>
      <c r="BS19" s="2">
        <f t="shared" si="138"/>
        <v>754.67429661335757</v>
      </c>
      <c r="BT19" s="2">
        <f t="shared" si="138"/>
        <v>732.03406771495679</v>
      </c>
      <c r="BU19" s="2">
        <f t="shared" si="138"/>
        <v>710.0730456835081</v>
      </c>
      <c r="BV19" s="2">
        <f t="shared" si="138"/>
        <v>688.77085431300281</v>
      </c>
      <c r="BW19" s="2">
        <f t="shared" si="138"/>
        <v>668.10772868361266</v>
      </c>
      <c r="BX19" s="2">
        <f t="shared" si="138"/>
        <v>648.06449682310426</v>
      </c>
      <c r="BY19" s="2">
        <f t="shared" si="138"/>
        <v>628.62256191841107</v>
      </c>
      <c r="BZ19" s="2">
        <f t="shared" si="138"/>
        <v>609.76388506085868</v>
      </c>
      <c r="CA19" s="2">
        <f t="shared" si="138"/>
        <v>591.4709685090329</v>
      </c>
      <c r="CB19" s="2">
        <f t="shared" si="138"/>
        <v>573.72683945376195</v>
      </c>
      <c r="CC19" s="2">
        <f t="shared" si="138"/>
        <v>556.51503427014904</v>
      </c>
      <c r="CD19" s="2">
        <f t="shared" si="138"/>
        <v>539.81958324204459</v>
      </c>
      <c r="CE19" s="2">
        <f t="shared" si="138"/>
        <v>523.62499574478329</v>
      </c>
      <c r="CF19" s="2">
        <f t="shared" si="138"/>
        <v>507.91624587243979</v>
      </c>
      <c r="CG19" s="2">
        <f t="shared" si="138"/>
        <v>492.6787584962666</v>
      </c>
      <c r="CH19" s="2">
        <f t="shared" si="138"/>
        <v>477.89839574137858</v>
      </c>
      <c r="CI19" s="2">
        <f t="shared" si="138"/>
        <v>463.56144386913724</v>
      </c>
      <c r="CJ19" s="2">
        <f t="shared" si="138"/>
        <v>449.65460055306312</v>
      </c>
      <c r="CK19" s="2">
        <f t="shared" si="138"/>
        <v>436.16496253647119</v>
      </c>
      <c r="CL19" s="2">
        <f t="shared" si="138"/>
        <v>423.08001366037706</v>
      </c>
      <c r="CM19" s="2">
        <f t="shared" si="138"/>
        <v>410.38761325056572</v>
      </c>
      <c r="CN19" s="2">
        <f t="shared" si="138"/>
        <v>398.07598485304874</v>
      </c>
      <c r="CO19" s="2">
        <f t="shared" si="138"/>
        <v>386.13370530745726</v>
      </c>
      <c r="CP19" s="2">
        <f t="shared" si="138"/>
        <v>374.54969414823353</v>
      </c>
      <c r="CQ19" s="2">
        <f t="shared" si="138"/>
        <v>363.31320332378652</v>
      </c>
      <c r="CR19" s="2">
        <f t="shared" si="138"/>
        <v>352.41380722407291</v>
      </c>
      <c r="CS19" s="2">
        <f t="shared" si="138"/>
        <v>341.84139300735069</v>
      </c>
      <c r="CT19" s="2">
        <f t="shared" si="138"/>
        <v>331.58615121713018</v>
      </c>
      <c r="CU19" s="2">
        <f t="shared" si="138"/>
        <v>321.63856668061629</v>
      </c>
      <c r="CV19" s="2">
        <f t="shared" si="138"/>
        <v>311.98940968019781</v>
      </c>
      <c r="CW19" s="2">
        <f t="shared" si="138"/>
        <v>302.62972738979187</v>
      </c>
      <c r="CX19" s="2">
        <f t="shared" si="138"/>
        <v>293.55083556809808</v>
      </c>
      <c r="CY19" s="2">
        <f t="shared" ref="CY19:DP19" si="139">+CX19*(1+$AN$22)</f>
        <v>284.74431050105511</v>
      </c>
      <c r="CZ19" s="2">
        <f t="shared" si="139"/>
        <v>276.20198118602343</v>
      </c>
      <c r="DA19" s="2">
        <f t="shared" si="139"/>
        <v>267.91592175044275</v>
      </c>
      <c r="DB19" s="2">
        <f t="shared" si="139"/>
        <v>259.87844409792945</v>
      </c>
      <c r="DC19" s="2">
        <f t="shared" si="139"/>
        <v>252.08209077499154</v>
      </c>
      <c r="DD19" s="2">
        <f t="shared" si="139"/>
        <v>244.51962805174179</v>
      </c>
      <c r="DE19" s="2">
        <f t="shared" si="139"/>
        <v>237.18403921018952</v>
      </c>
      <c r="DF19" s="2">
        <f t="shared" si="139"/>
        <v>230.06851803388383</v>
      </c>
      <c r="DG19" s="2">
        <f t="shared" si="139"/>
        <v>223.16646249286731</v>
      </c>
      <c r="DH19" s="2">
        <f t="shared" si="139"/>
        <v>216.47146861808127</v>
      </c>
      <c r="DI19" s="2">
        <f t="shared" si="139"/>
        <v>209.97732455953883</v>
      </c>
      <c r="DJ19" s="2">
        <f t="shared" si="139"/>
        <v>203.67800482275265</v>
      </c>
      <c r="DK19" s="2">
        <f t="shared" si="139"/>
        <v>197.56766467807006</v>
      </c>
      <c r="DL19" s="2">
        <f t="shared" si="139"/>
        <v>191.64063473772796</v>
      </c>
      <c r="DM19" s="2">
        <f t="shared" si="139"/>
        <v>185.89141569559612</v>
      </c>
      <c r="DN19" s="2">
        <f t="shared" si="139"/>
        <v>180.31467322472824</v>
      </c>
      <c r="DO19" s="2">
        <f t="shared" si="139"/>
        <v>174.90523302798638</v>
      </c>
      <c r="DP19" s="2">
        <f t="shared" si="139"/>
        <v>169.6580760371468</v>
      </c>
    </row>
    <row r="20" spans="2:120" x14ac:dyDescent="0.2">
      <c r="B20" s="2" t="s">
        <v>69</v>
      </c>
      <c r="D20" s="21">
        <f t="shared" ref="D20" si="140">D19/D21</f>
        <v>-0.21959455435520564</v>
      </c>
      <c r="E20" s="21">
        <f>E19/E21</f>
        <v>0.31364324026956392</v>
      </c>
      <c r="F20" s="21">
        <f>F19/F21</f>
        <v>-0.21741484428332647</v>
      </c>
      <c r="G20" s="21">
        <f t="shared" ref="G20:H20" si="141">G19/G21</f>
        <v>-0.106694949729761</v>
      </c>
      <c r="H20" s="21">
        <f t="shared" si="141"/>
        <v>4.9835650667853601E-2</v>
      </c>
      <c r="I20" s="21">
        <f t="shared" ref="I20" si="142">I19/I21</f>
        <v>-4.5719924801667151E-2</v>
      </c>
      <c r="J20" s="21">
        <f>J19/J21</f>
        <v>0.28535375736294188</v>
      </c>
      <c r="K20" s="21">
        <f>K19/K21</f>
        <v>0.12483841661258918</v>
      </c>
      <c r="L20" s="21">
        <f t="shared" ref="L20" si="143">L19/L21</f>
        <v>0.57761308241401677</v>
      </c>
      <c r="M20" s="21">
        <f t="shared" ref="M20" si="144">M19/M21</f>
        <v>0.70372871018818939</v>
      </c>
      <c r="N20" s="21">
        <f t="shared" ref="N20" si="145">N19/N21</f>
        <v>0.79929988319273182</v>
      </c>
      <c r="V20" s="21">
        <f t="shared" ref="V20:W20" si="146">V19/V21</f>
        <v>0.2062955038544039</v>
      </c>
      <c r="W20" s="21">
        <f t="shared" si="146"/>
        <v>2.205480092407528</v>
      </c>
      <c r="X20" s="21">
        <f t="shared" ref="X20" si="147">X19/X21</f>
        <v>3.8327336101876708</v>
      </c>
      <c r="Y20" s="21">
        <f t="shared" ref="Y20" si="148">Y19/Y21</f>
        <v>5.0419342434351675</v>
      </c>
      <c r="Z20" s="21">
        <f t="shared" ref="Z20" si="149">Z19/Z21</f>
        <v>6.0112403380191193</v>
      </c>
      <c r="AA20" s="21">
        <f t="shared" ref="AA20" si="150">AA19/AA21</f>
        <v>6.4801102146232594</v>
      </c>
      <c r="AB20" s="21">
        <f t="shared" ref="AB20" si="151">AB19/AB21</f>
        <v>6.8293729784863944</v>
      </c>
      <c r="AC20" s="21">
        <f t="shared" ref="AC20" si="152">AC19/AC21</f>
        <v>7.2100066143644082</v>
      </c>
      <c r="AD20" s="21">
        <f t="shared" ref="AD20" si="153">AD19/AD21</f>
        <v>7.6895961341568411</v>
      </c>
      <c r="AE20" s="21">
        <f t="shared" ref="AE20" si="154">AE19/AE21</f>
        <v>8.1961092578577208</v>
      </c>
      <c r="AF20" s="21">
        <f t="shared" ref="AF20" si="155">AF19/AF21</f>
        <v>8.7311148601264446</v>
      </c>
      <c r="AG20" s="21">
        <f t="shared" ref="AG20" si="156">AG19/AG21</f>
        <v>9.296281955055143</v>
      </c>
      <c r="AH20" s="21">
        <f t="shared" ref="AH20" si="157">AH19/AH21</f>
        <v>9.8933868681203503</v>
      </c>
      <c r="AI20" s="21">
        <f t="shared" ref="AI20" si="158">AI19/AI21</f>
        <v>10.52432098319348</v>
      </c>
      <c r="AJ20" s="21">
        <f t="shared" ref="AJ20" si="159">AJ19/AJ21</f>
        <v>10.414958453687738</v>
      </c>
      <c r="AK20" s="21">
        <f t="shared" ref="AK20" si="160">AK19/AK21</f>
        <v>11.035904709429479</v>
      </c>
    </row>
    <row r="21" spans="2:120" s="2" customFormat="1" x14ac:dyDescent="0.2">
      <c r="B21" s="2" t="s">
        <v>1</v>
      </c>
      <c r="C21" s="17"/>
      <c r="D21" s="17">
        <v>167.91399999999999</v>
      </c>
      <c r="E21" s="17">
        <v>189.04599999999999</v>
      </c>
      <c r="F21" s="17">
        <v>169.92400000000001</v>
      </c>
      <c r="G21" s="17">
        <v>172.07</v>
      </c>
      <c r="H21" s="17">
        <v>186.49299999999999</v>
      </c>
      <c r="I21" s="17">
        <v>181.387</v>
      </c>
      <c r="J21" s="17">
        <v>193.36699999999999</v>
      </c>
      <c r="K21" s="17">
        <v>192.625</v>
      </c>
      <c r="L21" s="17">
        <f>+K21</f>
        <v>192.625</v>
      </c>
      <c r="M21" s="17">
        <f t="shared" ref="M21:N21" si="161">+L21</f>
        <v>192.625</v>
      </c>
      <c r="N21" s="17">
        <f t="shared" si="161"/>
        <v>192.625</v>
      </c>
      <c r="V21" s="2">
        <f>AVERAGE(G21:J21)</f>
        <v>183.32925</v>
      </c>
      <c r="W21" s="2">
        <f>AVERAGE(K21:N21)</f>
        <v>192.625</v>
      </c>
      <c r="X21" s="2">
        <f>+W21</f>
        <v>192.625</v>
      </c>
      <c r="Y21" s="2">
        <f t="shared" ref="Y21:AG21" si="162">+X21</f>
        <v>192.625</v>
      </c>
      <c r="Z21" s="2">
        <f t="shared" si="162"/>
        <v>192.625</v>
      </c>
      <c r="AA21" s="2">
        <f t="shared" si="162"/>
        <v>192.625</v>
      </c>
      <c r="AB21" s="2">
        <f t="shared" si="162"/>
        <v>192.625</v>
      </c>
      <c r="AC21" s="2">
        <f t="shared" si="162"/>
        <v>192.625</v>
      </c>
      <c r="AD21" s="2">
        <f t="shared" si="162"/>
        <v>192.625</v>
      </c>
      <c r="AE21" s="2">
        <f t="shared" si="162"/>
        <v>192.625</v>
      </c>
      <c r="AF21" s="2">
        <f t="shared" si="162"/>
        <v>192.625</v>
      </c>
      <c r="AG21" s="2">
        <f t="shared" si="162"/>
        <v>192.625</v>
      </c>
      <c r="AH21" s="2">
        <f t="shared" ref="AH21:AK21" si="163">+AG21</f>
        <v>192.625</v>
      </c>
      <c r="AI21" s="2">
        <f t="shared" si="163"/>
        <v>192.625</v>
      </c>
      <c r="AJ21" s="2">
        <f t="shared" si="163"/>
        <v>192.625</v>
      </c>
      <c r="AK21" s="2">
        <f t="shared" si="163"/>
        <v>192.625</v>
      </c>
      <c r="AM21" s="2" t="s">
        <v>121</v>
      </c>
      <c r="AN21" s="23">
        <v>0.01</v>
      </c>
    </row>
    <row r="22" spans="2:120" x14ac:dyDescent="0.2">
      <c r="AM22" t="s">
        <v>116</v>
      </c>
      <c r="AN22" s="23">
        <v>-0.03</v>
      </c>
    </row>
    <row r="23" spans="2:120" x14ac:dyDescent="0.2">
      <c r="B23" s="2" t="s">
        <v>70</v>
      </c>
      <c r="H23" s="22">
        <f t="shared" ref="H23:N24" si="164">H5/D5-1</f>
        <v>0.69480511752454621</v>
      </c>
      <c r="I23" s="22">
        <f t="shared" si="164"/>
        <v>0.64824146284125628</v>
      </c>
      <c r="J23" s="22">
        <f t="shared" si="164"/>
        <v>0.71638582164848308</v>
      </c>
      <c r="K23" s="22">
        <f t="shared" si="164"/>
        <v>0.58906615798144446</v>
      </c>
      <c r="L23" s="22">
        <f t="shared" si="164"/>
        <v>0.39999999999999991</v>
      </c>
      <c r="M23" s="22">
        <f t="shared" si="164"/>
        <v>0.35000000000000009</v>
      </c>
      <c r="N23" s="22">
        <f t="shared" si="164"/>
        <v>0.30000000000000004</v>
      </c>
      <c r="AM23" t="s">
        <v>74</v>
      </c>
      <c r="AN23" s="23">
        <v>0.06</v>
      </c>
    </row>
    <row r="24" spans="2:120" x14ac:dyDescent="0.2">
      <c r="B24" s="2" t="s">
        <v>79</v>
      </c>
      <c r="H24" s="22">
        <f t="shared" si="164"/>
        <v>0.40713128038897906</v>
      </c>
      <c r="I24" s="22">
        <f t="shared" si="164"/>
        <v>0.49987596129992573</v>
      </c>
      <c r="J24" s="22">
        <f t="shared" si="164"/>
        <v>0.60780580675868623</v>
      </c>
      <c r="K24" s="22">
        <f t="shared" si="164"/>
        <v>0.39749888343010253</v>
      </c>
      <c r="L24" s="22">
        <f t="shared" si="164"/>
        <v>0.26140290255701437</v>
      </c>
      <c r="M24" s="22">
        <f t="shared" si="164"/>
        <v>0.30000000000000004</v>
      </c>
      <c r="N24" s="22">
        <f t="shared" si="164"/>
        <v>0.19999999999999996</v>
      </c>
      <c r="AM24" t="s">
        <v>118</v>
      </c>
      <c r="AN24" s="2">
        <f>NPV(AN23,W19:AG19)</f>
        <v>9320.4953986627806</v>
      </c>
    </row>
    <row r="25" spans="2:120" x14ac:dyDescent="0.2">
      <c r="AM25" t="s">
        <v>119</v>
      </c>
      <c r="AN25" s="2">
        <f>NPV(8%,0,0,0,0,0,0,0,0,0,0,AH19:DP19)</f>
        <v>9465.0876394361767</v>
      </c>
    </row>
    <row r="26" spans="2:120" x14ac:dyDescent="0.2">
      <c r="B26" s="2" t="s">
        <v>80</v>
      </c>
      <c r="X26" s="2">
        <f>+W19</f>
        <v>424.83060280000007</v>
      </c>
      <c r="Y26" s="2">
        <f>+X26+X19</f>
        <v>1163.1109144624002</v>
      </c>
      <c r="Z26" s="2">
        <f t="shared" ref="Z26:AK26" si="165">+Y26+Y19</f>
        <v>2134.3134981040994</v>
      </c>
      <c r="AA26" s="2">
        <f t="shared" si="165"/>
        <v>3292.2286682150325</v>
      </c>
      <c r="AB26" s="2">
        <f t="shared" si="165"/>
        <v>4540.4598983068381</v>
      </c>
      <c r="AC26" s="2">
        <f t="shared" si="165"/>
        <v>5855.9678682877802</v>
      </c>
      <c r="AD26" s="2">
        <f t="shared" si="165"/>
        <v>7244.795392379724</v>
      </c>
      <c r="AE26" s="2">
        <f t="shared" si="165"/>
        <v>8726.0038477216858</v>
      </c>
      <c r="AF26" s="2">
        <f t="shared" si="165"/>
        <v>10304.77939351653</v>
      </c>
      <c r="AG26" s="2">
        <f t="shared" si="165"/>
        <v>11986.610393448387</v>
      </c>
      <c r="AH26" s="2">
        <f t="shared" si="165"/>
        <v>13777.306705040884</v>
      </c>
      <c r="AI26" s="2">
        <f t="shared" si="165"/>
        <v>15683.020350512566</v>
      </c>
      <c r="AJ26" s="2">
        <f t="shared" si="165"/>
        <v>17710.267679900211</v>
      </c>
      <c r="AK26" s="2">
        <f t="shared" si="165"/>
        <v>19716.449052041811</v>
      </c>
      <c r="AM26" t="s">
        <v>120</v>
      </c>
      <c r="AN26" s="2">
        <f>AN25+AN24</f>
        <v>18785.583038098957</v>
      </c>
    </row>
    <row r="27" spans="2:120" x14ac:dyDescent="0.2">
      <c r="B27" s="2" t="s">
        <v>3</v>
      </c>
      <c r="AM27" t="s">
        <v>117</v>
      </c>
      <c r="AN27" s="1">
        <f>AN26/Main!$K$3</f>
        <v>100.12602449488352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4" t="s">
        <v>13</v>
      </c>
    </row>
    <row r="2" spans="1:3" x14ac:dyDescent="0.2">
      <c r="B2" t="s">
        <v>71</v>
      </c>
      <c r="C2" t="s">
        <v>37</v>
      </c>
    </row>
  </sheetData>
  <hyperlinks>
    <hyperlink ref="A1" location="Main!A1" display="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  <col min="3" max="3" width="12.7109375" bestFit="1" customWidth="1"/>
  </cols>
  <sheetData>
    <row r="1" spans="1:3" x14ac:dyDescent="0.2">
      <c r="A1" s="4" t="s">
        <v>13</v>
      </c>
    </row>
    <row r="2" spans="1:3" x14ac:dyDescent="0.2">
      <c r="B2" t="s">
        <v>71</v>
      </c>
      <c r="C2" t="s">
        <v>139</v>
      </c>
    </row>
    <row r="3" spans="1:3" x14ac:dyDescent="0.2">
      <c r="B3" t="s">
        <v>72</v>
      </c>
    </row>
    <row r="4" spans="1:3" x14ac:dyDescent="0.2">
      <c r="B4" t="s">
        <v>9</v>
      </c>
      <c r="C4" t="s">
        <v>140</v>
      </c>
    </row>
    <row r="5" spans="1:3" x14ac:dyDescent="0.2">
      <c r="B5" t="s">
        <v>11</v>
      </c>
      <c r="C5" t="s">
        <v>141</v>
      </c>
    </row>
    <row r="6" spans="1:3" x14ac:dyDescent="0.2">
      <c r="B6" t="s">
        <v>113</v>
      </c>
      <c r="C6" t="s">
        <v>146</v>
      </c>
    </row>
    <row r="7" spans="1:3" x14ac:dyDescent="0.2">
      <c r="B7" t="s">
        <v>103</v>
      </c>
    </row>
    <row r="8" spans="1:3" x14ac:dyDescent="0.2">
      <c r="C8" s="26" t="s">
        <v>144</v>
      </c>
    </row>
    <row r="10" spans="1:3" x14ac:dyDescent="0.2">
      <c r="C10" s="26" t="s">
        <v>142</v>
      </c>
    </row>
    <row r="11" spans="1:3" x14ac:dyDescent="0.2">
      <c r="C11" t="s">
        <v>143</v>
      </c>
    </row>
  </sheetData>
  <hyperlinks>
    <hyperlink ref="A1" location="Main!A1" display="Ma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" t="s">
        <v>13</v>
      </c>
    </row>
    <row r="2" spans="1:3" x14ac:dyDescent="0.2">
      <c r="B2" t="s">
        <v>71</v>
      </c>
      <c r="C2" t="s">
        <v>129</v>
      </c>
    </row>
    <row r="3" spans="1:3" x14ac:dyDescent="0.2">
      <c r="B3" t="s">
        <v>72</v>
      </c>
    </row>
    <row r="4" spans="1:3" x14ac:dyDescent="0.2">
      <c r="B4" t="s">
        <v>105</v>
      </c>
      <c r="C4" t="s">
        <v>137</v>
      </c>
    </row>
    <row r="5" spans="1:3" x14ac:dyDescent="0.2">
      <c r="B5" t="s">
        <v>9</v>
      </c>
      <c r="C5" t="s">
        <v>132</v>
      </c>
    </row>
    <row r="6" spans="1:3" x14ac:dyDescent="0.2">
      <c r="B6" t="s">
        <v>12</v>
      </c>
      <c r="C6" s="23" t="s">
        <v>138</v>
      </c>
    </row>
    <row r="7" spans="1:3" x14ac:dyDescent="0.2">
      <c r="B7" t="s">
        <v>11</v>
      </c>
      <c r="C7" t="s">
        <v>135</v>
      </c>
    </row>
    <row r="8" spans="1:3" x14ac:dyDescent="0.2">
      <c r="B8" t="s">
        <v>103</v>
      </c>
    </row>
    <row r="9" spans="1:3" x14ac:dyDescent="0.2">
      <c r="C9" s="26" t="s">
        <v>133</v>
      </c>
    </row>
    <row r="11" spans="1:3" x14ac:dyDescent="0.2">
      <c r="C11" s="26" t="s">
        <v>130</v>
      </c>
    </row>
    <row r="13" spans="1:3" x14ac:dyDescent="0.2">
      <c r="C13" s="26" t="s">
        <v>131</v>
      </c>
    </row>
    <row r="15" spans="1:3" x14ac:dyDescent="0.2">
      <c r="C15" s="26" t="s">
        <v>136</v>
      </c>
    </row>
    <row r="17" spans="3:3" x14ac:dyDescent="0.2">
      <c r="C17" s="26" t="s">
        <v>27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2.75" x14ac:dyDescent="0.2"/>
  <cols>
    <col min="1" max="1" width="5" bestFit="1" customWidth="1"/>
    <col min="2" max="2" width="13.5703125" customWidth="1"/>
    <col min="3" max="3" width="10.85546875" customWidth="1"/>
  </cols>
  <sheetData>
    <row r="1" spans="1:3" x14ac:dyDescent="0.2">
      <c r="A1" s="4" t="s">
        <v>13</v>
      </c>
    </row>
    <row r="2" spans="1:3" x14ac:dyDescent="0.2">
      <c r="B2" t="s">
        <v>71</v>
      </c>
      <c r="C2" t="s">
        <v>123</v>
      </c>
    </row>
    <row r="3" spans="1:3" x14ac:dyDescent="0.2">
      <c r="B3" t="s">
        <v>72</v>
      </c>
      <c r="C3" t="s">
        <v>78</v>
      </c>
    </row>
    <row r="4" spans="1:3" x14ac:dyDescent="0.2">
      <c r="B4" t="s">
        <v>9</v>
      </c>
      <c r="C4" t="s">
        <v>82</v>
      </c>
    </row>
    <row r="5" spans="1:3" x14ac:dyDescent="0.2">
      <c r="B5" t="s">
        <v>11</v>
      </c>
      <c r="C5" t="s">
        <v>125</v>
      </c>
    </row>
    <row r="6" spans="1:3" x14ac:dyDescent="0.2">
      <c r="B6" t="s">
        <v>126</v>
      </c>
      <c r="C6" t="s">
        <v>127</v>
      </c>
    </row>
    <row r="7" spans="1:3" x14ac:dyDescent="0.2">
      <c r="B7" t="s">
        <v>103</v>
      </c>
    </row>
    <row r="8" spans="1:3" x14ac:dyDescent="0.2">
      <c r="C8" s="26" t="s">
        <v>124</v>
      </c>
    </row>
  </sheetData>
  <hyperlinks>
    <hyperlink ref="A1" location="Main!A1" display="Ma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K17" sqref="K17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" t="s">
        <v>13</v>
      </c>
    </row>
    <row r="2" spans="1:3" x14ac:dyDescent="0.2">
      <c r="B2" t="s">
        <v>71</v>
      </c>
      <c r="C2" t="s">
        <v>25</v>
      </c>
    </row>
    <row r="3" spans="1:3" x14ac:dyDescent="0.2">
      <c r="B3" t="s">
        <v>72</v>
      </c>
      <c r="C3" t="s">
        <v>26</v>
      </c>
    </row>
    <row r="4" spans="1:3" x14ac:dyDescent="0.2">
      <c r="B4" t="s">
        <v>29</v>
      </c>
      <c r="C4" t="s">
        <v>73</v>
      </c>
    </row>
    <row r="5" spans="1:3" x14ac:dyDescent="0.2">
      <c r="B5" t="s">
        <v>113</v>
      </c>
      <c r="C5" t="s">
        <v>122</v>
      </c>
    </row>
    <row r="6" spans="1:3" x14ac:dyDescent="0.2">
      <c r="B6" t="s">
        <v>103</v>
      </c>
    </row>
    <row r="7" spans="1:3" x14ac:dyDescent="0.2">
      <c r="C7" s="26" t="s">
        <v>108</v>
      </c>
    </row>
    <row r="9" spans="1:3" x14ac:dyDescent="0.2">
      <c r="C9" s="26" t="s">
        <v>109</v>
      </c>
    </row>
    <row r="11" spans="1:3" x14ac:dyDescent="0.2">
      <c r="C11" s="26" t="s">
        <v>111</v>
      </c>
    </row>
    <row r="13" spans="1:3" x14ac:dyDescent="0.2">
      <c r="C13" s="26" t="s">
        <v>112</v>
      </c>
    </row>
    <row r="15" spans="1:3" x14ac:dyDescent="0.2">
      <c r="C15" s="26" t="s">
        <v>134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" t="s">
        <v>13</v>
      </c>
    </row>
    <row r="2" spans="1:3" x14ac:dyDescent="0.2">
      <c r="B2" t="s">
        <v>71</v>
      </c>
    </row>
    <row r="3" spans="1:3" x14ac:dyDescent="0.2">
      <c r="B3" t="s">
        <v>72</v>
      </c>
      <c r="C3" t="s">
        <v>48</v>
      </c>
    </row>
    <row r="4" spans="1:3" x14ac:dyDescent="0.2">
      <c r="B4" t="s">
        <v>11</v>
      </c>
      <c r="C4" t="s">
        <v>100</v>
      </c>
    </row>
    <row r="5" spans="1:3" x14ac:dyDescent="0.2">
      <c r="B5" t="s">
        <v>12</v>
      </c>
      <c r="C5" t="s">
        <v>101</v>
      </c>
    </row>
    <row r="6" spans="1:3" x14ac:dyDescent="0.2">
      <c r="B6" t="s">
        <v>9</v>
      </c>
      <c r="C6" t="s">
        <v>102</v>
      </c>
    </row>
    <row r="7" spans="1:3" x14ac:dyDescent="0.2">
      <c r="B7" t="s">
        <v>105</v>
      </c>
      <c r="C7" t="s">
        <v>106</v>
      </c>
    </row>
    <row r="8" spans="1:3" x14ac:dyDescent="0.2">
      <c r="B8" t="s">
        <v>103</v>
      </c>
    </row>
    <row r="9" spans="1:3" x14ac:dyDescent="0.2">
      <c r="C9" s="26" t="s">
        <v>104</v>
      </c>
    </row>
    <row r="11" spans="1:3" x14ac:dyDescent="0.2">
      <c r="C11" s="26" t="s">
        <v>107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54828</vt:lpstr>
      <vt:lpstr>50465</vt:lpstr>
      <vt:lpstr>39110</vt:lpstr>
      <vt:lpstr>epacadostat</vt:lpstr>
      <vt:lpstr>Jakafi</vt:lpstr>
      <vt:lpstr>baricitinib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2016-06-09T17:34:22Z</dcterms:created>
  <dcterms:modified xsi:type="dcterms:W3CDTF">2016-06-09T20:26:17Z</dcterms:modified>
</cp:coreProperties>
</file>