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0670" windowHeight="1215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6" i="2" l="1"/>
  <c r="K96" i="2"/>
  <c r="J96" i="2"/>
  <c r="L94" i="2"/>
  <c r="K94" i="2"/>
  <c r="J94" i="2"/>
  <c r="L93" i="2"/>
  <c r="K93" i="2"/>
  <c r="J93" i="2"/>
  <c r="I93" i="2"/>
  <c r="H93" i="2"/>
  <c r="G93" i="2"/>
  <c r="L91" i="2"/>
  <c r="K91" i="2"/>
  <c r="J91" i="2"/>
  <c r="L90" i="2"/>
  <c r="K90" i="2"/>
  <c r="J90" i="2"/>
  <c r="I90" i="2"/>
  <c r="H90" i="2"/>
  <c r="G90" i="2"/>
  <c r="L89" i="2"/>
  <c r="K89" i="2"/>
  <c r="J89" i="2"/>
  <c r="I89" i="2"/>
  <c r="H89" i="2"/>
  <c r="G89" i="2"/>
  <c r="L87" i="2"/>
  <c r="K87" i="2"/>
  <c r="J87" i="2"/>
  <c r="L86" i="2"/>
  <c r="K86" i="2"/>
  <c r="J86" i="2"/>
  <c r="J83" i="2"/>
  <c r="J81" i="2"/>
  <c r="J80" i="2"/>
  <c r="J79" i="2"/>
  <c r="J78" i="2"/>
  <c r="J77" i="2"/>
  <c r="J76" i="2"/>
  <c r="J73" i="2"/>
  <c r="J72" i="2"/>
  <c r="J71" i="2"/>
  <c r="J70" i="2"/>
  <c r="J69" i="2"/>
  <c r="J68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G84" i="2"/>
  <c r="H84" i="2"/>
  <c r="I84" i="2"/>
  <c r="I83" i="2"/>
  <c r="I81" i="2"/>
  <c r="I80" i="2"/>
  <c r="I79" i="2"/>
  <c r="I78" i="2"/>
  <c r="I76" i="2"/>
  <c r="I77" i="2"/>
  <c r="I72" i="2"/>
  <c r="I73" i="2"/>
  <c r="I71" i="2"/>
  <c r="I70" i="2"/>
  <c r="I69" i="2"/>
  <c r="I68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H83" i="2"/>
  <c r="H81" i="2"/>
  <c r="H80" i="2"/>
  <c r="H79" i="2"/>
  <c r="H78" i="2"/>
  <c r="H77" i="2"/>
  <c r="H76" i="2"/>
  <c r="H73" i="2"/>
  <c r="H71" i="2"/>
  <c r="H70" i="2"/>
  <c r="H69" i="2"/>
  <c r="H68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82" i="2"/>
  <c r="G82" i="2"/>
  <c r="G77" i="2"/>
  <c r="G74" i="2"/>
  <c r="G73" i="2"/>
  <c r="G71" i="2"/>
  <c r="G70" i="2"/>
  <c r="G66" i="2"/>
  <c r="G48" i="2"/>
  <c r="G49" i="2" s="1"/>
  <c r="G40" i="2"/>
  <c r="G36" i="2"/>
  <c r="G29" i="2"/>
  <c r="G38" i="2" s="1"/>
  <c r="G51" i="2"/>
  <c r="H48" i="2"/>
  <c r="H40" i="2"/>
  <c r="H36" i="2"/>
  <c r="H29" i="2"/>
  <c r="H38" i="2" s="1"/>
  <c r="H51" i="2"/>
  <c r="H49" i="2"/>
  <c r="I51" i="2"/>
  <c r="I48" i="2"/>
  <c r="I40" i="2"/>
  <c r="I28" i="2"/>
  <c r="I36" i="2"/>
  <c r="I29" i="2"/>
  <c r="I38" i="2"/>
  <c r="E26" i="2"/>
  <c r="E25" i="2"/>
  <c r="E16" i="2"/>
  <c r="E14" i="2"/>
  <c r="E11" i="2"/>
  <c r="I16" i="2"/>
  <c r="I14" i="2"/>
  <c r="J51" i="2"/>
  <c r="J48" i="2"/>
  <c r="J40" i="2"/>
  <c r="J49" i="2" s="1"/>
  <c r="J36" i="2"/>
  <c r="J29" i="2"/>
  <c r="J38" i="2"/>
  <c r="L84" i="2"/>
  <c r="L82" i="2"/>
  <c r="L81" i="2"/>
  <c r="L80" i="2"/>
  <c r="L79" i="2"/>
  <c r="L78" i="2"/>
  <c r="L77" i="2"/>
  <c r="L76" i="2"/>
  <c r="L74" i="2"/>
  <c r="L73" i="2"/>
  <c r="L72" i="2"/>
  <c r="L71" i="2"/>
  <c r="L70" i="2"/>
  <c r="L69" i="2"/>
  <c r="L68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K84" i="2"/>
  <c r="K82" i="2"/>
  <c r="K77" i="2"/>
  <c r="K74" i="2"/>
  <c r="K73" i="2"/>
  <c r="K72" i="2"/>
  <c r="K71" i="2"/>
  <c r="K70" i="2"/>
  <c r="K66" i="2"/>
  <c r="L51" i="2"/>
  <c r="K51" i="2"/>
  <c r="K48" i="2"/>
  <c r="K40" i="2"/>
  <c r="K28" i="2" s="1"/>
  <c r="K36" i="2"/>
  <c r="K38" i="2" s="1"/>
  <c r="K29" i="2"/>
  <c r="H26" i="2"/>
  <c r="G26" i="2"/>
  <c r="H25" i="2"/>
  <c r="G25" i="2"/>
  <c r="G16" i="2"/>
  <c r="G14" i="2"/>
  <c r="G11" i="2"/>
  <c r="K23" i="2"/>
  <c r="K16" i="2"/>
  <c r="K11" i="2"/>
  <c r="K14" i="2"/>
  <c r="K15" i="2" s="1"/>
  <c r="L28" i="2"/>
  <c r="L49" i="2"/>
  <c r="L48" i="2"/>
  <c r="L40" i="2"/>
  <c r="L38" i="2"/>
  <c r="L29" i="2"/>
  <c r="L36" i="2"/>
  <c r="H16" i="2"/>
  <c r="H14" i="2"/>
  <c r="H11" i="2"/>
  <c r="L26" i="2"/>
  <c r="L25" i="2"/>
  <c r="L20" i="2"/>
  <c r="L19" i="2"/>
  <c r="L17" i="2"/>
  <c r="L16" i="2"/>
  <c r="L14" i="2"/>
  <c r="L15" i="2" s="1"/>
  <c r="L11" i="2"/>
  <c r="J82" i="2" l="1"/>
  <c r="J74" i="2"/>
  <c r="J66" i="2"/>
  <c r="J84" i="2" s="1"/>
  <c r="I82" i="2"/>
  <c r="I74" i="2"/>
  <c r="I66" i="2"/>
  <c r="H74" i="2"/>
  <c r="H66" i="2"/>
  <c r="G28" i="2"/>
  <c r="H28" i="2"/>
  <c r="I49" i="2"/>
  <c r="E15" i="2"/>
  <c r="E17" i="2" s="1"/>
  <c r="E19" i="2" s="1"/>
  <c r="E20" i="2" s="1"/>
  <c r="I23" i="2"/>
  <c r="I11" i="2"/>
  <c r="J28" i="2"/>
  <c r="K49" i="2"/>
  <c r="G15" i="2"/>
  <c r="G17" i="2" s="1"/>
  <c r="G19" i="2" s="1"/>
  <c r="G20" i="2" s="1"/>
  <c r="K17" i="2"/>
  <c r="K19" i="2" s="1"/>
  <c r="K20" i="2" s="1"/>
  <c r="K26" i="2"/>
  <c r="K25" i="2"/>
  <c r="H15" i="2"/>
  <c r="H17" i="2" s="1"/>
  <c r="H19" i="2" s="1"/>
  <c r="H20" i="2" s="1"/>
  <c r="L23" i="2"/>
  <c r="AA26" i="2"/>
  <c r="Z26" i="2"/>
  <c r="Y26" i="2"/>
  <c r="X26" i="2"/>
  <c r="W26" i="2"/>
  <c r="V26" i="2"/>
  <c r="U26" i="2"/>
  <c r="T26" i="2"/>
  <c r="S26" i="2"/>
  <c r="R26" i="2"/>
  <c r="AA25" i="2"/>
  <c r="Z25" i="2"/>
  <c r="Y25" i="2"/>
  <c r="X25" i="2"/>
  <c r="W25" i="2"/>
  <c r="V25" i="2"/>
  <c r="U25" i="2"/>
  <c r="T25" i="2"/>
  <c r="S25" i="2"/>
  <c r="R25" i="2"/>
  <c r="Q26" i="2"/>
  <c r="Q25" i="2"/>
  <c r="Z23" i="2"/>
  <c r="Y23" i="2"/>
  <c r="X23" i="2"/>
  <c r="W23" i="2"/>
  <c r="V23" i="2"/>
  <c r="U23" i="2"/>
  <c r="T23" i="2"/>
  <c r="S23" i="2"/>
  <c r="R23" i="2"/>
  <c r="AA23" i="2"/>
  <c r="Q16" i="2"/>
  <c r="Q14" i="2"/>
  <c r="Q11" i="2"/>
  <c r="Q15" i="2" s="1"/>
  <c r="R16" i="2"/>
  <c r="R14" i="2"/>
  <c r="R11" i="2"/>
  <c r="R15" i="2" s="1"/>
  <c r="S16" i="2"/>
  <c r="S14" i="2"/>
  <c r="S11" i="2"/>
  <c r="S15" i="2" s="1"/>
  <c r="T16" i="2"/>
  <c r="T14" i="2"/>
  <c r="T11" i="2"/>
  <c r="U16" i="2"/>
  <c r="U14" i="2"/>
  <c r="U11" i="2"/>
  <c r="U15" i="2" s="1"/>
  <c r="V16" i="2"/>
  <c r="V14" i="2"/>
  <c r="V11" i="2"/>
  <c r="J9" i="2"/>
  <c r="J11" i="2" s="1"/>
  <c r="J15" i="2" s="1"/>
  <c r="J17" i="2" s="1"/>
  <c r="J19" i="2" s="1"/>
  <c r="J20" i="2" s="1"/>
  <c r="J14" i="2"/>
  <c r="J16" i="2"/>
  <c r="W16" i="2"/>
  <c r="W14" i="2"/>
  <c r="W11" i="2"/>
  <c r="W15" i="2" s="1"/>
  <c r="X16" i="2"/>
  <c r="X14" i="2"/>
  <c r="X11" i="2"/>
  <c r="X15" i="2" s="1"/>
  <c r="AA16" i="2"/>
  <c r="AA14" i="2"/>
  <c r="AA11" i="2"/>
  <c r="Z16" i="2"/>
  <c r="Z14" i="2"/>
  <c r="Z15" i="2" s="1"/>
  <c r="Z11" i="2"/>
  <c r="Y20" i="2"/>
  <c r="Y19" i="2"/>
  <c r="Y17" i="2"/>
  <c r="Y16" i="2"/>
  <c r="Y15" i="2"/>
  <c r="Y14" i="2"/>
  <c r="Y11" i="2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R2" i="2"/>
  <c r="I25" i="2" l="1"/>
  <c r="I15" i="2"/>
  <c r="Q17" i="2"/>
  <c r="Q19" i="2" s="1"/>
  <c r="Q20" i="2" s="1"/>
  <c r="R17" i="2"/>
  <c r="R19" i="2" s="1"/>
  <c r="R20" i="2" s="1"/>
  <c r="S17" i="2"/>
  <c r="S19" i="2" s="1"/>
  <c r="S20" i="2" s="1"/>
  <c r="T15" i="2"/>
  <c r="T17" i="2"/>
  <c r="T19" i="2" s="1"/>
  <c r="T20" i="2" s="1"/>
  <c r="U17" i="2"/>
  <c r="U19" i="2" s="1"/>
  <c r="U20" i="2" s="1"/>
  <c r="V15" i="2"/>
  <c r="V17" i="2" s="1"/>
  <c r="V19" i="2" s="1"/>
  <c r="V20" i="2" s="1"/>
  <c r="W17" i="2"/>
  <c r="W19" i="2" s="1"/>
  <c r="W20" i="2" s="1"/>
  <c r="X17" i="2"/>
  <c r="X19" i="2" s="1"/>
  <c r="X20" i="2" s="1"/>
  <c r="AA15" i="2"/>
  <c r="AA17" i="2" s="1"/>
  <c r="AA19" i="2" s="1"/>
  <c r="AA20" i="2" s="1"/>
  <c r="Z17" i="2"/>
  <c r="Z19" i="2" s="1"/>
  <c r="Z20" i="2" s="1"/>
  <c r="F9" i="2"/>
  <c r="J23" i="2"/>
  <c r="F16" i="2"/>
  <c r="F14" i="2"/>
  <c r="F11" i="2"/>
  <c r="F15" i="2" s="1"/>
  <c r="F17" i="2" s="1"/>
  <c r="F19" i="2" s="1"/>
  <c r="F20" i="2" s="1"/>
  <c r="L6" i="1"/>
  <c r="L5" i="1"/>
  <c r="L4" i="1"/>
  <c r="L7" i="1" s="1"/>
  <c r="I17" i="2" l="1"/>
  <c r="I19" i="2" s="1"/>
  <c r="I20" i="2" s="1"/>
  <c r="I26" i="2"/>
  <c r="J25" i="2"/>
  <c r="F26" i="2"/>
  <c r="F25" i="2"/>
  <c r="J26" i="2"/>
</calcChain>
</file>

<file path=xl/sharedStrings.xml><?xml version="1.0" encoding="utf-8"?>
<sst xmlns="http://schemas.openxmlformats.org/spreadsheetml/2006/main" count="113" uniqueCount="91">
  <si>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</si>
  <si>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</si>
  <si>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</si>
  <si>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</si>
  <si>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</si>
  <si>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</si>
  <si>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</si>
  <si>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</si>
  <si>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</si>
  <si>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</si>
  <si>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</si>
  <si>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</si>
  <si>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</si>
  <si>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</si>
  <si>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</si>
  <si>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</si>
  <si>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</si>
  <si>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</si>
  <si>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</si>
  <si>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COGS</t>
  </si>
  <si>
    <t>Gross Margin</t>
  </si>
  <si>
    <t>R&amp;D</t>
  </si>
  <si>
    <t>MG&amp;A</t>
  </si>
  <si>
    <t>Operating Expenses</t>
  </si>
  <si>
    <t>Operating Income</t>
  </si>
  <si>
    <t>Other Income</t>
  </si>
  <si>
    <t>Pretax Income</t>
  </si>
  <si>
    <t>Taxes</t>
  </si>
  <si>
    <t>Net Income</t>
  </si>
  <si>
    <t>EPS</t>
  </si>
  <si>
    <t>Revenue Growth y/y</t>
  </si>
  <si>
    <t>Operating Margin</t>
  </si>
  <si>
    <t>Client Computing Group</t>
  </si>
  <si>
    <t>Data Center</t>
  </si>
  <si>
    <t>Other</t>
  </si>
  <si>
    <t>Software</t>
  </si>
  <si>
    <t>Internet of Things</t>
  </si>
  <si>
    <t>Quark</t>
  </si>
  <si>
    <t>Atom</t>
  </si>
  <si>
    <t>Pentium</t>
  </si>
  <si>
    <t>Celeron</t>
  </si>
  <si>
    <t>Core m</t>
  </si>
  <si>
    <t>Core i</t>
  </si>
  <si>
    <t>Xeon</t>
  </si>
  <si>
    <t>Xeon Phi</t>
  </si>
  <si>
    <t>Itanium</t>
  </si>
  <si>
    <t>Assets</t>
  </si>
  <si>
    <t>Goodwill</t>
  </si>
  <si>
    <t>PP&amp;E</t>
  </si>
  <si>
    <t>OCA</t>
  </si>
  <si>
    <t>Inventories</t>
  </si>
  <si>
    <t>AR</t>
  </si>
  <si>
    <t>Trading Assets</t>
  </si>
  <si>
    <t>L+SE</t>
  </si>
  <si>
    <t>SE</t>
  </si>
  <si>
    <t>OLTL</t>
  </si>
  <si>
    <t>DT</t>
  </si>
  <si>
    <t>OAL</t>
  </si>
  <si>
    <t>DR</t>
  </si>
  <si>
    <t>Advertising</t>
  </si>
  <si>
    <t>Compensation</t>
  </si>
  <si>
    <t>AP</t>
  </si>
  <si>
    <t>Net Cash</t>
  </si>
  <si>
    <t>Model NI</t>
  </si>
  <si>
    <t>Reported NI</t>
  </si>
  <si>
    <t>D&amp;A</t>
  </si>
  <si>
    <t>SBC</t>
  </si>
  <si>
    <t>Restructuring</t>
  </si>
  <si>
    <t>ETB</t>
  </si>
  <si>
    <t>Amortization of Intangibles</t>
  </si>
  <si>
    <t>CFFO</t>
  </si>
  <si>
    <t>CapEx</t>
  </si>
  <si>
    <t>Acquisitions</t>
  </si>
  <si>
    <t>Investments</t>
  </si>
  <si>
    <t>Repos</t>
  </si>
  <si>
    <t>CFFI</t>
  </si>
  <si>
    <t>CFFF</t>
  </si>
  <si>
    <t>Dividends</t>
  </si>
  <si>
    <t>RSU</t>
  </si>
  <si>
    <t>Buyback</t>
  </si>
  <si>
    <t>Gain</t>
  </si>
  <si>
    <t>FX</t>
  </si>
  <si>
    <t>CIC</t>
  </si>
  <si>
    <t>TTM CFFO</t>
  </si>
  <si>
    <t xml:space="preserve">  FCF (Less CapEx)</t>
  </si>
  <si>
    <t>Tangible Assets (Less Goodwill)</t>
  </si>
  <si>
    <t>ROTA</t>
  </si>
  <si>
    <t>Buffett Definition (Inventory+Fixed Assets)</t>
  </si>
  <si>
    <t xml:space="preserve">  Return</t>
  </si>
  <si>
    <t>ROE</t>
  </si>
  <si>
    <t>Q117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</si>
</sst>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0</xdr:rowOff>
    </xdr:from>
    <xdr:to>
      <xdr:col>12</xdr:col>
      <xdr:colOff>76200</xdr:colOff>
      <xdr:row>107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658225" y="0"/>
          <a:ext cx="0" cy="17335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</xdr:colOff>
      <xdr:row>0</xdr:row>
      <xdr:rowOff>38100</xdr:rowOff>
    </xdr:from>
    <xdr:to>
      <xdr:col>27</xdr:col>
      <xdr:colOff>38100</xdr:colOff>
      <xdr:row>45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78275" y="38100"/>
          <a:ext cx="0" cy="7191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C2" sqref="C2"/>
    </sheetView>
  </sheetViews>
  <sheetFormatPr defaultRowHeight="12.75" x14ac:dyDescent="0.2"/>
  <sheetData>
    <row r="2" spans="2:13" x14ac:dyDescent="0.2">
      <c r="K2" t="s">
        <v>0</v>
      </c>
      <c r="L2" s="1">
        <v>31.76</v>
      </c>
    </row>
    <row r="3" spans="2:13" x14ac:dyDescent="0.2">
      <c r="B3" t="s">
        <v>37</v>
      </c>
      <c r="K3" t="s">
        <v>1</v>
      </c>
      <c r="L3" s="2">
        <v>4724</v>
      </c>
      <c r="M3" s="3" t="s">
        <v>6</v>
      </c>
    </row>
    <row r="4" spans="2:13" x14ac:dyDescent="0.2">
      <c r="B4" t="s">
        <v>38</v>
      </c>
      <c r="K4" t="s">
        <v>2</v>
      </c>
      <c r="L4" s="2">
        <f>+L2*L3</f>
        <v>150034.24000000002</v>
      </c>
      <c r="M4" s="3"/>
    </row>
    <row r="5" spans="2:13" x14ac:dyDescent="0.2">
      <c r="B5" t="s">
        <v>39</v>
      </c>
      <c r="K5" t="s">
        <v>3</v>
      </c>
      <c r="L5" s="2">
        <f>15308+2682+5960+1891</f>
        <v>25841</v>
      </c>
      <c r="M5" s="3" t="s">
        <v>6</v>
      </c>
    </row>
    <row r="6" spans="2:13" x14ac:dyDescent="0.2">
      <c r="B6" t="s">
        <v>40</v>
      </c>
      <c r="K6" t="s">
        <v>4</v>
      </c>
      <c r="L6" s="2">
        <f>20036+2634</f>
        <v>22670</v>
      </c>
      <c r="M6" s="3" t="s">
        <v>6</v>
      </c>
    </row>
    <row r="7" spans="2:13" x14ac:dyDescent="0.2">
      <c r="B7" t="s">
        <v>41</v>
      </c>
      <c r="K7" t="s">
        <v>5</v>
      </c>
      <c r="L7" s="2">
        <f>+L4-L5+L6</f>
        <v>146863.24000000002</v>
      </c>
    </row>
    <row r="8" spans="2:13" x14ac:dyDescent="0.2">
      <c r="B8" t="s">
        <v>42</v>
      </c>
    </row>
    <row r="9" spans="2:13" x14ac:dyDescent="0.2">
      <c r="B9" t="s">
        <v>43</v>
      </c>
    </row>
    <row r="10" spans="2:13" x14ac:dyDescent="0.2">
      <c r="B10" t="s">
        <v>44</v>
      </c>
    </row>
    <row r="11" spans="2:13" x14ac:dyDescent="0.2">
      <c r="B1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9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8" sqref="G18"/>
    </sheetView>
  </sheetViews>
  <sheetFormatPr defaultRowHeight="12.75" x14ac:dyDescent="0.2"/>
  <cols>
    <col min="2" max="2" width="28.140625" bestFit="1" customWidth="1"/>
    <col min="3" max="16" width="9.140625" style="3"/>
  </cols>
  <sheetData>
    <row r="2" spans="2:57" x14ac:dyDescent="0.2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6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90</v>
      </c>
      <c r="Q2">
        <v>2005</v>
      </c>
      <c r="R2">
        <f>+Q2+1</f>
        <v>2006</v>
      </c>
      <c r="S2">
        <f t="shared" ref="S2:BE2" si="0">+R2+1</f>
        <v>2007</v>
      </c>
      <c r="T2">
        <f t="shared" si="0"/>
        <v>2008</v>
      </c>
      <c r="U2">
        <f t="shared" si="0"/>
        <v>2009</v>
      </c>
      <c r="V2">
        <f t="shared" si="0"/>
        <v>2010</v>
      </c>
      <c r="W2">
        <f t="shared" si="0"/>
        <v>2011</v>
      </c>
      <c r="X2">
        <f t="shared" si="0"/>
        <v>2012</v>
      </c>
      <c r="Y2">
        <f t="shared" si="0"/>
        <v>2013</v>
      </c>
      <c r="Z2">
        <f t="shared" si="0"/>
        <v>2014</v>
      </c>
      <c r="AA2">
        <f t="shared" si="0"/>
        <v>2015</v>
      </c>
      <c r="AB2">
        <f t="shared" si="0"/>
        <v>2016</v>
      </c>
      <c r="AC2">
        <f t="shared" si="0"/>
        <v>2017</v>
      </c>
      <c r="AD2">
        <f t="shared" si="0"/>
        <v>2018</v>
      </c>
      <c r="AE2">
        <f t="shared" si="0"/>
        <v>2019</v>
      </c>
      <c r="AF2">
        <f t="shared" si="0"/>
        <v>2020</v>
      </c>
      <c r="AG2">
        <f t="shared" si="0"/>
        <v>2021</v>
      </c>
      <c r="AH2">
        <f t="shared" si="0"/>
        <v>2022</v>
      </c>
      <c r="AI2">
        <f t="shared" si="0"/>
        <v>2023</v>
      </c>
      <c r="AJ2">
        <f t="shared" si="0"/>
        <v>2024</v>
      </c>
      <c r="AK2">
        <f t="shared" si="0"/>
        <v>2025</v>
      </c>
      <c r="AL2">
        <f t="shared" si="0"/>
        <v>2026</v>
      </c>
      <c r="AM2">
        <f t="shared" si="0"/>
        <v>2027</v>
      </c>
      <c r="AN2">
        <f t="shared" si="0"/>
        <v>2028</v>
      </c>
      <c r="AO2">
        <f t="shared" si="0"/>
        <v>2029</v>
      </c>
      <c r="AP2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  <c r="AU2">
        <f t="shared" si="0"/>
        <v>2035</v>
      </c>
      <c r="AV2">
        <f t="shared" si="0"/>
        <v>2036</v>
      </c>
      <c r="AW2">
        <f t="shared" si="0"/>
        <v>2037</v>
      </c>
      <c r="AX2">
        <f t="shared" si="0"/>
        <v>2038</v>
      </c>
      <c r="AY2">
        <f t="shared" si="0"/>
        <v>2039</v>
      </c>
      <c r="AZ2">
        <f t="shared" si="0"/>
        <v>2040</v>
      </c>
      <c r="BA2">
        <f t="shared" si="0"/>
        <v>2041</v>
      </c>
      <c r="BB2">
        <f t="shared" si="0"/>
        <v>2042</v>
      </c>
      <c r="BC2">
        <f t="shared" si="0"/>
        <v>2043</v>
      </c>
      <c r="BD2">
        <f t="shared" si="0"/>
        <v>2044</v>
      </c>
      <c r="BE2">
        <f t="shared" si="0"/>
        <v>2045</v>
      </c>
    </row>
    <row r="3" spans="2:57" s="2" customFormat="1" x14ac:dyDescent="0.2">
      <c r="B3" s="2" t="s">
        <v>32</v>
      </c>
      <c r="C3" s="5"/>
      <c r="D3" s="5"/>
      <c r="E3" s="5"/>
      <c r="F3" s="5">
        <v>8866</v>
      </c>
      <c r="G3" s="5"/>
      <c r="H3" s="5"/>
      <c r="I3" s="5"/>
      <c r="J3" s="5">
        <v>8756</v>
      </c>
      <c r="K3" s="5"/>
      <c r="L3" s="5"/>
      <c r="M3" s="5"/>
      <c r="N3" s="5"/>
      <c r="O3" s="5"/>
      <c r="P3" s="5"/>
    </row>
    <row r="4" spans="2:57" s="2" customFormat="1" x14ac:dyDescent="0.2">
      <c r="B4" s="2" t="s">
        <v>33</v>
      </c>
      <c r="C4" s="5"/>
      <c r="D4" s="5"/>
      <c r="E4" s="5"/>
      <c r="F4" s="5">
        <v>4091</v>
      </c>
      <c r="G4" s="5"/>
      <c r="H4" s="5"/>
      <c r="I4" s="5"/>
      <c r="J4" s="5">
        <v>4308</v>
      </c>
      <c r="K4" s="5"/>
      <c r="L4" s="5"/>
      <c r="M4" s="5"/>
      <c r="N4" s="5"/>
      <c r="O4" s="5"/>
      <c r="P4" s="5"/>
    </row>
    <row r="5" spans="2:57" s="2" customFormat="1" x14ac:dyDescent="0.2">
      <c r="B5" s="2" t="s">
        <v>36</v>
      </c>
      <c r="C5" s="5"/>
      <c r="D5" s="5"/>
      <c r="E5" s="5"/>
      <c r="F5" s="5">
        <v>591</v>
      </c>
      <c r="G5" s="5"/>
      <c r="H5" s="5"/>
      <c r="I5" s="5"/>
      <c r="J5" s="5">
        <v>625</v>
      </c>
      <c r="K5" s="5"/>
      <c r="L5" s="5"/>
      <c r="M5" s="5"/>
      <c r="N5" s="5"/>
      <c r="O5" s="5"/>
      <c r="P5" s="5"/>
    </row>
    <row r="6" spans="2:57" s="2" customFormat="1" x14ac:dyDescent="0.2">
      <c r="B6" s="2" t="s">
        <v>35</v>
      </c>
      <c r="C6" s="5"/>
      <c r="D6" s="5"/>
      <c r="E6" s="5"/>
      <c r="F6" s="5">
        <v>557</v>
      </c>
      <c r="G6" s="5"/>
      <c r="H6" s="5"/>
      <c r="I6" s="5"/>
      <c r="J6" s="5">
        <v>543</v>
      </c>
      <c r="K6" s="5"/>
      <c r="L6" s="5"/>
      <c r="M6" s="5"/>
      <c r="N6" s="5"/>
      <c r="O6" s="5"/>
      <c r="P6" s="5"/>
    </row>
    <row r="7" spans="2:57" s="2" customFormat="1" x14ac:dyDescent="0.2">
      <c r="B7" s="2" t="s">
        <v>34</v>
      </c>
      <c r="C7" s="5"/>
      <c r="D7" s="5"/>
      <c r="E7" s="5"/>
      <c r="F7" s="5">
        <v>616</v>
      </c>
      <c r="G7" s="5"/>
      <c r="H7" s="5"/>
      <c r="I7" s="5"/>
      <c r="J7" s="5">
        <v>682</v>
      </c>
      <c r="K7" s="5"/>
      <c r="L7" s="5"/>
      <c r="M7" s="5"/>
      <c r="N7" s="5"/>
      <c r="O7" s="5"/>
      <c r="P7" s="5"/>
    </row>
    <row r="9" spans="2:57" s="6" customFormat="1" x14ac:dyDescent="0.2">
      <c r="B9" s="6" t="s">
        <v>7</v>
      </c>
      <c r="C9" s="7"/>
      <c r="D9" s="7"/>
      <c r="E9" s="7">
        <v>14554</v>
      </c>
      <c r="F9" s="7">
        <f>SUM(F3:F7)</f>
        <v>14721</v>
      </c>
      <c r="G9" s="7">
        <v>12781</v>
      </c>
      <c r="H9" s="7">
        <v>13195</v>
      </c>
      <c r="I9" s="7">
        <v>14465</v>
      </c>
      <c r="J9" s="7">
        <f>SUM(J3:J7)</f>
        <v>14914</v>
      </c>
      <c r="K9" s="7">
        <v>13702</v>
      </c>
      <c r="L9" s="7">
        <v>13533</v>
      </c>
      <c r="M9" s="7"/>
      <c r="N9" s="7"/>
      <c r="O9" s="7"/>
      <c r="P9" s="7"/>
      <c r="Q9" s="6">
        <v>38826</v>
      </c>
      <c r="R9" s="6">
        <v>35382</v>
      </c>
      <c r="S9" s="6">
        <v>38334</v>
      </c>
      <c r="T9" s="6">
        <v>37586</v>
      </c>
      <c r="U9" s="6">
        <v>35127</v>
      </c>
      <c r="V9" s="6">
        <v>43623</v>
      </c>
      <c r="W9" s="6">
        <v>53999</v>
      </c>
      <c r="X9" s="6">
        <v>53341</v>
      </c>
      <c r="Y9" s="6">
        <v>52708</v>
      </c>
      <c r="Z9" s="6">
        <v>55870</v>
      </c>
      <c r="AA9" s="6">
        <v>55355</v>
      </c>
    </row>
    <row r="10" spans="2:57" s="2" customFormat="1" x14ac:dyDescent="0.2">
      <c r="B10" s="2" t="s">
        <v>19</v>
      </c>
      <c r="C10" s="5"/>
      <c r="D10" s="5"/>
      <c r="E10" s="5">
        <v>5096</v>
      </c>
      <c r="F10" s="5">
        <v>5100</v>
      </c>
      <c r="G10" s="5">
        <v>5051</v>
      </c>
      <c r="H10" s="5">
        <v>4947</v>
      </c>
      <c r="I10" s="5">
        <v>5354</v>
      </c>
      <c r="J10" s="5">
        <v>5324</v>
      </c>
      <c r="K10" s="5">
        <v>5572</v>
      </c>
      <c r="L10" s="5">
        <v>5560</v>
      </c>
      <c r="M10" s="5"/>
      <c r="N10" s="5"/>
      <c r="O10" s="5"/>
      <c r="P10" s="5"/>
      <c r="Q10" s="2">
        <v>15777</v>
      </c>
      <c r="R10" s="2">
        <v>17164</v>
      </c>
      <c r="S10" s="2">
        <v>18430</v>
      </c>
      <c r="T10" s="2">
        <v>16742</v>
      </c>
      <c r="U10" s="2">
        <v>15566</v>
      </c>
      <c r="V10" s="2">
        <v>15132</v>
      </c>
      <c r="W10" s="2">
        <v>20242</v>
      </c>
      <c r="X10" s="2">
        <v>20190</v>
      </c>
      <c r="Y10" s="2">
        <v>21187</v>
      </c>
      <c r="Z10" s="2">
        <v>20261</v>
      </c>
      <c r="AA10" s="2">
        <v>20676</v>
      </c>
    </row>
    <row r="11" spans="2:57" s="2" customFormat="1" x14ac:dyDescent="0.2">
      <c r="B11" s="2" t="s">
        <v>20</v>
      </c>
      <c r="C11" s="5"/>
      <c r="D11" s="5"/>
      <c r="E11" s="5">
        <f t="shared" ref="E11:L11" si="1">+E9-E10</f>
        <v>9458</v>
      </c>
      <c r="F11" s="5">
        <f t="shared" si="1"/>
        <v>9621</v>
      </c>
      <c r="G11" s="5">
        <f t="shared" si="1"/>
        <v>7730</v>
      </c>
      <c r="H11" s="5">
        <f t="shared" si="1"/>
        <v>8248</v>
      </c>
      <c r="I11" s="5">
        <f t="shared" si="1"/>
        <v>9111</v>
      </c>
      <c r="J11" s="5">
        <f t="shared" si="1"/>
        <v>9590</v>
      </c>
      <c r="K11" s="5">
        <f t="shared" si="1"/>
        <v>8130</v>
      </c>
      <c r="L11" s="5">
        <f t="shared" si="1"/>
        <v>7973</v>
      </c>
      <c r="M11" s="5"/>
      <c r="N11" s="5"/>
      <c r="O11" s="5"/>
      <c r="P11" s="5"/>
      <c r="Q11" s="2">
        <f t="shared" ref="Q11:AA11" si="2">+Q9-Q10</f>
        <v>23049</v>
      </c>
      <c r="R11" s="2">
        <f t="shared" si="2"/>
        <v>18218</v>
      </c>
      <c r="S11" s="2">
        <f t="shared" si="2"/>
        <v>19904</v>
      </c>
      <c r="T11" s="2">
        <f t="shared" si="2"/>
        <v>20844</v>
      </c>
      <c r="U11" s="2">
        <f t="shared" si="2"/>
        <v>19561</v>
      </c>
      <c r="V11" s="2">
        <f t="shared" si="2"/>
        <v>28491</v>
      </c>
      <c r="W11" s="2">
        <f t="shared" si="2"/>
        <v>33757</v>
      </c>
      <c r="X11" s="2">
        <f t="shared" si="2"/>
        <v>33151</v>
      </c>
      <c r="Y11" s="2">
        <f t="shared" si="2"/>
        <v>31521</v>
      </c>
      <c r="Z11" s="2">
        <f t="shared" si="2"/>
        <v>35609</v>
      </c>
      <c r="AA11" s="2">
        <f t="shared" si="2"/>
        <v>34679</v>
      </c>
    </row>
    <row r="12" spans="2:57" s="2" customFormat="1" x14ac:dyDescent="0.2">
      <c r="B12" s="2" t="s">
        <v>21</v>
      </c>
      <c r="C12" s="5"/>
      <c r="D12" s="5"/>
      <c r="E12" s="5">
        <v>2842</v>
      </c>
      <c r="F12" s="5">
        <v>2990</v>
      </c>
      <c r="G12" s="5">
        <v>2995</v>
      </c>
      <c r="H12" s="5">
        <v>3087</v>
      </c>
      <c r="I12" s="5">
        <v>2927</v>
      </c>
      <c r="J12" s="5">
        <v>3119</v>
      </c>
      <c r="K12" s="5">
        <v>3246</v>
      </c>
      <c r="L12" s="5">
        <v>3145</v>
      </c>
      <c r="M12" s="5"/>
      <c r="N12" s="5"/>
      <c r="O12" s="5"/>
      <c r="P12" s="5"/>
      <c r="Q12" s="2">
        <v>5145</v>
      </c>
      <c r="R12" s="2">
        <v>5873</v>
      </c>
      <c r="S12" s="2">
        <v>5755</v>
      </c>
      <c r="T12" s="2">
        <v>5722</v>
      </c>
      <c r="U12" s="2">
        <v>5653</v>
      </c>
      <c r="V12" s="2">
        <v>6576</v>
      </c>
      <c r="W12" s="2">
        <v>8350</v>
      </c>
      <c r="X12" s="2">
        <v>10148</v>
      </c>
      <c r="Y12" s="2">
        <v>10611</v>
      </c>
      <c r="Z12" s="2">
        <v>11537</v>
      </c>
      <c r="AA12" s="2">
        <v>12128</v>
      </c>
    </row>
    <row r="13" spans="2:57" s="2" customFormat="1" x14ac:dyDescent="0.2">
      <c r="B13" s="2" t="s">
        <v>22</v>
      </c>
      <c r="C13" s="5"/>
      <c r="D13" s="5"/>
      <c r="E13" s="5">
        <v>1979</v>
      </c>
      <c r="F13" s="5">
        <v>2049</v>
      </c>
      <c r="G13" s="5">
        <v>1953</v>
      </c>
      <c r="H13" s="5">
        <v>1949</v>
      </c>
      <c r="I13" s="5">
        <v>1910</v>
      </c>
      <c r="J13" s="5">
        <v>2118</v>
      </c>
      <c r="K13" s="5">
        <v>2226</v>
      </c>
      <c r="L13" s="5">
        <v>2007</v>
      </c>
      <c r="M13" s="5"/>
      <c r="N13" s="5"/>
      <c r="O13" s="5"/>
      <c r="P13" s="5"/>
      <c r="Q13" s="2">
        <v>5688</v>
      </c>
      <c r="R13" s="2">
        <v>6096</v>
      </c>
      <c r="S13" s="2">
        <v>5401</v>
      </c>
      <c r="T13" s="2">
        <v>5452</v>
      </c>
      <c r="U13" s="2">
        <v>7931</v>
      </c>
      <c r="V13" s="2">
        <v>6309</v>
      </c>
      <c r="W13" s="2">
        <v>7670</v>
      </c>
      <c r="X13" s="2">
        <v>8057</v>
      </c>
      <c r="Y13" s="2">
        <v>8088</v>
      </c>
      <c r="Z13" s="2">
        <v>8136</v>
      </c>
      <c r="AA13" s="2">
        <v>7930</v>
      </c>
    </row>
    <row r="14" spans="2:57" s="2" customFormat="1" x14ac:dyDescent="0.2">
      <c r="B14" s="2" t="s">
        <v>23</v>
      </c>
      <c r="C14" s="5"/>
      <c r="D14" s="5"/>
      <c r="E14" s="5">
        <f t="shared" ref="E14:L14" si="3">+E12+E13</f>
        <v>4821</v>
      </c>
      <c r="F14" s="5">
        <f t="shared" si="3"/>
        <v>5039</v>
      </c>
      <c r="G14" s="5">
        <f t="shared" si="3"/>
        <v>4948</v>
      </c>
      <c r="H14" s="5">
        <f t="shared" si="3"/>
        <v>5036</v>
      </c>
      <c r="I14" s="5">
        <f t="shared" si="3"/>
        <v>4837</v>
      </c>
      <c r="J14" s="5">
        <f t="shared" si="3"/>
        <v>5237</v>
      </c>
      <c r="K14" s="5">
        <f t="shared" si="3"/>
        <v>5472</v>
      </c>
      <c r="L14" s="5">
        <f t="shared" si="3"/>
        <v>5152</v>
      </c>
      <c r="M14" s="5"/>
      <c r="N14" s="5"/>
      <c r="O14" s="5"/>
      <c r="P14" s="5"/>
      <c r="Q14" s="2">
        <f t="shared" ref="Q14:AA14" si="4">+Q13+Q12</f>
        <v>10833</v>
      </c>
      <c r="R14" s="2">
        <f t="shared" si="4"/>
        <v>11969</v>
      </c>
      <c r="S14" s="2">
        <f t="shared" si="4"/>
        <v>11156</v>
      </c>
      <c r="T14" s="2">
        <f t="shared" si="4"/>
        <v>11174</v>
      </c>
      <c r="U14" s="2">
        <f t="shared" si="4"/>
        <v>13584</v>
      </c>
      <c r="V14" s="2">
        <f t="shared" si="4"/>
        <v>12885</v>
      </c>
      <c r="W14" s="2">
        <f t="shared" si="4"/>
        <v>16020</v>
      </c>
      <c r="X14" s="2">
        <f t="shared" si="4"/>
        <v>18205</v>
      </c>
      <c r="Y14" s="2">
        <f t="shared" si="4"/>
        <v>18699</v>
      </c>
      <c r="Z14" s="2">
        <f t="shared" si="4"/>
        <v>19673</v>
      </c>
      <c r="AA14" s="2">
        <f t="shared" si="4"/>
        <v>20058</v>
      </c>
    </row>
    <row r="15" spans="2:57" s="2" customFormat="1" x14ac:dyDescent="0.2">
      <c r="B15" s="2" t="s">
        <v>24</v>
      </c>
      <c r="C15" s="5"/>
      <c r="D15" s="5"/>
      <c r="E15" s="5">
        <f t="shared" ref="E15:L15" si="5">+E11-E14</f>
        <v>4637</v>
      </c>
      <c r="F15" s="5">
        <f t="shared" si="5"/>
        <v>4582</v>
      </c>
      <c r="G15" s="5">
        <f t="shared" si="5"/>
        <v>2782</v>
      </c>
      <c r="H15" s="5">
        <f t="shared" si="5"/>
        <v>3212</v>
      </c>
      <c r="I15" s="5">
        <f t="shared" si="5"/>
        <v>4274</v>
      </c>
      <c r="J15" s="5">
        <f t="shared" si="5"/>
        <v>4353</v>
      </c>
      <c r="K15" s="5">
        <f t="shared" si="5"/>
        <v>2658</v>
      </c>
      <c r="L15" s="5">
        <f t="shared" si="5"/>
        <v>2821</v>
      </c>
      <c r="M15" s="5"/>
      <c r="N15" s="5"/>
      <c r="O15" s="5"/>
      <c r="P15" s="5"/>
      <c r="Q15" s="2">
        <f t="shared" ref="Q15:AA15" si="6">+Q11-Q14</f>
        <v>12216</v>
      </c>
      <c r="R15" s="2">
        <f t="shared" si="6"/>
        <v>6249</v>
      </c>
      <c r="S15" s="2">
        <f t="shared" si="6"/>
        <v>8748</v>
      </c>
      <c r="T15" s="2">
        <f t="shared" si="6"/>
        <v>9670</v>
      </c>
      <c r="U15" s="2">
        <f t="shared" si="6"/>
        <v>5977</v>
      </c>
      <c r="V15" s="2">
        <f t="shared" si="6"/>
        <v>15606</v>
      </c>
      <c r="W15" s="2">
        <f t="shared" si="6"/>
        <v>17737</v>
      </c>
      <c r="X15" s="2">
        <f t="shared" si="6"/>
        <v>14946</v>
      </c>
      <c r="Y15" s="2">
        <f t="shared" si="6"/>
        <v>12822</v>
      </c>
      <c r="Z15" s="2">
        <f t="shared" si="6"/>
        <v>15936</v>
      </c>
      <c r="AA15" s="2">
        <f t="shared" si="6"/>
        <v>14621</v>
      </c>
    </row>
    <row r="16" spans="2:57" s="2" customFormat="1" x14ac:dyDescent="0.2">
      <c r="B16" s="2" t="s">
        <v>25</v>
      </c>
      <c r="C16" s="5"/>
      <c r="D16" s="5"/>
      <c r="E16" s="5">
        <f>35-25</f>
        <v>10</v>
      </c>
      <c r="F16" s="5">
        <f>233-27</f>
        <v>206</v>
      </c>
      <c r="G16" s="5">
        <f>32+26</f>
        <v>58</v>
      </c>
      <c r="H16" s="5">
        <f>100-13</f>
        <v>87</v>
      </c>
      <c r="I16" s="5">
        <f>165-104</f>
        <v>61</v>
      </c>
      <c r="J16" s="5">
        <f>18-14</f>
        <v>4</v>
      </c>
      <c r="K16" s="5">
        <f>22-82</f>
        <v>-60</v>
      </c>
      <c r="L16" s="5">
        <f>478-126</f>
        <v>352</v>
      </c>
      <c r="M16" s="5"/>
      <c r="N16" s="5"/>
      <c r="O16" s="5"/>
      <c r="P16" s="5"/>
      <c r="Q16" s="2">
        <f>-45+565</f>
        <v>520</v>
      </c>
      <c r="R16" s="2">
        <f>214+1202</f>
        <v>1416</v>
      </c>
      <c r="S16" s="2">
        <f>157+793</f>
        <v>950</v>
      </c>
      <c r="T16" s="2">
        <f>-1380-376+488</f>
        <v>-1268</v>
      </c>
      <c r="U16" s="2">
        <f>-147-23+163</f>
        <v>-7</v>
      </c>
      <c r="V16" s="2">
        <f>348+109</f>
        <v>457</v>
      </c>
      <c r="W16" s="2">
        <f>112+192</f>
        <v>304</v>
      </c>
      <c r="X16" s="2">
        <f>141+94</f>
        <v>235</v>
      </c>
      <c r="Y16" s="2">
        <f>471-151</f>
        <v>320</v>
      </c>
      <c r="Z16" s="2">
        <f>411+43</f>
        <v>454</v>
      </c>
      <c r="AA16" s="2">
        <f>315-105</f>
        <v>210</v>
      </c>
    </row>
    <row r="17" spans="2:27" s="2" customFormat="1" x14ac:dyDescent="0.2">
      <c r="B17" s="2" t="s">
        <v>26</v>
      </c>
      <c r="C17" s="5"/>
      <c r="D17" s="5"/>
      <c r="E17" s="5">
        <f t="shared" ref="E17:L17" si="7">+E15+E16</f>
        <v>4647</v>
      </c>
      <c r="F17" s="5">
        <f t="shared" si="7"/>
        <v>4788</v>
      </c>
      <c r="G17" s="5">
        <f t="shared" si="7"/>
        <v>2840</v>
      </c>
      <c r="H17" s="5">
        <f t="shared" si="7"/>
        <v>3299</v>
      </c>
      <c r="I17" s="5">
        <f t="shared" si="7"/>
        <v>4335</v>
      </c>
      <c r="J17" s="5">
        <f t="shared" si="7"/>
        <v>4357</v>
      </c>
      <c r="K17" s="5">
        <f t="shared" si="7"/>
        <v>2598</v>
      </c>
      <c r="L17" s="5">
        <f t="shared" si="7"/>
        <v>3173</v>
      </c>
      <c r="M17" s="5"/>
      <c r="N17" s="5"/>
      <c r="O17" s="5"/>
      <c r="P17" s="5"/>
      <c r="Q17" s="2">
        <f t="shared" ref="Q17:AA17" si="8">+Q16+Q15</f>
        <v>12736</v>
      </c>
      <c r="R17" s="2">
        <f t="shared" si="8"/>
        <v>7665</v>
      </c>
      <c r="S17" s="2">
        <f t="shared" si="8"/>
        <v>9698</v>
      </c>
      <c r="T17" s="2">
        <f t="shared" si="8"/>
        <v>8402</v>
      </c>
      <c r="U17" s="2">
        <f t="shared" si="8"/>
        <v>5970</v>
      </c>
      <c r="V17" s="2">
        <f t="shared" si="8"/>
        <v>16063</v>
      </c>
      <c r="W17" s="2">
        <f t="shared" si="8"/>
        <v>18041</v>
      </c>
      <c r="X17" s="2">
        <f t="shared" si="8"/>
        <v>15181</v>
      </c>
      <c r="Y17" s="2">
        <f t="shared" si="8"/>
        <v>13142</v>
      </c>
      <c r="Z17" s="2">
        <f t="shared" si="8"/>
        <v>16390</v>
      </c>
      <c r="AA17" s="2">
        <f t="shared" si="8"/>
        <v>14831</v>
      </c>
    </row>
    <row r="18" spans="2:27" s="2" customFormat="1" x14ac:dyDescent="0.2">
      <c r="B18" s="2" t="s">
        <v>27</v>
      </c>
      <c r="C18" s="5"/>
      <c r="D18" s="5"/>
      <c r="E18" s="5">
        <v>1233</v>
      </c>
      <c r="F18" s="5">
        <v>998</v>
      </c>
      <c r="G18" s="5">
        <v>681</v>
      </c>
      <c r="H18" s="5">
        <v>277</v>
      </c>
      <c r="I18" s="5">
        <v>1144</v>
      </c>
      <c r="J18" s="5">
        <v>690</v>
      </c>
      <c r="K18" s="5">
        <v>462</v>
      </c>
      <c r="L18" s="5">
        <v>340</v>
      </c>
      <c r="M18" s="5"/>
      <c r="N18" s="5"/>
      <c r="O18" s="5"/>
      <c r="P18" s="5"/>
      <c r="Q18" s="2">
        <v>3946</v>
      </c>
      <c r="R18" s="2">
        <v>2024</v>
      </c>
      <c r="S18" s="2">
        <v>2190</v>
      </c>
      <c r="T18" s="2">
        <v>2394</v>
      </c>
      <c r="U18" s="2">
        <v>1335</v>
      </c>
      <c r="V18" s="2">
        <v>4581</v>
      </c>
      <c r="W18" s="2">
        <v>4839</v>
      </c>
      <c r="X18" s="2">
        <v>3868</v>
      </c>
      <c r="Y18" s="2">
        <v>2991</v>
      </c>
      <c r="Z18" s="2">
        <v>4097</v>
      </c>
      <c r="AA18" s="2">
        <v>2792</v>
      </c>
    </row>
    <row r="19" spans="2:27" s="2" customFormat="1" x14ac:dyDescent="0.2">
      <c r="B19" s="2" t="s">
        <v>28</v>
      </c>
      <c r="C19" s="5"/>
      <c r="D19" s="5"/>
      <c r="E19" s="5">
        <f t="shared" ref="E19:L19" si="9">+E17-E18</f>
        <v>3414</v>
      </c>
      <c r="F19" s="5">
        <f t="shared" si="9"/>
        <v>3790</v>
      </c>
      <c r="G19" s="5">
        <f t="shared" si="9"/>
        <v>2159</v>
      </c>
      <c r="H19" s="5">
        <f t="shared" si="9"/>
        <v>3022</v>
      </c>
      <c r="I19" s="5">
        <f t="shared" si="9"/>
        <v>3191</v>
      </c>
      <c r="J19" s="5">
        <f t="shared" si="9"/>
        <v>3667</v>
      </c>
      <c r="K19" s="5">
        <f t="shared" si="9"/>
        <v>2136</v>
      </c>
      <c r="L19" s="5">
        <f t="shared" si="9"/>
        <v>2833</v>
      </c>
      <c r="M19" s="5"/>
      <c r="N19" s="5"/>
      <c r="O19" s="5"/>
      <c r="P19" s="5"/>
      <c r="Q19" s="2">
        <f t="shared" ref="Q19:AA19" si="10">+Q17-Q18</f>
        <v>8790</v>
      </c>
      <c r="R19" s="2">
        <f t="shared" si="10"/>
        <v>5641</v>
      </c>
      <c r="S19" s="2">
        <f t="shared" si="10"/>
        <v>7508</v>
      </c>
      <c r="T19" s="2">
        <f t="shared" si="10"/>
        <v>6008</v>
      </c>
      <c r="U19" s="2">
        <f t="shared" si="10"/>
        <v>4635</v>
      </c>
      <c r="V19" s="2">
        <f t="shared" si="10"/>
        <v>11482</v>
      </c>
      <c r="W19" s="2">
        <f t="shared" si="10"/>
        <v>13202</v>
      </c>
      <c r="X19" s="2">
        <f t="shared" si="10"/>
        <v>11313</v>
      </c>
      <c r="Y19" s="2">
        <f t="shared" si="10"/>
        <v>10151</v>
      </c>
      <c r="Z19" s="2">
        <f t="shared" si="10"/>
        <v>12293</v>
      </c>
      <c r="AA19" s="2">
        <f t="shared" si="10"/>
        <v>12039</v>
      </c>
    </row>
    <row r="20" spans="2:27" x14ac:dyDescent="0.2">
      <c r="B20" s="2" t="s">
        <v>29</v>
      </c>
      <c r="E20" s="4">
        <f t="shared" ref="E20:L20" si="11">E19/E21</f>
        <v>0.67670961347869174</v>
      </c>
      <c r="F20" s="4">
        <f t="shared" si="11"/>
        <v>0.76720647773279349</v>
      </c>
      <c r="G20" s="4">
        <f t="shared" si="11"/>
        <v>0.43935693935693937</v>
      </c>
      <c r="H20" s="4">
        <f t="shared" si="11"/>
        <v>0.61560399266653087</v>
      </c>
      <c r="I20" s="4">
        <f t="shared" si="11"/>
        <v>0.65442986054142738</v>
      </c>
      <c r="J20" s="4">
        <f t="shared" si="11"/>
        <v>0.75205086136177191</v>
      </c>
      <c r="K20" s="4">
        <f t="shared" si="11"/>
        <v>0.43815384615384617</v>
      </c>
      <c r="L20" s="4">
        <f t="shared" si="11"/>
        <v>0.58220304151253599</v>
      </c>
      <c r="Q20" s="1">
        <f t="shared" ref="Q20:AA20" si="12">Q19/Q21</f>
        <v>1.4227905471026223</v>
      </c>
      <c r="R20" s="1">
        <f t="shared" si="12"/>
        <v>0.95935374149659869</v>
      </c>
      <c r="S20" s="1">
        <f t="shared" si="12"/>
        <v>1.2648247978436657</v>
      </c>
      <c r="T20" s="1">
        <f t="shared" si="12"/>
        <v>1.0452331245650661</v>
      </c>
      <c r="U20" s="1">
        <f t="shared" si="12"/>
        <v>0.8210806023029229</v>
      </c>
      <c r="V20" s="1">
        <f t="shared" si="12"/>
        <v>2.0158005617977528</v>
      </c>
      <c r="W20" s="1">
        <f t="shared" si="12"/>
        <v>2.4398447606727038</v>
      </c>
      <c r="X20" s="1">
        <f t="shared" si="12"/>
        <v>2.1924418604651161</v>
      </c>
      <c r="Y20" s="1">
        <f t="shared" si="12"/>
        <v>1.9915636649009221</v>
      </c>
      <c r="Z20" s="1">
        <f t="shared" si="12"/>
        <v>2.431368670886076</v>
      </c>
      <c r="AA20" s="1">
        <f t="shared" si="12"/>
        <v>2.4599509603596239</v>
      </c>
    </row>
    <row r="21" spans="2:27" s="2" customFormat="1" x14ac:dyDescent="0.2">
      <c r="B21" s="2" t="s">
        <v>1</v>
      </c>
      <c r="C21" s="5"/>
      <c r="D21" s="5"/>
      <c r="E21" s="5">
        <v>5045</v>
      </c>
      <c r="F21" s="5">
        <v>4940</v>
      </c>
      <c r="G21" s="5">
        <v>4914</v>
      </c>
      <c r="H21" s="5">
        <v>4909</v>
      </c>
      <c r="I21" s="5">
        <v>4876</v>
      </c>
      <c r="J21" s="5">
        <v>4876</v>
      </c>
      <c r="K21" s="5">
        <v>4875</v>
      </c>
      <c r="L21" s="5">
        <v>4866</v>
      </c>
      <c r="M21" s="5"/>
      <c r="N21" s="5"/>
      <c r="O21" s="5"/>
      <c r="P21" s="5"/>
      <c r="Q21" s="2">
        <v>6178</v>
      </c>
      <c r="R21" s="2">
        <v>5880</v>
      </c>
      <c r="S21" s="2">
        <v>5936</v>
      </c>
      <c r="T21" s="2">
        <v>5748</v>
      </c>
      <c r="U21" s="2">
        <v>5645</v>
      </c>
      <c r="V21" s="2">
        <v>5696</v>
      </c>
      <c r="W21" s="2">
        <v>5411</v>
      </c>
      <c r="X21" s="2">
        <v>5160</v>
      </c>
      <c r="Y21" s="2">
        <v>5097</v>
      </c>
      <c r="Z21" s="2">
        <v>5056</v>
      </c>
      <c r="AA21" s="2">
        <v>4894</v>
      </c>
    </row>
    <row r="23" spans="2:27" x14ac:dyDescent="0.2">
      <c r="B23" s="2" t="s">
        <v>30</v>
      </c>
      <c r="I23" s="8">
        <f>I9/E9-1</f>
        <v>-6.1151573450597407E-3</v>
      </c>
      <c r="J23" s="8">
        <f>J9/F9-1</f>
        <v>1.3110522382990375E-2</v>
      </c>
      <c r="K23" s="8">
        <f>K9/G9-1</f>
        <v>7.2060089194898591E-2</v>
      </c>
      <c r="L23" s="8">
        <f>L9/H9-1</f>
        <v>2.5615763546797954E-2</v>
      </c>
      <c r="R23" s="9">
        <f t="shared" ref="R23:Z23" si="13">R9/Q9-1</f>
        <v>-8.8703446144336229E-2</v>
      </c>
      <c r="S23" s="9">
        <f t="shared" si="13"/>
        <v>8.3432253688316083E-2</v>
      </c>
      <c r="T23" s="9">
        <f t="shared" si="13"/>
        <v>-1.9512704126884772E-2</v>
      </c>
      <c r="U23" s="9">
        <f t="shared" si="13"/>
        <v>-6.5423295908050849E-2</v>
      </c>
      <c r="V23" s="9">
        <f t="shared" si="13"/>
        <v>0.2418652318729182</v>
      </c>
      <c r="W23" s="9">
        <f t="shared" si="13"/>
        <v>0.2378561767874745</v>
      </c>
      <c r="X23" s="9">
        <f t="shared" si="13"/>
        <v>-1.2185410840941491E-2</v>
      </c>
      <c r="Y23" s="9">
        <f t="shared" si="13"/>
        <v>-1.1867044112408798E-2</v>
      </c>
      <c r="Z23" s="9">
        <f t="shared" si="13"/>
        <v>5.9990893223040187E-2</v>
      </c>
      <c r="AA23" s="9">
        <f>AA9/Z9-1</f>
        <v>-9.2178270986218447E-3</v>
      </c>
    </row>
    <row r="25" spans="2:27" x14ac:dyDescent="0.2">
      <c r="B25" s="2" t="s">
        <v>20</v>
      </c>
      <c r="E25" s="8">
        <f>E11/E9</f>
        <v>0.64985570977050977</v>
      </c>
      <c r="F25" s="8">
        <f>F11/F9</f>
        <v>0.65355614428367637</v>
      </c>
      <c r="G25" s="8">
        <f t="shared" ref="G25:H25" si="14">G11/G9</f>
        <v>0.60480400594632655</v>
      </c>
      <c r="H25" s="8">
        <f t="shared" si="14"/>
        <v>0.62508525956801819</v>
      </c>
      <c r="I25" s="8">
        <f>I11/I9</f>
        <v>0.6298651918423781</v>
      </c>
      <c r="J25" s="8">
        <f>J11/J9</f>
        <v>0.64301998122569393</v>
      </c>
      <c r="K25" s="8">
        <f t="shared" ref="K25:L25" si="15">K11/K9</f>
        <v>0.59334403736680774</v>
      </c>
      <c r="L25" s="8">
        <f t="shared" si="15"/>
        <v>0.58915244217837881</v>
      </c>
      <c r="Q25" s="8">
        <f>Q11/Q9</f>
        <v>0.59364858599907278</v>
      </c>
      <c r="R25" s="8">
        <f t="shared" ref="R25:AA25" si="16">R11/R9</f>
        <v>0.51489457916454695</v>
      </c>
      <c r="S25" s="8">
        <f t="shared" si="16"/>
        <v>0.51922575259560699</v>
      </c>
      <c r="T25" s="8">
        <f t="shared" si="16"/>
        <v>0.55456819028361626</v>
      </c>
      <c r="U25" s="8">
        <f t="shared" si="16"/>
        <v>0.55686508953226865</v>
      </c>
      <c r="V25" s="8">
        <f t="shared" si="16"/>
        <v>0.65311876762258436</v>
      </c>
      <c r="W25" s="8">
        <f t="shared" si="16"/>
        <v>0.62514120631863557</v>
      </c>
      <c r="X25" s="8">
        <f t="shared" si="16"/>
        <v>0.62149191053786024</v>
      </c>
      <c r="Y25" s="8">
        <f t="shared" si="16"/>
        <v>0.5980306594824315</v>
      </c>
      <c r="Z25" s="8">
        <f t="shared" si="16"/>
        <v>0.6373545731161625</v>
      </c>
      <c r="AA25" s="8">
        <f t="shared" si="16"/>
        <v>0.62648360581699936</v>
      </c>
    </row>
    <row r="26" spans="2:27" x14ac:dyDescent="0.2">
      <c r="B26" t="s">
        <v>31</v>
      </c>
      <c r="E26" s="8">
        <f>E15/E9</f>
        <v>0.31860656864092346</v>
      </c>
      <c r="F26" s="8">
        <f>F15/F9</f>
        <v>0.31125602880239112</v>
      </c>
      <c r="G26" s="8">
        <f t="shared" ref="G26:H26" si="17">G15/G9</f>
        <v>0.21766684922932478</v>
      </c>
      <c r="H26" s="8">
        <f t="shared" si="17"/>
        <v>0.24342553997726413</v>
      </c>
      <c r="I26" s="8">
        <f>I15/I9</f>
        <v>0.29547182855167647</v>
      </c>
      <c r="J26" s="8">
        <f>J15/J9</f>
        <v>0.29187340753654284</v>
      </c>
      <c r="K26" s="8">
        <f t="shared" ref="K26:L26" si="18">K15/K9</f>
        <v>0.19398627937527368</v>
      </c>
      <c r="L26" s="8">
        <f t="shared" si="18"/>
        <v>0.20845341018251681</v>
      </c>
      <c r="Q26" s="8">
        <f>Q15/Q9</f>
        <v>0.31463452325761088</v>
      </c>
      <c r="R26" s="8">
        <f t="shared" ref="R26:AA26" si="19">R15/R9</f>
        <v>0.17661522808207564</v>
      </c>
      <c r="S26" s="8">
        <f t="shared" si="19"/>
        <v>0.22820472687431523</v>
      </c>
      <c r="T26" s="8">
        <f t="shared" si="19"/>
        <v>0.25727664555951685</v>
      </c>
      <c r="U26" s="8">
        <f t="shared" si="19"/>
        <v>0.17015401258291343</v>
      </c>
      <c r="V26" s="8">
        <f t="shared" si="19"/>
        <v>0.35774706003713636</v>
      </c>
      <c r="W26" s="8">
        <f t="shared" si="19"/>
        <v>0.32846904572306895</v>
      </c>
      <c r="X26" s="8">
        <f t="shared" si="19"/>
        <v>0.28019722164938787</v>
      </c>
      <c r="Y26" s="8">
        <f t="shared" si="19"/>
        <v>0.24326477954010775</v>
      </c>
      <c r="Z26" s="8">
        <f t="shared" si="19"/>
        <v>0.28523357794880971</v>
      </c>
      <c r="AA26" s="8">
        <f t="shared" si="19"/>
        <v>0.26413151476831359</v>
      </c>
    </row>
    <row r="28" spans="2:27" x14ac:dyDescent="0.2">
      <c r="B28" t="s">
        <v>62</v>
      </c>
      <c r="G28" s="5">
        <f t="shared" ref="G28" si="20">G29-G40</f>
        <v>1099</v>
      </c>
      <c r="H28" s="5">
        <f t="shared" ref="H28" si="21">H29-H40</f>
        <v>2761</v>
      </c>
      <c r="I28" s="5">
        <f>I29-I40</f>
        <v>443</v>
      </c>
      <c r="J28" s="5">
        <f>J29-J40</f>
        <v>3171</v>
      </c>
      <c r="K28" s="5">
        <f>K29-K40</f>
        <v>-9907</v>
      </c>
      <c r="L28" s="5">
        <f>L29-L40</f>
        <v>-11466</v>
      </c>
    </row>
    <row r="29" spans="2:27" s="2" customFormat="1" x14ac:dyDescent="0.2">
      <c r="B29" s="2" t="s">
        <v>3</v>
      </c>
      <c r="C29" s="5"/>
      <c r="D29" s="5"/>
      <c r="E29" s="5"/>
      <c r="F29" s="5"/>
      <c r="G29" s="5">
        <f>4244+1864+6549+1675</f>
        <v>14332</v>
      </c>
      <c r="H29" s="5">
        <f>4454+2606+7208+1727</f>
        <v>15995</v>
      </c>
      <c r="I29" s="5">
        <f>7065+7119+5618+1829</f>
        <v>21631</v>
      </c>
      <c r="J29" s="5">
        <f>15308+2682+5960+1891</f>
        <v>25841</v>
      </c>
      <c r="K29" s="5">
        <f>3061+2927+6377+3097</f>
        <v>15462</v>
      </c>
      <c r="L29" s="5">
        <f>3885+4301+5394+3567</f>
        <v>17147</v>
      </c>
      <c r="M29" s="5"/>
      <c r="N29" s="5"/>
      <c r="O29" s="5"/>
      <c r="P29" s="5"/>
    </row>
    <row r="30" spans="2:27" s="2" customFormat="1" x14ac:dyDescent="0.2">
      <c r="B30" s="2" t="s">
        <v>52</v>
      </c>
      <c r="C30" s="5"/>
      <c r="D30" s="5"/>
      <c r="E30" s="5"/>
      <c r="F30" s="5"/>
      <c r="G30" s="5">
        <v>8010</v>
      </c>
      <c r="H30" s="5">
        <v>6810</v>
      </c>
      <c r="I30" s="5">
        <v>6659</v>
      </c>
      <c r="J30" s="5">
        <v>7323</v>
      </c>
      <c r="K30" s="5">
        <v>9103</v>
      </c>
      <c r="L30" s="5">
        <v>9503</v>
      </c>
      <c r="M30" s="5"/>
      <c r="N30" s="5"/>
      <c r="O30" s="5"/>
      <c r="P30" s="5"/>
    </row>
    <row r="31" spans="2:27" s="2" customFormat="1" x14ac:dyDescent="0.2">
      <c r="B31" s="2" t="s">
        <v>51</v>
      </c>
      <c r="C31" s="5"/>
      <c r="D31" s="5"/>
      <c r="E31" s="5"/>
      <c r="F31" s="5"/>
      <c r="G31" s="5">
        <v>3246</v>
      </c>
      <c r="H31" s="5">
        <v>3860</v>
      </c>
      <c r="I31" s="5">
        <v>4101</v>
      </c>
      <c r="J31" s="5">
        <v>4787</v>
      </c>
      <c r="K31" s="5">
        <v>4216</v>
      </c>
      <c r="L31" s="5">
        <v>4426</v>
      </c>
      <c r="M31" s="5"/>
      <c r="N31" s="5"/>
      <c r="O31" s="5"/>
      <c r="P31" s="5"/>
    </row>
    <row r="32" spans="2:27" s="2" customFormat="1" x14ac:dyDescent="0.2">
      <c r="B32" s="2" t="s">
        <v>50</v>
      </c>
      <c r="C32" s="5"/>
      <c r="D32" s="5"/>
      <c r="E32" s="5"/>
      <c r="F32" s="5"/>
      <c r="G32" s="5">
        <v>4418</v>
      </c>
      <c r="H32" s="5">
        <v>4818</v>
      </c>
      <c r="I32" s="5">
        <v>4965</v>
      </c>
      <c r="J32" s="5">
        <v>5167</v>
      </c>
      <c r="K32" s="5">
        <v>5751</v>
      </c>
      <c r="L32" s="5">
        <v>5800</v>
      </c>
      <c r="M32" s="5"/>
      <c r="N32" s="5"/>
      <c r="O32" s="5"/>
      <c r="P32" s="5"/>
    </row>
    <row r="33" spans="2:16" s="2" customFormat="1" x14ac:dyDescent="0.2">
      <c r="B33" s="2" t="s">
        <v>56</v>
      </c>
      <c r="C33" s="5"/>
      <c r="D33" s="5"/>
      <c r="E33" s="5"/>
      <c r="F33" s="5"/>
      <c r="G33" s="5">
        <v>2048</v>
      </c>
      <c r="H33" s="5">
        <v>1895</v>
      </c>
      <c r="I33" s="5">
        <v>1992</v>
      </c>
      <c r="J33" s="5">
        <v>2036</v>
      </c>
      <c r="K33" s="5">
        <v>0</v>
      </c>
      <c r="L33" s="5">
        <v>0</v>
      </c>
      <c r="M33" s="5"/>
      <c r="N33" s="5"/>
      <c r="O33" s="5"/>
      <c r="P33" s="5"/>
    </row>
    <row r="34" spans="2:16" s="2" customFormat="1" x14ac:dyDescent="0.2">
      <c r="B34" s="2" t="s">
        <v>49</v>
      </c>
      <c r="C34" s="5"/>
      <c r="D34" s="5"/>
      <c r="E34" s="5"/>
      <c r="F34" s="5"/>
      <c r="G34" s="5">
        <v>2636</v>
      </c>
      <c r="H34" s="5">
        <v>2267</v>
      </c>
      <c r="I34" s="5">
        <v>4304</v>
      </c>
      <c r="J34" s="5">
        <v>3053</v>
      </c>
      <c r="K34" s="5">
        <v>2339</v>
      </c>
      <c r="L34" s="5">
        <v>3273</v>
      </c>
      <c r="M34" s="5"/>
      <c r="N34" s="5"/>
      <c r="O34" s="5"/>
      <c r="P34" s="5"/>
    </row>
    <row r="35" spans="2:16" s="2" customFormat="1" x14ac:dyDescent="0.2">
      <c r="B35" s="2" t="s">
        <v>48</v>
      </c>
      <c r="C35" s="5"/>
      <c r="D35" s="5"/>
      <c r="E35" s="5"/>
      <c r="F35" s="5"/>
      <c r="G35" s="5">
        <v>33296</v>
      </c>
      <c r="H35" s="5">
        <v>32683</v>
      </c>
      <c r="I35" s="5">
        <v>31597</v>
      </c>
      <c r="J35" s="5">
        <v>31858</v>
      </c>
      <c r="K35" s="5">
        <v>32644</v>
      </c>
      <c r="L35" s="5">
        <v>33804</v>
      </c>
      <c r="M35" s="5"/>
      <c r="N35" s="5"/>
      <c r="O35" s="5"/>
      <c r="P35" s="5"/>
    </row>
    <row r="36" spans="2:16" s="2" customFormat="1" x14ac:dyDescent="0.2">
      <c r="B36" s="2" t="s">
        <v>47</v>
      </c>
      <c r="C36" s="5"/>
      <c r="D36" s="5"/>
      <c r="E36" s="5"/>
      <c r="F36" s="5"/>
      <c r="G36" s="5">
        <f>10766+4211</f>
        <v>14977</v>
      </c>
      <c r="H36" s="5">
        <f>11037+4226</f>
        <v>15263</v>
      </c>
      <c r="I36" s="5">
        <f>11026+4022</f>
        <v>15048</v>
      </c>
      <c r="J36" s="5">
        <f>11332+3933</f>
        <v>15265</v>
      </c>
      <c r="K36" s="5">
        <f>16942+11140</f>
        <v>28082</v>
      </c>
      <c r="L36" s="5">
        <f>16992+10821</f>
        <v>27813</v>
      </c>
      <c r="M36" s="5"/>
      <c r="N36" s="5"/>
      <c r="O36" s="5"/>
      <c r="P36" s="5"/>
    </row>
    <row r="37" spans="2:16" s="2" customFormat="1" x14ac:dyDescent="0.2">
      <c r="B37" s="2" t="s">
        <v>34</v>
      </c>
      <c r="C37" s="5"/>
      <c r="D37" s="5"/>
      <c r="E37" s="5"/>
      <c r="F37" s="5"/>
      <c r="G37" s="5">
        <v>6603</v>
      </c>
      <c r="H37" s="5">
        <v>6901</v>
      </c>
      <c r="I37" s="5">
        <v>8255</v>
      </c>
      <c r="J37" s="5">
        <v>7735</v>
      </c>
      <c r="K37" s="5">
        <v>7870</v>
      </c>
      <c r="L37" s="5">
        <v>8065</v>
      </c>
      <c r="M37" s="5"/>
      <c r="N37" s="5"/>
      <c r="O37" s="5"/>
      <c r="P37" s="5"/>
    </row>
    <row r="38" spans="2:16" s="12" customFormat="1" x14ac:dyDescent="0.2">
      <c r="B38" s="12" t="s">
        <v>46</v>
      </c>
      <c r="C38" s="10"/>
      <c r="D38" s="10"/>
      <c r="E38" s="10"/>
      <c r="F38" s="10"/>
      <c r="G38" s="11">
        <f t="shared" ref="G38" si="22">SUM(G29:G37)</f>
        <v>89566</v>
      </c>
      <c r="H38" s="11">
        <f t="shared" ref="H38" si="23">SUM(H29:H37)</f>
        <v>90492</v>
      </c>
      <c r="I38" s="11">
        <f>SUM(I29:I37)</f>
        <v>98552</v>
      </c>
      <c r="J38" s="11">
        <f>SUM(J29:J37)</f>
        <v>103065</v>
      </c>
      <c r="K38" s="11">
        <f>SUM(K29:K37)</f>
        <v>105467</v>
      </c>
      <c r="L38" s="11">
        <f>SUM(L29:L37)</f>
        <v>109831</v>
      </c>
      <c r="M38" s="10"/>
      <c r="N38" s="10"/>
      <c r="O38" s="10"/>
      <c r="P38" s="10"/>
    </row>
    <row r="40" spans="2:16" s="2" customFormat="1" x14ac:dyDescent="0.2">
      <c r="B40" s="2" t="s">
        <v>4</v>
      </c>
      <c r="C40" s="5"/>
      <c r="D40" s="5"/>
      <c r="E40" s="5"/>
      <c r="F40" s="5"/>
      <c r="G40" s="5">
        <f>1121+12112</f>
        <v>13233</v>
      </c>
      <c r="H40" s="5">
        <f>1118+12116</f>
        <v>13234</v>
      </c>
      <c r="I40" s="5">
        <f>1129+20059</f>
        <v>21188</v>
      </c>
      <c r="J40" s="5">
        <f>2634+20036</f>
        <v>22670</v>
      </c>
      <c r="K40" s="5">
        <f>3594+21775</f>
        <v>25369</v>
      </c>
      <c r="L40" s="5">
        <f>4560+24053</f>
        <v>28613</v>
      </c>
      <c r="M40" s="5"/>
      <c r="N40" s="5"/>
      <c r="O40" s="5"/>
      <c r="P40" s="5"/>
    </row>
    <row r="41" spans="2:16" s="2" customFormat="1" x14ac:dyDescent="0.2">
      <c r="B41" s="2" t="s">
        <v>61</v>
      </c>
      <c r="C41" s="5"/>
      <c r="D41" s="5"/>
      <c r="E41" s="5"/>
      <c r="F41" s="5"/>
      <c r="G41" s="5">
        <v>2775</v>
      </c>
      <c r="H41" s="5">
        <v>2359</v>
      </c>
      <c r="I41" s="5">
        <v>2449</v>
      </c>
      <c r="J41" s="5">
        <v>2063</v>
      </c>
      <c r="K41" s="5">
        <v>3163</v>
      </c>
      <c r="L41" s="5">
        <v>3420</v>
      </c>
      <c r="M41" s="5"/>
      <c r="N41" s="5"/>
      <c r="O41" s="5"/>
      <c r="P41" s="5"/>
    </row>
    <row r="42" spans="2:16" s="2" customFormat="1" x14ac:dyDescent="0.2">
      <c r="B42" s="2" t="s">
        <v>60</v>
      </c>
      <c r="C42" s="5"/>
      <c r="D42" s="5"/>
      <c r="E42" s="5"/>
      <c r="F42" s="5"/>
      <c r="G42" s="5">
        <v>2011</v>
      </c>
      <c r="H42" s="5">
        <v>2572</v>
      </c>
      <c r="I42" s="5">
        <v>2732</v>
      </c>
      <c r="J42" s="5">
        <v>3138</v>
      </c>
      <c r="K42" s="5">
        <v>1834</v>
      </c>
      <c r="L42" s="5">
        <v>2809</v>
      </c>
      <c r="M42" s="5"/>
      <c r="N42" s="5"/>
      <c r="O42" s="5"/>
      <c r="P42" s="5"/>
    </row>
    <row r="43" spans="2:16" s="2" customFormat="1" x14ac:dyDescent="0.2">
      <c r="B43" s="2" t="s">
        <v>59</v>
      </c>
      <c r="C43" s="5"/>
      <c r="D43" s="5"/>
      <c r="E43" s="5"/>
      <c r="F43" s="5"/>
      <c r="G43" s="5">
        <v>1014</v>
      </c>
      <c r="H43" s="5">
        <v>1021</v>
      </c>
      <c r="I43" s="5">
        <v>1028</v>
      </c>
      <c r="J43" s="5">
        <v>960</v>
      </c>
      <c r="K43" s="5">
        <v>820</v>
      </c>
      <c r="L43" s="5">
        <v>736</v>
      </c>
      <c r="M43" s="5"/>
      <c r="N43" s="5"/>
      <c r="O43" s="5"/>
      <c r="P43" s="5"/>
    </row>
    <row r="44" spans="2:16" s="2" customFormat="1" x14ac:dyDescent="0.2">
      <c r="B44" s="2" t="s">
        <v>58</v>
      </c>
      <c r="C44" s="5"/>
      <c r="D44" s="5"/>
      <c r="E44" s="5"/>
      <c r="F44" s="5"/>
      <c r="G44" s="5">
        <v>2196</v>
      </c>
      <c r="H44" s="5">
        <v>2082</v>
      </c>
      <c r="I44" s="5">
        <v>2160</v>
      </c>
      <c r="J44" s="5">
        <v>2188</v>
      </c>
      <c r="K44" s="5">
        <v>2632</v>
      </c>
      <c r="L44" s="5">
        <v>2807</v>
      </c>
      <c r="M44" s="5"/>
      <c r="N44" s="5"/>
      <c r="O44" s="5"/>
      <c r="P44" s="5"/>
    </row>
    <row r="45" spans="2:16" s="2" customFormat="1" x14ac:dyDescent="0.2">
      <c r="B45" s="2" t="s">
        <v>57</v>
      </c>
      <c r="C45" s="5"/>
      <c r="D45" s="5"/>
      <c r="E45" s="5"/>
      <c r="F45" s="5"/>
      <c r="G45" s="5">
        <v>5918</v>
      </c>
      <c r="H45" s="5">
        <v>4377</v>
      </c>
      <c r="I45" s="5">
        <v>5582</v>
      </c>
      <c r="J45" s="5">
        <v>4684</v>
      </c>
      <c r="K45" s="5">
        <v>5483</v>
      </c>
      <c r="L45" s="5">
        <v>4379</v>
      </c>
      <c r="M45" s="5"/>
      <c r="N45" s="5"/>
      <c r="O45" s="5"/>
      <c r="P45" s="5"/>
    </row>
    <row r="46" spans="2:16" s="2" customFormat="1" x14ac:dyDescent="0.2">
      <c r="B46" s="2" t="s">
        <v>56</v>
      </c>
      <c r="C46" s="5"/>
      <c r="D46" s="5"/>
      <c r="E46" s="5"/>
      <c r="F46" s="5"/>
      <c r="G46" s="5">
        <v>3462</v>
      </c>
      <c r="H46" s="5">
        <v>3251</v>
      </c>
      <c r="I46" s="5">
        <v>2502</v>
      </c>
      <c r="J46" s="5">
        <v>2539</v>
      </c>
      <c r="K46" s="5">
        <v>1247</v>
      </c>
      <c r="L46" s="5">
        <v>1293</v>
      </c>
      <c r="M46" s="5"/>
      <c r="N46" s="5"/>
      <c r="O46" s="5"/>
      <c r="P46" s="5"/>
    </row>
    <row r="47" spans="2:16" s="2" customFormat="1" x14ac:dyDescent="0.2">
      <c r="B47" s="2" t="s">
        <v>55</v>
      </c>
      <c r="C47" s="5"/>
      <c r="D47" s="5"/>
      <c r="E47" s="5"/>
      <c r="F47" s="5"/>
      <c r="G47" s="5">
        <v>3125</v>
      </c>
      <c r="H47" s="5">
        <v>2996</v>
      </c>
      <c r="I47" s="5">
        <v>2909</v>
      </c>
      <c r="J47" s="5">
        <v>2841</v>
      </c>
      <c r="K47" s="5">
        <v>2851</v>
      </c>
      <c r="L47" s="5">
        <v>3517</v>
      </c>
      <c r="M47" s="5"/>
      <c r="N47" s="5"/>
      <c r="O47" s="5"/>
      <c r="P47" s="5"/>
    </row>
    <row r="48" spans="2:16" s="2" customFormat="1" x14ac:dyDescent="0.2">
      <c r="B48" s="2" t="s">
        <v>54</v>
      </c>
      <c r="C48" s="5"/>
      <c r="D48" s="5"/>
      <c r="E48" s="5"/>
      <c r="F48" s="5"/>
      <c r="G48" s="5">
        <f>908+54924</f>
        <v>55832</v>
      </c>
      <c r="H48" s="5">
        <f>905+57695</f>
        <v>58600</v>
      </c>
      <c r="I48" s="5">
        <f>905+57097</f>
        <v>58002</v>
      </c>
      <c r="J48" s="5">
        <f>897+61085</f>
        <v>61982</v>
      </c>
      <c r="K48" s="5">
        <f>894+61174</f>
        <v>62068</v>
      </c>
      <c r="L48" s="5">
        <f>61367+890</f>
        <v>62257</v>
      </c>
      <c r="M48" s="5"/>
      <c r="N48" s="5"/>
      <c r="O48" s="5"/>
      <c r="P48" s="5"/>
    </row>
    <row r="49" spans="2:16" s="2" customFormat="1" x14ac:dyDescent="0.2">
      <c r="B49" s="2" t="s">
        <v>53</v>
      </c>
      <c r="C49" s="5"/>
      <c r="D49" s="5"/>
      <c r="E49" s="5"/>
      <c r="F49" s="5"/>
      <c r="G49" s="5">
        <f t="shared" ref="G49" si="24">SUM(G40:G48)</f>
        <v>89566</v>
      </c>
      <c r="H49" s="5">
        <f t="shared" ref="H49" si="25">SUM(H40:H48)</f>
        <v>90492</v>
      </c>
      <c r="I49" s="5">
        <f>SUM(I40:I48)</f>
        <v>98552</v>
      </c>
      <c r="J49" s="5">
        <f>SUM(J40:J48)</f>
        <v>103065</v>
      </c>
      <c r="K49" s="5">
        <f>SUM(K40:K48)</f>
        <v>105467</v>
      </c>
      <c r="L49" s="5">
        <f>SUM(L40:L48)</f>
        <v>109831</v>
      </c>
      <c r="M49" s="5"/>
      <c r="N49" s="5"/>
      <c r="O49" s="5"/>
      <c r="P49" s="5"/>
    </row>
    <row r="51" spans="2:16" s="2" customFormat="1" x14ac:dyDescent="0.2">
      <c r="B51" s="2" t="s">
        <v>63</v>
      </c>
      <c r="C51" s="5"/>
      <c r="D51" s="5"/>
      <c r="E51" s="5"/>
      <c r="F51" s="5"/>
      <c r="G51" s="5">
        <f t="shared" ref="G51" si="26">+G19</f>
        <v>2159</v>
      </c>
      <c r="H51" s="5">
        <f t="shared" ref="H51" si="27">+H19</f>
        <v>3022</v>
      </c>
      <c r="I51" s="5">
        <f>+I19</f>
        <v>3191</v>
      </c>
      <c r="J51" s="5">
        <f>+J19</f>
        <v>3667</v>
      </c>
      <c r="K51" s="5">
        <f>+K19</f>
        <v>2136</v>
      </c>
      <c r="L51" s="5">
        <f t="shared" ref="L51" si="28">+L19</f>
        <v>2833</v>
      </c>
      <c r="M51" s="5"/>
      <c r="N51" s="5"/>
      <c r="O51" s="5"/>
      <c r="P51" s="5"/>
    </row>
    <row r="52" spans="2:16" s="2" customFormat="1" x14ac:dyDescent="0.2">
      <c r="B52" s="2" t="s">
        <v>64</v>
      </c>
      <c r="C52" s="5"/>
      <c r="D52" s="5"/>
      <c r="E52" s="5"/>
      <c r="F52" s="5"/>
      <c r="G52" s="5">
        <v>1992</v>
      </c>
      <c r="H52" s="5">
        <f>4698-G52</f>
        <v>2706</v>
      </c>
      <c r="I52" s="5">
        <f>7807-H52-G52</f>
        <v>3109</v>
      </c>
      <c r="J52" s="5">
        <f>11420-I52-H52-G52</f>
        <v>3613</v>
      </c>
      <c r="K52" s="5">
        <v>2046</v>
      </c>
      <c r="L52" s="5">
        <f>3376-K52</f>
        <v>1330</v>
      </c>
      <c r="M52" s="5"/>
      <c r="N52" s="5"/>
      <c r="O52" s="5"/>
      <c r="P52" s="5"/>
    </row>
    <row r="53" spans="2:16" s="2" customFormat="1" x14ac:dyDescent="0.2">
      <c r="B53" s="2" t="s">
        <v>65</v>
      </c>
      <c r="C53" s="5"/>
      <c r="D53" s="5"/>
      <c r="E53" s="5"/>
      <c r="F53" s="5"/>
      <c r="G53" s="5">
        <v>1848</v>
      </c>
      <c r="H53" s="5">
        <f>3825-G53</f>
        <v>1977</v>
      </c>
      <c r="I53" s="5">
        <f>5885-H53-G53</f>
        <v>2060</v>
      </c>
      <c r="J53" s="5">
        <f>7821-I53-H53-G53</f>
        <v>1936</v>
      </c>
      <c r="K53" s="5">
        <v>1619</v>
      </c>
      <c r="L53" s="5">
        <f>3141-K53</f>
        <v>1522</v>
      </c>
      <c r="M53" s="5"/>
      <c r="N53" s="5"/>
      <c r="O53" s="5"/>
      <c r="P53" s="5"/>
    </row>
    <row r="54" spans="2:16" s="2" customFormat="1" x14ac:dyDescent="0.2">
      <c r="B54" s="2" t="s">
        <v>66</v>
      </c>
      <c r="C54" s="5"/>
      <c r="D54" s="5"/>
      <c r="E54" s="5"/>
      <c r="F54" s="5"/>
      <c r="G54" s="5">
        <v>368</v>
      </c>
      <c r="H54" s="5">
        <f>700-G54</f>
        <v>332</v>
      </c>
      <c r="I54" s="5">
        <f>1009-H54-G54</f>
        <v>309</v>
      </c>
      <c r="J54" s="5">
        <f>1305-I54-H54-G54</f>
        <v>296</v>
      </c>
      <c r="K54" s="5">
        <v>448</v>
      </c>
      <c r="L54" s="5">
        <f>812-K54</f>
        <v>364</v>
      </c>
      <c r="M54" s="5"/>
      <c r="N54" s="5"/>
      <c r="O54" s="5"/>
      <c r="P54" s="5"/>
    </row>
    <row r="55" spans="2:16" s="2" customFormat="1" x14ac:dyDescent="0.2">
      <c r="B55" s="2" t="s">
        <v>67</v>
      </c>
      <c r="C55" s="5"/>
      <c r="D55" s="5"/>
      <c r="E55" s="5"/>
      <c r="F55" s="5"/>
      <c r="G55" s="5">
        <v>105</v>
      </c>
      <c r="H55" s="5">
        <f>353-G55</f>
        <v>248</v>
      </c>
      <c r="I55" s="5">
        <f>367-H55-G55</f>
        <v>14</v>
      </c>
      <c r="J55" s="5">
        <f>354-I55-H55-G55</f>
        <v>-13</v>
      </c>
      <c r="K55" s="5">
        <v>-13</v>
      </c>
      <c r="L55" s="5">
        <f>1414-K55</f>
        <v>1427</v>
      </c>
      <c r="M55" s="5"/>
      <c r="N55" s="5"/>
      <c r="O55" s="5"/>
      <c r="P55" s="5"/>
    </row>
    <row r="56" spans="2:16" s="2" customFormat="1" x14ac:dyDescent="0.2">
      <c r="B56" s="2" t="s">
        <v>68</v>
      </c>
      <c r="C56" s="5"/>
      <c r="D56" s="5"/>
      <c r="E56" s="5"/>
      <c r="F56" s="5"/>
      <c r="G56" s="5">
        <v>-22</v>
      </c>
      <c r="H56" s="5">
        <f>-133-G56</f>
        <v>-111</v>
      </c>
      <c r="I56" s="5">
        <f>-139-H56-G56</f>
        <v>-6</v>
      </c>
      <c r="J56" s="5">
        <f>-159-I56-H56-G56</f>
        <v>-20</v>
      </c>
      <c r="K56" s="5">
        <v>396</v>
      </c>
      <c r="L56" s="5">
        <f>-88-K56</f>
        <v>-484</v>
      </c>
      <c r="M56" s="5"/>
      <c r="N56" s="5"/>
      <c r="O56" s="5"/>
      <c r="P56" s="5"/>
    </row>
    <row r="57" spans="2:16" s="2" customFormat="1" x14ac:dyDescent="0.2">
      <c r="B57" s="2" t="s">
        <v>69</v>
      </c>
      <c r="C57" s="5"/>
      <c r="D57" s="5"/>
      <c r="E57" s="5"/>
      <c r="F57" s="5"/>
      <c r="G57" s="5">
        <v>251</v>
      </c>
      <c r="H57" s="5">
        <f>465-G57</f>
        <v>214</v>
      </c>
      <c r="I57" s="5">
        <f>680-H57-G57</f>
        <v>215</v>
      </c>
      <c r="J57" s="5">
        <f>890-I57-H57-G57</f>
        <v>210</v>
      </c>
      <c r="K57" s="5">
        <v>-22</v>
      </c>
      <c r="L57" s="5">
        <f>791-K57</f>
        <v>813</v>
      </c>
      <c r="M57" s="5"/>
      <c r="N57" s="5"/>
      <c r="O57" s="5"/>
      <c r="P57" s="5"/>
    </row>
    <row r="58" spans="2:16" s="2" customFormat="1" x14ac:dyDescent="0.2">
      <c r="B58" s="2" t="s">
        <v>80</v>
      </c>
      <c r="C58" s="5"/>
      <c r="D58" s="5"/>
      <c r="E58" s="5"/>
      <c r="F58" s="5"/>
      <c r="G58" s="5">
        <v>-32</v>
      </c>
      <c r="H58" s="5">
        <f>-85-G58</f>
        <v>-53</v>
      </c>
      <c r="I58" s="5">
        <f>-245-H58-G58</f>
        <v>-160</v>
      </c>
      <c r="J58" s="5">
        <f>-263-I58-H58-G58</f>
        <v>-18</v>
      </c>
      <c r="K58" s="5"/>
      <c r="L58" s="5">
        <f>-426-K58</f>
        <v>-426</v>
      </c>
      <c r="M58" s="5"/>
      <c r="N58" s="5"/>
      <c r="O58" s="5"/>
      <c r="P58" s="5"/>
    </row>
    <row r="59" spans="2:16" s="2" customFormat="1" x14ac:dyDescent="0.2">
      <c r="B59" s="2" t="s">
        <v>56</v>
      </c>
      <c r="C59" s="5"/>
      <c r="D59" s="5"/>
      <c r="E59" s="5"/>
      <c r="F59" s="5"/>
      <c r="G59" s="5">
        <v>-171</v>
      </c>
      <c r="H59" s="5">
        <f>-725-G59</f>
        <v>-554</v>
      </c>
      <c r="I59" s="5">
        <f>-1093-H59-G59</f>
        <v>-368</v>
      </c>
      <c r="J59" s="5">
        <f>-1270-I59-H59-G59</f>
        <v>-177</v>
      </c>
      <c r="K59" s="5">
        <v>-43</v>
      </c>
      <c r="L59" s="5">
        <f>71-K59</f>
        <v>114</v>
      </c>
      <c r="M59" s="5"/>
      <c r="N59" s="5"/>
      <c r="O59" s="5"/>
      <c r="P59" s="5"/>
    </row>
    <row r="60" spans="2:16" s="2" customFormat="1" x14ac:dyDescent="0.2">
      <c r="B60" s="2" t="s">
        <v>51</v>
      </c>
      <c r="C60" s="5"/>
      <c r="D60" s="5"/>
      <c r="E60" s="5"/>
      <c r="F60" s="5"/>
      <c r="G60" s="5">
        <v>1167</v>
      </c>
      <c r="H60" s="5">
        <f>573-G60</f>
        <v>-594</v>
      </c>
      <c r="I60" s="5">
        <f>332-H60-G60</f>
        <v>-241</v>
      </c>
      <c r="J60" s="5">
        <f>-355-I60-H60-G60</f>
        <v>-687</v>
      </c>
      <c r="K60" s="5">
        <v>942</v>
      </c>
      <c r="L60" s="5">
        <f>734-K60</f>
        <v>-208</v>
      </c>
      <c r="M60" s="5"/>
      <c r="N60" s="5"/>
      <c r="O60" s="5"/>
      <c r="P60" s="5"/>
    </row>
    <row r="61" spans="2:16" s="2" customFormat="1" x14ac:dyDescent="0.2">
      <c r="B61" s="2" t="s">
        <v>50</v>
      </c>
      <c r="C61" s="5"/>
      <c r="D61" s="5"/>
      <c r="E61" s="5"/>
      <c r="F61" s="5"/>
      <c r="G61" s="5">
        <v>-137</v>
      </c>
      <c r="H61" s="5">
        <f>-489-G61</f>
        <v>-352</v>
      </c>
      <c r="I61" s="5">
        <f>-640-H61-G61</f>
        <v>-151</v>
      </c>
      <c r="J61" s="5">
        <f>-764-I61-H61-G61</f>
        <v>-124</v>
      </c>
      <c r="K61" s="5">
        <v>-57</v>
      </c>
      <c r="L61" s="5">
        <f>-104-K61</f>
        <v>-47</v>
      </c>
      <c r="M61" s="5"/>
      <c r="N61" s="5"/>
      <c r="O61" s="5"/>
      <c r="P61" s="5"/>
    </row>
    <row r="62" spans="2:16" s="2" customFormat="1" x14ac:dyDescent="0.2">
      <c r="B62" s="2" t="s">
        <v>61</v>
      </c>
      <c r="C62" s="5"/>
      <c r="D62" s="5"/>
      <c r="E62" s="5"/>
      <c r="F62" s="5"/>
      <c r="G62" s="5">
        <v>-71</v>
      </c>
      <c r="H62" s="5">
        <f>-304-G62</f>
        <v>-233</v>
      </c>
      <c r="I62" s="5">
        <f>-86-H62-G62</f>
        <v>218</v>
      </c>
      <c r="J62" s="5">
        <f>-312-I62-H62-G62</f>
        <v>-226</v>
      </c>
      <c r="K62" s="5">
        <v>434</v>
      </c>
      <c r="L62" s="5">
        <f>375-K62</f>
        <v>-59</v>
      </c>
      <c r="M62" s="5"/>
      <c r="N62" s="5"/>
      <c r="O62" s="5"/>
      <c r="P62" s="5"/>
    </row>
    <row r="63" spans="2:16" s="2" customFormat="1" x14ac:dyDescent="0.2">
      <c r="B63" s="2" t="s">
        <v>60</v>
      </c>
      <c r="C63" s="5"/>
      <c r="D63" s="5"/>
      <c r="E63" s="5"/>
      <c r="F63" s="5"/>
      <c r="G63" s="5">
        <v>-1659</v>
      </c>
      <c r="H63" s="5">
        <f>-1304-G63</f>
        <v>355</v>
      </c>
      <c r="I63" s="5">
        <f>-1217-H63-G63</f>
        <v>87</v>
      </c>
      <c r="J63" s="5">
        <f>-711-I63-H63-G63</f>
        <v>506</v>
      </c>
      <c r="K63" s="5">
        <v>-1307</v>
      </c>
      <c r="L63" s="5">
        <f>-1659-K63</f>
        <v>-352</v>
      </c>
      <c r="M63" s="5"/>
      <c r="N63" s="5"/>
      <c r="O63" s="5"/>
      <c r="P63" s="5"/>
    </row>
    <row r="64" spans="2:16" s="2" customFormat="1" x14ac:dyDescent="0.2">
      <c r="B64" s="2" t="s">
        <v>27</v>
      </c>
      <c r="C64" s="5"/>
      <c r="D64" s="5"/>
      <c r="E64" s="5"/>
      <c r="F64" s="5"/>
      <c r="G64" s="5">
        <v>221</v>
      </c>
      <c r="H64" s="5">
        <f>-59-G64</f>
        <v>-280</v>
      </c>
      <c r="I64" s="5">
        <f>774-H64-G64</f>
        <v>833</v>
      </c>
      <c r="J64" s="5">
        <f>386-I64-H64-G64</f>
        <v>-388</v>
      </c>
      <c r="K64" s="5">
        <v>497</v>
      </c>
      <c r="L64" s="5">
        <f>-79-K64</f>
        <v>-576</v>
      </c>
      <c r="M64" s="5"/>
      <c r="N64" s="5"/>
      <c r="O64" s="5"/>
      <c r="P64" s="5"/>
    </row>
    <row r="65" spans="2:16" s="2" customFormat="1" x14ac:dyDescent="0.2">
      <c r="B65" s="2" t="s">
        <v>57</v>
      </c>
      <c r="C65" s="5"/>
      <c r="D65" s="5"/>
      <c r="E65" s="5"/>
      <c r="F65" s="5"/>
      <c r="G65" s="5">
        <v>555</v>
      </c>
      <c r="H65" s="5">
        <f>340-G65</f>
        <v>-215</v>
      </c>
      <c r="I65" s="5">
        <f>156-H65-G65</f>
        <v>-184</v>
      </c>
      <c r="J65" s="5">
        <f>675-I65-H65-G65</f>
        <v>519</v>
      </c>
      <c r="K65" s="5">
        <v>-885</v>
      </c>
      <c r="L65" s="5">
        <f>-458-K65</f>
        <v>427</v>
      </c>
      <c r="M65" s="5"/>
      <c r="N65" s="5"/>
      <c r="O65" s="5"/>
      <c r="P65" s="5"/>
    </row>
    <row r="66" spans="2:16" s="2" customFormat="1" x14ac:dyDescent="0.2">
      <c r="B66" s="2" t="s">
        <v>70</v>
      </c>
      <c r="C66" s="5"/>
      <c r="D66" s="5"/>
      <c r="E66" s="5"/>
      <c r="F66" s="5"/>
      <c r="G66" s="5">
        <f t="shared" ref="G66:L66" si="29">SUM(G52:G65)</f>
        <v>4415</v>
      </c>
      <c r="H66" s="5">
        <f t="shared" si="29"/>
        <v>3440</v>
      </c>
      <c r="I66" s="5">
        <f t="shared" si="29"/>
        <v>5735</v>
      </c>
      <c r="J66" s="5">
        <f t="shared" si="29"/>
        <v>5427</v>
      </c>
      <c r="K66" s="5">
        <f t="shared" si="29"/>
        <v>4055</v>
      </c>
      <c r="L66" s="5">
        <f t="shared" si="29"/>
        <v>3845</v>
      </c>
      <c r="M66" s="5"/>
      <c r="N66" s="5"/>
      <c r="O66" s="5"/>
      <c r="P66" s="5"/>
    </row>
    <row r="67" spans="2:16" s="2" customFormat="1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s="2" customFormat="1" x14ac:dyDescent="0.2">
      <c r="B68" s="2" t="s">
        <v>71</v>
      </c>
      <c r="C68" s="5"/>
      <c r="D68" s="5"/>
      <c r="E68" s="5"/>
      <c r="F68" s="5"/>
      <c r="G68" s="5">
        <v>-2025</v>
      </c>
      <c r="H68" s="5">
        <f>-3792-G68</f>
        <v>-1767</v>
      </c>
      <c r="I68" s="5">
        <f>-4998-H68-G68</f>
        <v>-1206</v>
      </c>
      <c r="J68" s="5">
        <f>-7326-I68-H68-G68</f>
        <v>-2328</v>
      </c>
      <c r="K68" s="5">
        <v>-1346</v>
      </c>
      <c r="L68" s="5">
        <f>-3632-K68</f>
        <v>-2286</v>
      </c>
      <c r="M68" s="5"/>
      <c r="N68" s="5"/>
      <c r="O68" s="5"/>
      <c r="P68" s="5"/>
    </row>
    <row r="69" spans="2:16" s="2" customFormat="1" x14ac:dyDescent="0.2">
      <c r="B69" s="2" t="s">
        <v>72</v>
      </c>
      <c r="C69" s="5"/>
      <c r="D69" s="5"/>
      <c r="E69" s="5"/>
      <c r="F69" s="5"/>
      <c r="G69" s="5">
        <v>-57</v>
      </c>
      <c r="H69" s="5">
        <f>-524-G69</f>
        <v>-467</v>
      </c>
      <c r="I69" s="5">
        <f>-538-H69-G69</f>
        <v>-14</v>
      </c>
      <c r="J69" s="5">
        <f>-913-I69-H69-G69</f>
        <v>-375</v>
      </c>
      <c r="K69" s="11">
        <v>-14569</v>
      </c>
      <c r="L69" s="5">
        <f>-14619-K69</f>
        <v>-50</v>
      </c>
      <c r="M69" s="5"/>
      <c r="N69" s="5"/>
      <c r="O69" s="5"/>
      <c r="P69" s="5"/>
    </row>
    <row r="70" spans="2:16" s="2" customFormat="1" x14ac:dyDescent="0.2">
      <c r="B70" s="2" t="s">
        <v>73</v>
      </c>
      <c r="C70" s="5"/>
      <c r="D70" s="5"/>
      <c r="E70" s="5"/>
      <c r="F70" s="5"/>
      <c r="G70" s="5">
        <f>-139+43+1079</f>
        <v>983</v>
      </c>
      <c r="H70" s="5">
        <f>-1255+109+1659-G70</f>
        <v>-470</v>
      </c>
      <c r="I70" s="5">
        <f>-7522+1040+2153-H70-G70</f>
        <v>-4842</v>
      </c>
      <c r="J70" s="5">
        <f>6168+2090-8259-I70-H70-G70</f>
        <v>4328</v>
      </c>
      <c r="K70" s="5">
        <f>-2847+2810+1359</f>
        <v>1322</v>
      </c>
      <c r="L70" s="5">
        <f>-5693+3685+2393-K70</f>
        <v>-937</v>
      </c>
      <c r="M70" s="5"/>
      <c r="N70" s="5"/>
      <c r="O70" s="5"/>
      <c r="P70" s="5"/>
    </row>
    <row r="71" spans="2:16" s="2" customFormat="1" x14ac:dyDescent="0.2">
      <c r="B71" s="2" t="s">
        <v>52</v>
      </c>
      <c r="C71" s="5"/>
      <c r="D71" s="5"/>
      <c r="E71" s="5"/>
      <c r="F71" s="5"/>
      <c r="G71" s="5">
        <f>-2475+3398</f>
        <v>923</v>
      </c>
      <c r="H71" s="5">
        <f>-5291+7639-G71</f>
        <v>1425</v>
      </c>
      <c r="I71" s="5">
        <f>-7943+10465-H71-G71</f>
        <v>174</v>
      </c>
      <c r="J71" s="5">
        <f>-11485+13372-I71-H71-G71</f>
        <v>-635</v>
      </c>
      <c r="K71" s="5">
        <f>-4533+3138</f>
        <v>-1395</v>
      </c>
      <c r="L71" s="5">
        <f>-7205+5313-K71</f>
        <v>-497</v>
      </c>
      <c r="M71" s="5"/>
      <c r="N71" s="5"/>
      <c r="O71" s="5"/>
      <c r="P71" s="5"/>
    </row>
    <row r="72" spans="2:16" s="2" customFormat="1" x14ac:dyDescent="0.2">
      <c r="B72" s="2" t="s">
        <v>74</v>
      </c>
      <c r="C72" s="5"/>
      <c r="D72" s="5"/>
      <c r="E72" s="5"/>
      <c r="F72" s="5"/>
      <c r="G72" s="5">
        <v>0</v>
      </c>
      <c r="H72" s="5">
        <v>0</v>
      </c>
      <c r="I72" s="5">
        <f>-2550+466-H72-G72</f>
        <v>-2084</v>
      </c>
      <c r="J72" s="5">
        <f>-2550+2116-I72-H72-G72</f>
        <v>1650</v>
      </c>
      <c r="K72" s="5">
        <f>-223+650</f>
        <v>427</v>
      </c>
      <c r="L72" s="5">
        <f>-223+650-K72</f>
        <v>0</v>
      </c>
      <c r="M72" s="5"/>
      <c r="N72" s="5"/>
      <c r="O72" s="5"/>
      <c r="P72" s="5"/>
    </row>
    <row r="73" spans="2:16" s="2" customFormat="1" x14ac:dyDescent="0.2">
      <c r="B73" s="2" t="s">
        <v>34</v>
      </c>
      <c r="C73" s="5"/>
      <c r="D73" s="5"/>
      <c r="E73" s="5"/>
      <c r="F73" s="5"/>
      <c r="G73" s="5">
        <f>-278+5</f>
        <v>-273</v>
      </c>
      <c r="H73" s="5">
        <f>166-558+103-G73</f>
        <v>-16</v>
      </c>
      <c r="I73" s="5">
        <f>-1864+380-H73-G73</f>
        <v>-1195</v>
      </c>
      <c r="J73" s="5">
        <f>-2011-120+735-I73-H73-G73</f>
        <v>88</v>
      </c>
      <c r="K73" s="5">
        <f>-182+223</f>
        <v>41</v>
      </c>
      <c r="L73" s="5">
        <f>-663+304-K73</f>
        <v>-400</v>
      </c>
      <c r="M73" s="5"/>
      <c r="N73" s="5"/>
      <c r="O73" s="5"/>
      <c r="P73" s="5"/>
    </row>
    <row r="74" spans="2:16" s="2" customFormat="1" x14ac:dyDescent="0.2">
      <c r="B74" s="2" t="s">
        <v>75</v>
      </c>
      <c r="C74" s="5"/>
      <c r="D74" s="5"/>
      <c r="E74" s="5"/>
      <c r="F74" s="5"/>
      <c r="G74" s="5">
        <f t="shared" ref="G74:J74" si="30">SUM(G68:G73)</f>
        <v>-449</v>
      </c>
      <c r="H74" s="5">
        <f t="shared" si="30"/>
        <v>-1295</v>
      </c>
      <c r="I74" s="5">
        <f t="shared" si="30"/>
        <v>-9167</v>
      </c>
      <c r="J74" s="5">
        <f t="shared" si="30"/>
        <v>2728</v>
      </c>
      <c r="K74" s="5">
        <f>SUM(K68:K73)</f>
        <v>-15520</v>
      </c>
      <c r="L74" s="5">
        <f>SUM(L68:L73)</f>
        <v>-4170</v>
      </c>
      <c r="M74" s="5"/>
      <c r="N74" s="5"/>
      <c r="O74" s="5"/>
      <c r="P74" s="5"/>
    </row>
    <row r="76" spans="2:16" s="2" customFormat="1" x14ac:dyDescent="0.2">
      <c r="B76" s="2" t="s">
        <v>4</v>
      </c>
      <c r="C76" s="5"/>
      <c r="D76" s="5"/>
      <c r="E76" s="5"/>
      <c r="F76" s="5"/>
      <c r="G76" s="5">
        <v>-486</v>
      </c>
      <c r="H76" s="5">
        <f>-492-G76</f>
        <v>-6</v>
      </c>
      <c r="I76" s="5">
        <f>-473-H76-G76+7986</f>
        <v>8005</v>
      </c>
      <c r="J76" s="5">
        <f>-474-I76-H76-G76+9476</f>
        <v>1489</v>
      </c>
      <c r="K76" s="5">
        <v>956</v>
      </c>
      <c r="L76" s="5">
        <f>1416-K76+2734</f>
        <v>3194</v>
      </c>
      <c r="M76" s="5"/>
      <c r="N76" s="5"/>
      <c r="O76" s="5"/>
      <c r="P76" s="5"/>
    </row>
    <row r="77" spans="2:16" s="2" customFormat="1" x14ac:dyDescent="0.2">
      <c r="B77" s="2" t="s">
        <v>68</v>
      </c>
      <c r="C77" s="5"/>
      <c r="D77" s="5"/>
      <c r="E77" s="5"/>
      <c r="F77" s="5"/>
      <c r="G77" s="5">
        <f>22+341</f>
        <v>363</v>
      </c>
      <c r="H77" s="5">
        <f>133+474-G77</f>
        <v>244</v>
      </c>
      <c r="I77" s="5">
        <f>139+696-H77-G77</f>
        <v>228</v>
      </c>
      <c r="J77" s="5">
        <f>159+866-I77-H77-G77</f>
        <v>190</v>
      </c>
      <c r="K77" s="5">
        <f>13+343</f>
        <v>356</v>
      </c>
      <c r="L77" s="5">
        <f>88+527-K77</f>
        <v>259</v>
      </c>
      <c r="M77" s="5"/>
      <c r="N77" s="5"/>
      <c r="O77" s="5"/>
      <c r="P77" s="5"/>
    </row>
    <row r="78" spans="2:16" s="2" customFormat="1" x14ac:dyDescent="0.2">
      <c r="B78" s="2" t="s">
        <v>79</v>
      </c>
      <c r="C78" s="5"/>
      <c r="D78" s="5"/>
      <c r="E78" s="5"/>
      <c r="F78" s="5"/>
      <c r="G78" s="5">
        <v>-750</v>
      </c>
      <c r="H78" s="5">
        <f>-1447-G78</f>
        <v>-697</v>
      </c>
      <c r="I78" s="5">
        <f>-2476-H78-G78</f>
        <v>-1029</v>
      </c>
      <c r="J78" s="5">
        <f>-3001-I78-H78-G78</f>
        <v>-525</v>
      </c>
      <c r="K78" s="5">
        <v>-793</v>
      </c>
      <c r="L78" s="5">
        <f>-1597-K78</f>
        <v>-804</v>
      </c>
      <c r="M78" s="5"/>
      <c r="N78" s="5"/>
      <c r="O78" s="5"/>
      <c r="P78" s="5"/>
    </row>
    <row r="79" spans="2:16" s="2" customFormat="1" x14ac:dyDescent="0.2">
      <c r="B79" s="2" t="s">
        <v>78</v>
      </c>
      <c r="C79" s="5"/>
      <c r="D79" s="5"/>
      <c r="E79" s="5"/>
      <c r="F79" s="5"/>
      <c r="G79" s="5">
        <v>-51</v>
      </c>
      <c r="H79" s="5">
        <f>-399-G79</f>
        <v>-348</v>
      </c>
      <c r="I79" s="5">
        <f>-416-H79-G79</f>
        <v>-17</v>
      </c>
      <c r="J79" s="5">
        <f>-442-I79-H79-G79</f>
        <v>-26</v>
      </c>
      <c r="K79" s="5">
        <v>-63</v>
      </c>
      <c r="L79" s="5">
        <f>-394-K79</f>
        <v>-331</v>
      </c>
      <c r="M79" s="5"/>
      <c r="N79" s="5"/>
      <c r="O79" s="5"/>
      <c r="P79" s="5"/>
    </row>
    <row r="80" spans="2:16" s="2" customFormat="1" x14ac:dyDescent="0.2">
      <c r="B80" s="2" t="s">
        <v>77</v>
      </c>
      <c r="C80" s="5"/>
      <c r="D80" s="5"/>
      <c r="E80" s="5"/>
      <c r="F80" s="5"/>
      <c r="G80" s="5">
        <v>-1137</v>
      </c>
      <c r="H80" s="5">
        <f>-2283-G80</f>
        <v>-1146</v>
      </c>
      <c r="I80" s="5">
        <f>-3423-H80-G80</f>
        <v>-1140</v>
      </c>
      <c r="J80" s="5">
        <f>-4556-I80-H80-G80</f>
        <v>-1133</v>
      </c>
      <c r="K80" s="5">
        <v>-1228</v>
      </c>
      <c r="L80" s="5">
        <f>-2461-K80</f>
        <v>-1233</v>
      </c>
      <c r="M80" s="5"/>
      <c r="N80" s="5"/>
      <c r="O80" s="5"/>
      <c r="P80" s="5"/>
    </row>
    <row r="81" spans="2:16" s="2" customFormat="1" x14ac:dyDescent="0.2">
      <c r="B81" s="2" t="s">
        <v>34</v>
      </c>
      <c r="C81" s="5"/>
      <c r="D81" s="5"/>
      <c r="E81" s="5"/>
      <c r="F81" s="5"/>
      <c r="G81" s="5">
        <v>-213</v>
      </c>
      <c r="H81" s="5">
        <f>-205-G81</f>
        <v>8</v>
      </c>
      <c r="I81" s="5">
        <f>-209-H81-G81</f>
        <v>-4</v>
      </c>
      <c r="J81" s="5">
        <f>105-221-I81-H81-G81</f>
        <v>93</v>
      </c>
      <c r="K81" s="5">
        <v>-10</v>
      </c>
      <c r="L81" s="5">
        <f>54-K81</f>
        <v>64</v>
      </c>
      <c r="M81" s="5"/>
      <c r="N81" s="5"/>
      <c r="O81" s="5"/>
      <c r="P81" s="5"/>
    </row>
    <row r="82" spans="2:16" s="2" customFormat="1" x14ac:dyDescent="0.2">
      <c r="B82" s="2" t="s">
        <v>76</v>
      </c>
      <c r="C82" s="5"/>
      <c r="D82" s="5"/>
      <c r="E82" s="5"/>
      <c r="F82" s="5"/>
      <c r="G82" s="5">
        <f t="shared" ref="G82:J82" si="31">SUM(G76:G81)</f>
        <v>-2274</v>
      </c>
      <c r="H82" s="5">
        <f t="shared" si="31"/>
        <v>-1945</v>
      </c>
      <c r="I82" s="5">
        <f t="shared" si="31"/>
        <v>6043</v>
      </c>
      <c r="J82" s="5">
        <f t="shared" si="31"/>
        <v>88</v>
      </c>
      <c r="K82" s="5">
        <f>SUM(K76:K81)</f>
        <v>-782</v>
      </c>
      <c r="L82" s="5">
        <f>SUM(L76:L81)</f>
        <v>1149</v>
      </c>
      <c r="M82" s="5"/>
      <c r="N82" s="5"/>
      <c r="O82" s="5"/>
      <c r="P82" s="5"/>
    </row>
    <row r="83" spans="2:16" x14ac:dyDescent="0.2">
      <c r="B83" s="2" t="s">
        <v>81</v>
      </c>
      <c r="G83" s="3">
        <v>-9</v>
      </c>
      <c r="H83" s="3">
        <f>1-G83</f>
        <v>10</v>
      </c>
      <c r="I83" s="3">
        <f>1-H83-G83</f>
        <v>0</v>
      </c>
      <c r="J83" s="3">
        <f>1-I83-H83-G83</f>
        <v>0</v>
      </c>
      <c r="K83" s="3">
        <v>0</v>
      </c>
      <c r="L83" s="3">
        <v>0</v>
      </c>
    </row>
    <row r="84" spans="2:16" x14ac:dyDescent="0.2">
      <c r="B84" s="2" t="s">
        <v>82</v>
      </c>
      <c r="G84" s="5">
        <f t="shared" ref="G84:J84" si="32">+G83+G82+G74+G66</f>
        <v>1683</v>
      </c>
      <c r="H84" s="5">
        <f t="shared" si="32"/>
        <v>210</v>
      </c>
      <c r="I84" s="5">
        <f t="shared" si="32"/>
        <v>2611</v>
      </c>
      <c r="J84" s="5">
        <f t="shared" si="32"/>
        <v>8243</v>
      </c>
      <c r="K84" s="5">
        <f>+K83+K82+K74+K66</f>
        <v>-12247</v>
      </c>
      <c r="L84" s="5">
        <f>+L83+L82+L74+L66</f>
        <v>824</v>
      </c>
    </row>
    <row r="86" spans="2:16" x14ac:dyDescent="0.2">
      <c r="B86" s="2" t="s">
        <v>83</v>
      </c>
      <c r="J86" s="5">
        <f>SUM(G66:J66)</f>
        <v>19017</v>
      </c>
      <c r="K86" s="5">
        <f t="shared" ref="K86:L86" si="33">SUM(H66:K66)</f>
        <v>18657</v>
      </c>
      <c r="L86" s="5">
        <f t="shared" si="33"/>
        <v>19062</v>
      </c>
    </row>
    <row r="87" spans="2:16" x14ac:dyDescent="0.2">
      <c r="B87" s="2" t="s">
        <v>84</v>
      </c>
      <c r="J87" s="5">
        <f>J86+J68</f>
        <v>16689</v>
      </c>
      <c r="K87" s="5">
        <f t="shared" ref="K87:L87" si="34">K86+K68</f>
        <v>17311</v>
      </c>
      <c r="L87" s="5">
        <f t="shared" si="34"/>
        <v>16776</v>
      </c>
    </row>
    <row r="89" spans="2:16" x14ac:dyDescent="0.2">
      <c r="B89" s="2" t="s">
        <v>46</v>
      </c>
      <c r="G89" s="5">
        <f>G38</f>
        <v>89566</v>
      </c>
      <c r="H89" s="5">
        <f t="shared" ref="H89:L89" si="35">H38</f>
        <v>90492</v>
      </c>
      <c r="I89" s="5">
        <f t="shared" si="35"/>
        <v>98552</v>
      </c>
      <c r="J89" s="5">
        <f t="shared" si="35"/>
        <v>103065</v>
      </c>
      <c r="K89" s="5">
        <f t="shared" si="35"/>
        <v>105467</v>
      </c>
      <c r="L89" s="5">
        <f t="shared" si="35"/>
        <v>109831</v>
      </c>
    </row>
    <row r="90" spans="2:16" x14ac:dyDescent="0.2">
      <c r="B90" s="2" t="s">
        <v>85</v>
      </c>
      <c r="G90" s="5">
        <f>+G89-G36</f>
        <v>74589</v>
      </c>
      <c r="H90" s="5">
        <f t="shared" ref="H90:L90" si="36">+H89-H36</f>
        <v>75229</v>
      </c>
      <c r="I90" s="5">
        <f t="shared" si="36"/>
        <v>83504</v>
      </c>
      <c r="J90" s="5">
        <f t="shared" si="36"/>
        <v>87800</v>
      </c>
      <c r="K90" s="5">
        <f t="shared" si="36"/>
        <v>77385</v>
      </c>
      <c r="L90" s="5">
        <f t="shared" si="36"/>
        <v>82018</v>
      </c>
    </row>
    <row r="91" spans="2:16" x14ac:dyDescent="0.2">
      <c r="B91" s="2" t="s">
        <v>86</v>
      </c>
      <c r="J91" s="8">
        <f>J87/J90</f>
        <v>0.19007972665148065</v>
      </c>
      <c r="K91" s="8">
        <f t="shared" ref="K91:L91" si="37">K87/K90</f>
        <v>0.22369968340117594</v>
      </c>
      <c r="L91" s="8">
        <f t="shared" si="37"/>
        <v>0.20454046672681606</v>
      </c>
    </row>
    <row r="93" spans="2:16" x14ac:dyDescent="0.2">
      <c r="B93" s="2" t="s">
        <v>87</v>
      </c>
      <c r="G93" s="5">
        <f>G35+G32</f>
        <v>37714</v>
      </c>
      <c r="H93" s="5">
        <f t="shared" ref="H93:L93" si="38">H35+H32</f>
        <v>37501</v>
      </c>
      <c r="I93" s="5">
        <f t="shared" si="38"/>
        <v>36562</v>
      </c>
      <c r="J93" s="5">
        <f t="shared" si="38"/>
        <v>37025</v>
      </c>
      <c r="K93" s="5">
        <f t="shared" si="38"/>
        <v>38395</v>
      </c>
      <c r="L93" s="5">
        <f t="shared" si="38"/>
        <v>39604</v>
      </c>
    </row>
    <row r="94" spans="2:16" x14ac:dyDescent="0.2">
      <c r="B94" s="2" t="s">
        <v>88</v>
      </c>
      <c r="J94" s="8">
        <f>J87/J93</f>
        <v>0.45074949358541527</v>
      </c>
      <c r="K94" s="8">
        <f t="shared" ref="K94:L94" si="39">K87/K93</f>
        <v>0.45086599817684592</v>
      </c>
      <c r="L94" s="8">
        <f t="shared" si="39"/>
        <v>0.42359357640642359</v>
      </c>
    </row>
    <row r="96" spans="2:16" x14ac:dyDescent="0.2">
      <c r="B96" s="2" t="s">
        <v>89</v>
      </c>
      <c r="J96" s="8">
        <f>J87/J48</f>
        <v>0.26925559033267721</v>
      </c>
      <c r="K96" s="8">
        <f t="shared" ref="K96:L96" si="40">K87/K48</f>
        <v>0.27890378294773477</v>
      </c>
      <c r="L96" s="8">
        <f t="shared" si="40"/>
        <v>0.269463674767496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2016-03-13T01:00:50Z</dcterms:created>
  <dcterms:modified xsi:type="dcterms:W3CDTF">2017-06-24T11:10:22Z</dcterms:modified>
</cp:coreProperties>
</file>