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225" windowHeight="1099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" l="1"/>
  <c r="V27" i="2"/>
  <c r="U27" i="2"/>
  <c r="AB27" i="2"/>
  <c r="AA27" i="2"/>
  <c r="Z27" i="2"/>
  <c r="Y27" i="2"/>
  <c r="X27" i="2"/>
  <c r="AB28" i="2"/>
  <c r="AA28" i="2"/>
  <c r="AA29" i="2"/>
  <c r="AB29" i="2"/>
  <c r="AK32" i="2"/>
  <c r="AJ32" i="2"/>
  <c r="AI32" i="2"/>
  <c r="AH32" i="2"/>
  <c r="AG32" i="2"/>
  <c r="AF32" i="2"/>
  <c r="AE32" i="2"/>
  <c r="AD32" i="2"/>
  <c r="AB33" i="2"/>
  <c r="AA33" i="2"/>
  <c r="Z33" i="2"/>
  <c r="Z32" i="2"/>
  <c r="AK12" i="2"/>
  <c r="AJ12" i="2"/>
  <c r="AI12" i="2"/>
  <c r="AH12" i="2"/>
  <c r="AG12" i="2"/>
  <c r="AF12" i="2"/>
  <c r="AE12" i="2"/>
  <c r="AD12" i="2"/>
  <c r="AK13" i="2"/>
  <c r="AJ13" i="2"/>
  <c r="AI13" i="2"/>
  <c r="AH13" i="2"/>
  <c r="AG13" i="2"/>
  <c r="AF13" i="2"/>
  <c r="AE13" i="2"/>
  <c r="AD13" i="2"/>
  <c r="AK11" i="2"/>
  <c r="AJ11" i="2"/>
  <c r="AI11" i="2"/>
  <c r="AH11" i="2"/>
  <c r="AG11" i="2"/>
  <c r="AF11" i="2"/>
  <c r="AE11" i="2"/>
  <c r="AF27" i="2" s="1"/>
  <c r="AD11" i="2"/>
  <c r="AD10" i="2"/>
  <c r="AE10" i="2" s="1"/>
  <c r="AF10" i="2" s="1"/>
  <c r="AG10" i="2" s="1"/>
  <c r="AH10" i="2" s="1"/>
  <c r="AI10" i="2" s="1"/>
  <c r="AJ10" i="2" s="1"/>
  <c r="AK10" i="2" s="1"/>
  <c r="AE9" i="2"/>
  <c r="AF9" i="2" s="1"/>
  <c r="AG9" i="2" s="1"/>
  <c r="AH9" i="2" s="1"/>
  <c r="AI9" i="2" s="1"/>
  <c r="AJ9" i="2" s="1"/>
  <c r="AK9" i="2" s="1"/>
  <c r="AD9" i="2"/>
  <c r="AK27" i="2"/>
  <c r="AJ27" i="2"/>
  <c r="AI27" i="2"/>
  <c r="AH27" i="2"/>
  <c r="AG27" i="2"/>
  <c r="AD27" i="2"/>
  <c r="AC10" i="2"/>
  <c r="AC9" i="2"/>
  <c r="R18" i="2"/>
  <c r="R17" i="2"/>
  <c r="R16" i="2"/>
  <c r="R15" i="2"/>
  <c r="R14" i="2"/>
  <c r="R13" i="2"/>
  <c r="R12" i="2" s="1"/>
  <c r="R10" i="2"/>
  <c r="R9" i="2"/>
  <c r="Q16" i="2"/>
  <c r="Q17" i="2" s="1"/>
  <c r="Q15" i="2"/>
  <c r="Q14" i="2"/>
  <c r="Q11" i="2"/>
  <c r="Q27" i="2" s="1"/>
  <c r="Q10" i="2"/>
  <c r="Q9" i="2"/>
  <c r="P24" i="2"/>
  <c r="P19" i="2"/>
  <c r="P16" i="2"/>
  <c r="P15" i="2"/>
  <c r="P14" i="2"/>
  <c r="P17" i="2" s="1"/>
  <c r="P18" i="2" s="1"/>
  <c r="P13" i="2"/>
  <c r="P32" i="2" s="1"/>
  <c r="P12" i="2"/>
  <c r="P11" i="2"/>
  <c r="P10" i="2"/>
  <c r="P9" i="2"/>
  <c r="P27" i="2"/>
  <c r="O24" i="2"/>
  <c r="O19" i="2"/>
  <c r="O16" i="2"/>
  <c r="O15" i="2"/>
  <c r="O14" i="2"/>
  <c r="O12" i="2"/>
  <c r="O13" i="2"/>
  <c r="O32" i="2" s="1"/>
  <c r="O10" i="2"/>
  <c r="O9" i="2"/>
  <c r="O27" i="2"/>
  <c r="N89" i="2"/>
  <c r="N87" i="2"/>
  <c r="N86" i="2"/>
  <c r="N85" i="2"/>
  <c r="N84" i="2"/>
  <c r="N83" i="2"/>
  <c r="N82" i="2"/>
  <c r="N81" i="2"/>
  <c r="N80" i="2"/>
  <c r="N79" i="2"/>
  <c r="N78" i="2"/>
  <c r="N76" i="2"/>
  <c r="N75" i="2"/>
  <c r="N74" i="2"/>
  <c r="N73" i="2"/>
  <c r="N72" i="2"/>
  <c r="N71" i="2"/>
  <c r="N69" i="2"/>
  <c r="N68" i="2"/>
  <c r="N67" i="2"/>
  <c r="N66" i="2"/>
  <c r="N65" i="2"/>
  <c r="N64" i="2"/>
  <c r="N63" i="2"/>
  <c r="N62" i="2"/>
  <c r="N61" i="2"/>
  <c r="N60" i="2"/>
  <c r="N59" i="2"/>
  <c r="M89" i="2"/>
  <c r="M87" i="2"/>
  <c r="M86" i="2"/>
  <c r="M85" i="2"/>
  <c r="M84" i="2"/>
  <c r="M83" i="2"/>
  <c r="M82" i="2"/>
  <c r="M81" i="2"/>
  <c r="M80" i="2"/>
  <c r="M78" i="2"/>
  <c r="M76" i="2"/>
  <c r="M73" i="2"/>
  <c r="M72" i="2"/>
  <c r="M71" i="2"/>
  <c r="M69" i="2"/>
  <c r="M68" i="2"/>
  <c r="M67" i="2"/>
  <c r="M66" i="2"/>
  <c r="M65" i="2"/>
  <c r="M64" i="2"/>
  <c r="M63" i="2"/>
  <c r="M62" i="2"/>
  <c r="M61" i="2"/>
  <c r="M60" i="2"/>
  <c r="M59" i="2"/>
  <c r="L89" i="2"/>
  <c r="L87" i="2"/>
  <c r="L86" i="2"/>
  <c r="L85" i="2"/>
  <c r="L84" i="2"/>
  <c r="L83" i="2"/>
  <c r="L82" i="2"/>
  <c r="L81" i="2"/>
  <c r="L80" i="2"/>
  <c r="L78" i="2"/>
  <c r="L76" i="2"/>
  <c r="L75" i="2"/>
  <c r="L74" i="2"/>
  <c r="L73" i="2"/>
  <c r="L72" i="2"/>
  <c r="L71" i="2"/>
  <c r="L69" i="2"/>
  <c r="L68" i="2"/>
  <c r="L67" i="2"/>
  <c r="L66" i="2"/>
  <c r="L65" i="2"/>
  <c r="L64" i="2"/>
  <c r="L62" i="2"/>
  <c r="L61" i="2"/>
  <c r="L60" i="2"/>
  <c r="L59" i="2"/>
  <c r="K89" i="2"/>
  <c r="K87" i="2"/>
  <c r="K85" i="2"/>
  <c r="K76" i="2"/>
  <c r="K72" i="2"/>
  <c r="K71" i="2"/>
  <c r="K69" i="2"/>
  <c r="N58" i="2"/>
  <c r="M58" i="2"/>
  <c r="L58" i="2"/>
  <c r="K58" i="2"/>
  <c r="K47" i="2"/>
  <c r="K35" i="2" s="1"/>
  <c r="K54" i="2"/>
  <c r="K50" i="2"/>
  <c r="K36" i="2"/>
  <c r="K44" i="2"/>
  <c r="K42" i="2"/>
  <c r="K45" i="2"/>
  <c r="G32" i="2"/>
  <c r="G12" i="2"/>
  <c r="G17" i="2"/>
  <c r="G11" i="2"/>
  <c r="G13" i="2" s="1"/>
  <c r="K32" i="2"/>
  <c r="K27" i="2"/>
  <c r="K19" i="2"/>
  <c r="K12" i="2"/>
  <c r="K17" i="2"/>
  <c r="K11" i="2"/>
  <c r="O4" i="2"/>
  <c r="L54" i="2"/>
  <c r="L50" i="2"/>
  <c r="L44" i="2"/>
  <c r="L42" i="2"/>
  <c r="L36" i="2"/>
  <c r="L56" i="2"/>
  <c r="M1" i="2"/>
  <c r="H32" i="2"/>
  <c r="H19" i="2"/>
  <c r="H12" i="2"/>
  <c r="H17" i="2"/>
  <c r="H11" i="2"/>
  <c r="H13" i="2" s="1"/>
  <c r="L12" i="2"/>
  <c r="L17" i="2"/>
  <c r="L11" i="2"/>
  <c r="M56" i="2"/>
  <c r="M50" i="2"/>
  <c r="M47" i="2"/>
  <c r="M35" i="2" s="1"/>
  <c r="M45" i="2"/>
  <c r="M42" i="2"/>
  <c r="M36" i="2"/>
  <c r="I32" i="2"/>
  <c r="I19" i="2"/>
  <c r="I12" i="2"/>
  <c r="I17" i="2"/>
  <c r="I11" i="2"/>
  <c r="M20" i="2"/>
  <c r="M22" i="2" s="1"/>
  <c r="M23" i="2" s="1"/>
  <c r="M19" i="2"/>
  <c r="M18" i="2"/>
  <c r="M17" i="2"/>
  <c r="M32" i="2"/>
  <c r="M13" i="2"/>
  <c r="M12" i="2"/>
  <c r="M11" i="2"/>
  <c r="AD1" i="2"/>
  <c r="AE1" i="2" s="1"/>
  <c r="AF1" i="2" s="1"/>
  <c r="AC1" i="2"/>
  <c r="AA89" i="2"/>
  <c r="AA72" i="2"/>
  <c r="AA76" i="2" s="1"/>
  <c r="AA71" i="2"/>
  <c r="AA61" i="2"/>
  <c r="AA85" i="2"/>
  <c r="AA69" i="2"/>
  <c r="AA58" i="2"/>
  <c r="AB69" i="2"/>
  <c r="AB89" i="2" s="1"/>
  <c r="AB85" i="2"/>
  <c r="AB87" i="2" s="1"/>
  <c r="AB78" i="2"/>
  <c r="AB76" i="2"/>
  <c r="AB72" i="2"/>
  <c r="AB71" i="2"/>
  <c r="AB56" i="2"/>
  <c r="AB50" i="2"/>
  <c r="AB47" i="2"/>
  <c r="AB42" i="2"/>
  <c r="AB36" i="2"/>
  <c r="AB45" i="2" s="1"/>
  <c r="AB35" i="2"/>
  <c r="AC27" i="2"/>
  <c r="N35" i="2"/>
  <c r="N56" i="2"/>
  <c r="N50" i="2"/>
  <c r="N47" i="2"/>
  <c r="N45" i="2"/>
  <c r="N42" i="2"/>
  <c r="N36" i="2"/>
  <c r="N32" i="2"/>
  <c r="J32" i="2"/>
  <c r="N27" i="2"/>
  <c r="J19" i="2"/>
  <c r="J12" i="2"/>
  <c r="J17" i="2"/>
  <c r="J11" i="2"/>
  <c r="J13" i="2" s="1"/>
  <c r="N19" i="2"/>
  <c r="N20" i="2" s="1"/>
  <c r="N22" i="2" s="1"/>
  <c r="N23" i="2" s="1"/>
  <c r="N18" i="2"/>
  <c r="N17" i="2"/>
  <c r="N13" i="2"/>
  <c r="N12" i="2"/>
  <c r="N11" i="2"/>
  <c r="Z19" i="2"/>
  <c r="Z12" i="2"/>
  <c r="Z17" i="2"/>
  <c r="AA19" i="2"/>
  <c r="AA12" i="2"/>
  <c r="AA17" i="2"/>
  <c r="AB19" i="2"/>
  <c r="AB17" i="2"/>
  <c r="AB12" i="2"/>
  <c r="Q19" i="2" l="1"/>
  <c r="R19" i="2" s="1"/>
  <c r="R20" i="2" s="1"/>
  <c r="Q24" i="2"/>
  <c r="R24" i="2" s="1"/>
  <c r="O17" i="2"/>
  <c r="O18" i="2" s="1"/>
  <c r="O20" i="2" s="1"/>
  <c r="O22" i="2" s="1"/>
  <c r="O23" i="2" s="1"/>
  <c r="AC15" i="2"/>
  <c r="AD15" i="2" s="1"/>
  <c r="AE15" i="2" s="1"/>
  <c r="AF15" i="2" s="1"/>
  <c r="AG15" i="2" s="1"/>
  <c r="AH15" i="2" s="1"/>
  <c r="AI15" i="2" s="1"/>
  <c r="AJ15" i="2" s="1"/>
  <c r="AK15" i="2" s="1"/>
  <c r="AC14" i="2"/>
  <c r="AD14" i="2" s="1"/>
  <c r="AE14" i="2" s="1"/>
  <c r="AC16" i="2"/>
  <c r="AD16" i="2" s="1"/>
  <c r="AE16" i="2" s="1"/>
  <c r="AF16" i="2" s="1"/>
  <c r="AG16" i="2" s="1"/>
  <c r="AH16" i="2" s="1"/>
  <c r="AI16" i="2" s="1"/>
  <c r="AJ16" i="2" s="1"/>
  <c r="AK16" i="2" s="1"/>
  <c r="AE27" i="2"/>
  <c r="R11" i="2"/>
  <c r="R27" i="2"/>
  <c r="Q13" i="2"/>
  <c r="Q32" i="2" s="1"/>
  <c r="P20" i="2"/>
  <c r="P22" i="2" s="1"/>
  <c r="P23" i="2" s="1"/>
  <c r="K56" i="2"/>
  <c r="G18" i="2"/>
  <c r="G20" i="2"/>
  <c r="G22" i="2" s="1"/>
  <c r="G23" i="2" s="1"/>
  <c r="K13" i="2"/>
  <c r="K18" i="2" s="1"/>
  <c r="K20" i="2" s="1"/>
  <c r="K22" i="2" s="1"/>
  <c r="K23" i="2" s="1"/>
  <c r="L45" i="2"/>
  <c r="L35" i="2"/>
  <c r="H18" i="2"/>
  <c r="L27" i="2"/>
  <c r="H20" i="2"/>
  <c r="H22" i="2" s="1"/>
  <c r="H23" i="2" s="1"/>
  <c r="L13" i="2"/>
  <c r="I13" i="2"/>
  <c r="I18" i="2" s="1"/>
  <c r="I20" i="2" s="1"/>
  <c r="I22" i="2" s="1"/>
  <c r="I23" i="2" s="1"/>
  <c r="M27" i="2"/>
  <c r="AA87" i="2"/>
  <c r="J18" i="2"/>
  <c r="J20" i="2"/>
  <c r="J22" i="2" s="1"/>
  <c r="J23" i="2" s="1"/>
  <c r="AC19" i="2" l="1"/>
  <c r="AC24" i="2"/>
  <c r="AD24" i="2" s="1"/>
  <c r="AE24" i="2" s="1"/>
  <c r="AF24" i="2" s="1"/>
  <c r="AG24" i="2" s="1"/>
  <c r="AH24" i="2" s="1"/>
  <c r="AI24" i="2" s="1"/>
  <c r="AJ24" i="2" s="1"/>
  <c r="AK24" i="2" s="1"/>
  <c r="AC17" i="2"/>
  <c r="AD17" i="2"/>
  <c r="AD18" i="2" s="1"/>
  <c r="AF14" i="2"/>
  <c r="AE17" i="2"/>
  <c r="AE18" i="2" s="1"/>
  <c r="Q18" i="2"/>
  <c r="Q20" i="2" s="1"/>
  <c r="Q12" i="2"/>
  <c r="AC12" i="2" s="1"/>
  <c r="AC13" i="2" s="1"/>
  <c r="AC32" i="2" s="1"/>
  <c r="R32" i="2"/>
  <c r="L18" i="2"/>
  <c r="L20" i="2" s="1"/>
  <c r="L22" i="2" s="1"/>
  <c r="L23" i="2" s="1"/>
  <c r="L32" i="2"/>
  <c r="AC18" i="2" l="1"/>
  <c r="AC20" i="2" s="1"/>
  <c r="AG14" i="2"/>
  <c r="AF17" i="2"/>
  <c r="AF18" i="2" s="1"/>
  <c r="R22" i="2"/>
  <c r="R23" i="2" s="1"/>
  <c r="Q21" i="2"/>
  <c r="Q22" i="2" l="1"/>
  <c r="Q23" i="2" s="1"/>
  <c r="AC21" i="2"/>
  <c r="AH14" i="2"/>
  <c r="AG17" i="2"/>
  <c r="AG18" i="2" s="1"/>
  <c r="AC22" i="2" l="1"/>
  <c r="AC33" i="2"/>
  <c r="AI14" i="2"/>
  <c r="AH17" i="2"/>
  <c r="AH18" i="2" s="1"/>
  <c r="AC23" i="2" l="1"/>
  <c r="AC35" i="2"/>
  <c r="AJ14" i="2"/>
  <c r="AI17" i="2"/>
  <c r="AI18" i="2" s="1"/>
  <c r="AD19" i="2" l="1"/>
  <c r="AD20" i="2" s="1"/>
  <c r="AD21" i="2" s="1"/>
  <c r="AK14" i="2"/>
  <c r="AK17" i="2" s="1"/>
  <c r="AK18" i="2" s="1"/>
  <c r="AJ17" i="2"/>
  <c r="AJ18" i="2" s="1"/>
  <c r="AD22" i="2" l="1"/>
  <c r="AD33" i="2"/>
  <c r="AD23" i="2" l="1"/>
  <c r="AD35" i="2"/>
  <c r="AE19" i="2" l="1"/>
  <c r="AE20" i="2" s="1"/>
  <c r="AE21" i="2" s="1"/>
  <c r="AE22" i="2" l="1"/>
  <c r="AE33" i="2"/>
  <c r="AE23" i="2" l="1"/>
  <c r="AE35" i="2"/>
  <c r="AF19" i="2" l="1"/>
  <c r="AF20" i="2" s="1"/>
  <c r="AF21" i="2" s="1"/>
  <c r="AF22" i="2" l="1"/>
  <c r="AF33" i="2"/>
  <c r="AF23" i="2" l="1"/>
  <c r="AF35" i="2"/>
  <c r="AG19" i="2" l="1"/>
  <c r="AG20" i="2" s="1"/>
  <c r="AG21" i="2" s="1"/>
  <c r="AG22" i="2" l="1"/>
  <c r="AG33" i="2"/>
  <c r="AG23" i="2" l="1"/>
  <c r="AG35" i="2"/>
  <c r="AH19" i="2" l="1"/>
  <c r="AH20" i="2" s="1"/>
  <c r="AH21" i="2" s="1"/>
  <c r="AA1" i="2"/>
  <c r="Z1" i="2" s="1"/>
  <c r="AB11" i="2"/>
  <c r="AA11" i="2"/>
  <c r="AA13" i="2" s="1"/>
  <c r="Z11" i="2"/>
  <c r="Z13" i="2" s="1"/>
  <c r="Z18" i="2" s="1"/>
  <c r="Z20" i="2" s="1"/>
  <c r="Z22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M6" i="1"/>
  <c r="M5" i="1"/>
  <c r="M4" i="1"/>
  <c r="M7" i="1" s="1"/>
  <c r="AH22" i="2" l="1"/>
  <c r="AH33" i="2"/>
  <c r="AA32" i="2"/>
  <c r="AA18" i="2"/>
  <c r="AA20" i="2" s="1"/>
  <c r="AA22" i="2" s="1"/>
  <c r="AB13" i="2"/>
  <c r="AH23" i="2" l="1"/>
  <c r="AH35" i="2"/>
  <c r="AB32" i="2"/>
  <c r="AB18" i="2"/>
  <c r="AB20" i="2" s="1"/>
  <c r="AB22" i="2" s="1"/>
  <c r="AB58" i="2" s="1"/>
  <c r="AI19" i="2" l="1"/>
  <c r="AI20" i="2" s="1"/>
  <c r="AI21" i="2" s="1"/>
  <c r="AI22" i="2" l="1"/>
  <c r="AI33" i="2"/>
  <c r="AI23" i="2" l="1"/>
  <c r="AI35" i="2"/>
  <c r="AJ19" i="2" l="1"/>
  <c r="AJ20" i="2" s="1"/>
  <c r="AJ21" i="2" s="1"/>
  <c r="AJ22" i="2" l="1"/>
  <c r="AJ33" i="2"/>
  <c r="AJ23" i="2" l="1"/>
  <c r="AJ35" i="2"/>
  <c r="AK19" i="2" l="1"/>
  <c r="AK20" i="2" s="1"/>
  <c r="AK21" i="2" l="1"/>
  <c r="AK33" i="2" s="1"/>
  <c r="AK22" i="2" l="1"/>
  <c r="AL22" i="2" l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AN33" i="2" s="1"/>
  <c r="AN34" i="2" s="1"/>
  <c r="AK23" i="2"/>
  <c r="AK35" i="2"/>
</calcChain>
</file>

<file path=xl/comments1.xml><?xml version="1.0" encoding="utf-8"?>
<comments xmlns="http://schemas.openxmlformats.org/spreadsheetml/2006/main">
  <authors>
    <author>Martin Shkreli</author>
  </authors>
  <commentList>
    <comment ref="M1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TurboTax Online +15% y/y
TurboTax +12%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740-760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5000-5100bn</t>
        </r>
      </text>
    </comment>
  </commentList>
</comments>
</file>

<file path=xl/sharedStrings.xml><?xml version="1.0" encoding="utf-8"?>
<sst xmlns="http://schemas.openxmlformats.org/spreadsheetml/2006/main" count="111" uniqueCount="98">
  <si>
    <t>Price</t>
  </si>
  <si>
    <t>Share</t>
  </si>
  <si>
    <t>MC</t>
  </si>
  <si>
    <t>Cash</t>
  </si>
  <si>
    <t>Debt</t>
  </si>
  <si>
    <t>EV</t>
  </si>
  <si>
    <t>Q216</t>
  </si>
  <si>
    <t>Main</t>
  </si>
  <si>
    <t>Product</t>
  </si>
  <si>
    <t>Service and other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</si>
  <si>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</si>
  <si>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</si>
  <si>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</si>
  <si>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</si>
  <si>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</si>
  <si>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</si>
  <si>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</si>
  <si>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</si>
  <si>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</si>
  <si>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</si>
  <si>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</si>
  <si>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</si>
  <si>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Gross Margin</t>
  </si>
  <si>
    <t>COGS</t>
  </si>
  <si>
    <t>Gross Profit</t>
  </si>
  <si>
    <t>Operating Profit</t>
  </si>
  <si>
    <t>Operating Expenses</t>
  </si>
  <si>
    <t>G&amp;A</t>
  </si>
  <si>
    <t>R&amp;D</t>
  </si>
  <si>
    <t>S&amp;M</t>
  </si>
  <si>
    <t>Net Income</t>
  </si>
  <si>
    <t>Taxes</t>
  </si>
  <si>
    <t>Pretax Income</t>
  </si>
  <si>
    <t>Interest Income</t>
  </si>
  <si>
    <t>Q117</t>
  </si>
  <si>
    <t>Q217</t>
  </si>
  <si>
    <t>Q317</t>
  </si>
  <si>
    <t>Q417</t>
  </si>
  <si>
    <t>Revenue Growth</t>
  </si>
  <si>
    <t>QuickBooks</t>
  </si>
  <si>
    <t>Brand</t>
  </si>
  <si>
    <t>TurboTax</t>
  </si>
  <si>
    <t>Shares</t>
  </si>
  <si>
    <t>EPS</t>
  </si>
  <si>
    <t>A/R</t>
  </si>
  <si>
    <t>Tax Receivables</t>
  </si>
  <si>
    <t>Prepaids</t>
  </si>
  <si>
    <t>Funds for customers</t>
  </si>
  <si>
    <t>PP&amp;E</t>
  </si>
  <si>
    <t>Goodwill</t>
  </si>
  <si>
    <t>OA</t>
  </si>
  <si>
    <t>LTDT</t>
  </si>
  <si>
    <t>Assets</t>
  </si>
  <si>
    <t>AP</t>
  </si>
  <si>
    <t>AC</t>
  </si>
  <si>
    <t>D/R</t>
  </si>
  <si>
    <t>L+SE</t>
  </si>
  <si>
    <t>SE</t>
  </si>
  <si>
    <t>Customer funds</t>
  </si>
  <si>
    <t>OCL</t>
  </si>
  <si>
    <t>Net Cash</t>
  </si>
  <si>
    <t>Model NI</t>
  </si>
  <si>
    <t>Reported NI</t>
  </si>
  <si>
    <t>CFFO</t>
  </si>
  <si>
    <t>Working Capital</t>
  </si>
  <si>
    <t>ETB</t>
  </si>
  <si>
    <t>TB</t>
  </si>
  <si>
    <t>D/T</t>
  </si>
  <si>
    <t>Discontinued</t>
  </si>
  <si>
    <t>SBC</t>
  </si>
  <si>
    <t>Other</t>
  </si>
  <si>
    <t>Amortization</t>
  </si>
  <si>
    <t>Depreciation</t>
  </si>
  <si>
    <t>CIC</t>
  </si>
  <si>
    <t>FX</t>
  </si>
  <si>
    <t>CFFF</t>
  </si>
  <si>
    <t>Dividends</t>
  </si>
  <si>
    <t>Buybacks</t>
  </si>
  <si>
    <t>ESOP</t>
  </si>
  <si>
    <t>Credit Facilities</t>
  </si>
  <si>
    <t>CFFI</t>
  </si>
  <si>
    <t>Investments</t>
  </si>
  <si>
    <t>Customer Funds</t>
  </si>
  <si>
    <t>CapEx</t>
  </si>
  <si>
    <t>Divestitures</t>
  </si>
  <si>
    <t>CFFO-SBC+CapEx</t>
  </si>
  <si>
    <t>QuickBooks Online</t>
  </si>
  <si>
    <t>ProConnect</t>
  </si>
  <si>
    <t>Quicken, QuickBase and Demandforce divested.</t>
  </si>
  <si>
    <t>OL</t>
  </si>
  <si>
    <t>Tax Rate</t>
  </si>
  <si>
    <t>Maturity</t>
  </si>
  <si>
    <t>Discount</t>
  </si>
  <si>
    <t>ROIC</t>
  </si>
  <si>
    <t>NPV</t>
  </si>
  <si>
    <t>% of Revenue</t>
  </si>
  <si>
    <t>TurboTax Y/Y</t>
  </si>
  <si>
    <t>QuickBooks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</si>
</sst>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1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2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9" fontId="0" fillId="0" borderId="0" xfId="0" applyNumberFormat="1" applyBorder="1"/>
    <xf numFmtId="165" fontId="2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0</xdr:row>
      <xdr:rowOff>0</xdr:rowOff>
    </xdr:from>
    <xdr:to>
      <xdr:col>28</xdr:col>
      <xdr:colOff>28575</xdr:colOff>
      <xdr:row>98</xdr:row>
      <xdr:rowOff>66675</xdr:rowOff>
    </xdr:to>
    <xdr:cxnSp macro="">
      <xdr:nvCxnSpPr>
        <xdr:cNvPr id="3" name="Straight Connector 2"/>
        <xdr:cNvCxnSpPr/>
      </xdr:nvCxnSpPr>
      <xdr:spPr>
        <a:xfrm>
          <a:off x="16202025" y="0"/>
          <a:ext cx="0" cy="13992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0</xdr:row>
      <xdr:rowOff>9525</xdr:rowOff>
    </xdr:from>
    <xdr:to>
      <xdr:col>14</xdr:col>
      <xdr:colOff>38100</xdr:colOff>
      <xdr:row>94</xdr:row>
      <xdr:rowOff>114300</xdr:rowOff>
    </xdr:to>
    <xdr:cxnSp macro="">
      <xdr:nvCxnSpPr>
        <xdr:cNvPr id="4" name="Straight Connector 3"/>
        <xdr:cNvCxnSpPr/>
      </xdr:nvCxnSpPr>
      <xdr:spPr>
        <a:xfrm>
          <a:off x="8896350" y="9525"/>
          <a:ext cx="0" cy="13382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workbookViewId="0">
      <selection activeCell="D2" sqref="D2"/>
    </sheetView>
  </sheetViews>
  <sheetFormatPr defaultRowHeight="12.75" x14ac:dyDescent="0.2"/>
  <cols>
    <col min="1" max="1" width="5.42578125" customWidth="1"/>
    <col min="2" max="2" width="11.140625" bestFit="1" customWidth="1"/>
    <col min="3" max="3" width="12.28515625" bestFit="1" customWidth="1"/>
  </cols>
  <sheetData>
    <row r="2" spans="2:14" x14ac:dyDescent="0.2">
      <c r="B2" s="16" t="s">
        <v>40</v>
      </c>
      <c r="C2" s="17" t="s">
        <v>95</v>
      </c>
      <c r="D2" s="17"/>
      <c r="E2" s="17"/>
      <c r="F2" s="17"/>
      <c r="G2" s="17"/>
      <c r="H2" s="17"/>
      <c r="I2" s="18"/>
      <c r="L2" t="s">
        <v>0</v>
      </c>
      <c r="M2" s="1">
        <v>109.9</v>
      </c>
    </row>
    <row r="3" spans="2:14" x14ac:dyDescent="0.2">
      <c r="B3" s="19" t="s">
        <v>39</v>
      </c>
      <c r="C3" s="30">
        <v>0.49</v>
      </c>
      <c r="D3" s="20"/>
      <c r="E3" s="20"/>
      <c r="F3" s="20"/>
      <c r="G3" s="20"/>
      <c r="H3" s="20"/>
      <c r="I3" s="21"/>
      <c r="L3" t="s">
        <v>1</v>
      </c>
      <c r="M3" s="3">
        <v>257.93805200000003</v>
      </c>
      <c r="N3" s="2" t="s">
        <v>6</v>
      </c>
    </row>
    <row r="4" spans="2:14" x14ac:dyDescent="0.2">
      <c r="B4" s="19" t="s">
        <v>41</v>
      </c>
      <c r="C4" s="30">
        <v>0.42</v>
      </c>
      <c r="D4" s="20"/>
      <c r="E4" s="20"/>
      <c r="F4" s="20"/>
      <c r="G4" s="20"/>
      <c r="H4" s="20"/>
      <c r="I4" s="21"/>
      <c r="L4" t="s">
        <v>2</v>
      </c>
      <c r="M4" s="3">
        <f>+M3*M2</f>
        <v>28347.391914800006</v>
      </c>
      <c r="N4" s="2"/>
    </row>
    <row r="5" spans="2:14" x14ac:dyDescent="0.2">
      <c r="B5" s="19" t="s">
        <v>87</v>
      </c>
      <c r="C5" s="30">
        <v>0.09</v>
      </c>
      <c r="D5" s="20"/>
      <c r="E5" s="20"/>
      <c r="F5" s="20"/>
      <c r="G5" s="20"/>
      <c r="H5" s="20"/>
      <c r="I5" s="21"/>
      <c r="L5" t="s">
        <v>3</v>
      </c>
      <c r="M5" s="3">
        <f>638+442+28</f>
        <v>1108</v>
      </c>
      <c r="N5" s="2" t="s">
        <v>6</v>
      </c>
    </row>
    <row r="6" spans="2:14" x14ac:dyDescent="0.2">
      <c r="B6" s="19"/>
      <c r="C6" s="20"/>
      <c r="D6" s="20"/>
      <c r="E6" s="20"/>
      <c r="F6" s="20"/>
      <c r="G6" s="20"/>
      <c r="H6" s="20"/>
      <c r="I6" s="21"/>
      <c r="L6" t="s">
        <v>4</v>
      </c>
      <c r="M6" s="3">
        <f>488+512</f>
        <v>1000</v>
      </c>
      <c r="N6" s="2" t="s">
        <v>6</v>
      </c>
    </row>
    <row r="7" spans="2:14" x14ac:dyDescent="0.2">
      <c r="B7" s="19"/>
      <c r="C7" s="20"/>
      <c r="D7" s="20"/>
      <c r="E7" s="20"/>
      <c r="F7" s="20"/>
      <c r="G7" s="20"/>
      <c r="H7" s="20"/>
      <c r="I7" s="21"/>
      <c r="L7" t="s">
        <v>5</v>
      </c>
      <c r="M7" s="3">
        <f>+M4-M5+M6</f>
        <v>28239.391914800006</v>
      </c>
    </row>
    <row r="8" spans="2:14" x14ac:dyDescent="0.2">
      <c r="B8" s="22"/>
      <c r="C8" s="23"/>
      <c r="D8" s="23"/>
      <c r="E8" s="23"/>
      <c r="F8" s="23"/>
      <c r="G8" s="23"/>
      <c r="H8" s="23"/>
      <c r="I8" s="24"/>
    </row>
    <row r="12" spans="2:14" x14ac:dyDescent="0.2">
      <c r="B12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K89"/>
  <sheetViews>
    <sheetView tabSelected="1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Q27" sqref="AQ27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  <col min="11" max="11" width="10.140625" style="2" bestFit="1" customWidth="1"/>
    <col min="12" max="21" width="9.140625" style="2"/>
    <col min="40" max="40" width="10.7109375" bestFit="1" customWidth="1"/>
  </cols>
  <sheetData>
    <row r="1" spans="1:37" x14ac:dyDescent="0.2">
      <c r="A1" s="25" t="s">
        <v>7</v>
      </c>
      <c r="J1" s="10">
        <v>42216</v>
      </c>
      <c r="K1" s="10">
        <v>42308</v>
      </c>
      <c r="L1" s="10">
        <v>42400</v>
      </c>
      <c r="M1" s="10">
        <f>+L1+90</f>
        <v>42490</v>
      </c>
      <c r="N1" s="10">
        <v>42582</v>
      </c>
      <c r="Z1" s="7">
        <f>+AA1-365</f>
        <v>41851</v>
      </c>
      <c r="AA1" s="7">
        <f>+AB1-366</f>
        <v>42216</v>
      </c>
      <c r="AB1" s="7">
        <v>42582</v>
      </c>
      <c r="AC1" s="7">
        <f>+AB1+365</f>
        <v>42947</v>
      </c>
      <c r="AD1" s="7">
        <f t="shared" ref="AD1:AE1" si="0">+AC1+365</f>
        <v>43312</v>
      </c>
      <c r="AE1" s="7">
        <f t="shared" si="0"/>
        <v>43677</v>
      </c>
      <c r="AF1" s="7">
        <f>+AE1+366</f>
        <v>44043</v>
      </c>
    </row>
    <row r="2" spans="1:37" x14ac:dyDescent="0.2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6</v>
      </c>
      <c r="M2" s="2" t="s">
        <v>20</v>
      </c>
      <c r="N2" s="2" t="s">
        <v>21</v>
      </c>
      <c r="O2" s="2" t="s">
        <v>34</v>
      </c>
      <c r="P2" s="2" t="s">
        <v>35</v>
      </c>
      <c r="Q2" s="2" t="s">
        <v>36</v>
      </c>
      <c r="R2" s="2" t="s">
        <v>37</v>
      </c>
      <c r="T2" s="2">
        <v>2008</v>
      </c>
      <c r="U2" s="2">
        <v>2009</v>
      </c>
      <c r="V2">
        <v>2010</v>
      </c>
      <c r="W2">
        <f>+V2+1</f>
        <v>2011</v>
      </c>
      <c r="X2">
        <f t="shared" ref="X2:AK2" si="1">+W2+1</f>
        <v>2012</v>
      </c>
      <c r="Y2">
        <f t="shared" si="1"/>
        <v>2013</v>
      </c>
      <c r="Z2">
        <f t="shared" si="1"/>
        <v>2014</v>
      </c>
      <c r="AA2">
        <f t="shared" si="1"/>
        <v>2015</v>
      </c>
      <c r="AB2">
        <f t="shared" si="1"/>
        <v>2016</v>
      </c>
      <c r="AC2">
        <f t="shared" si="1"/>
        <v>2017</v>
      </c>
      <c r="AD2">
        <f t="shared" si="1"/>
        <v>2018</v>
      </c>
      <c r="AE2">
        <f t="shared" si="1"/>
        <v>2019</v>
      </c>
      <c r="AF2">
        <f t="shared" si="1"/>
        <v>2020</v>
      </c>
      <c r="AG2">
        <f t="shared" si="1"/>
        <v>2021</v>
      </c>
      <c r="AH2">
        <f t="shared" si="1"/>
        <v>2022</v>
      </c>
      <c r="AI2">
        <f t="shared" si="1"/>
        <v>2023</v>
      </c>
      <c r="AJ2">
        <f t="shared" si="1"/>
        <v>2024</v>
      </c>
      <c r="AK2">
        <f t="shared" si="1"/>
        <v>2025</v>
      </c>
    </row>
    <row r="3" spans="1:37" s="3" customFormat="1" x14ac:dyDescent="0.2">
      <c r="B3" s="3" t="s">
        <v>86</v>
      </c>
      <c r="C3" s="9"/>
      <c r="D3" s="9"/>
      <c r="E3" s="9"/>
      <c r="F3" s="9"/>
      <c r="G3" s="9"/>
      <c r="H3" s="9"/>
      <c r="I3" s="9"/>
      <c r="J3" s="9"/>
      <c r="K3" s="9">
        <v>1159</v>
      </c>
      <c r="L3" s="9">
        <v>1257</v>
      </c>
      <c r="M3" s="9">
        <v>1397</v>
      </c>
      <c r="N3" s="9">
        <v>1513</v>
      </c>
      <c r="O3" s="9">
        <v>1600</v>
      </c>
      <c r="P3" s="9"/>
      <c r="Q3" s="9"/>
      <c r="R3" s="9"/>
      <c r="S3" s="9"/>
      <c r="T3" s="9"/>
      <c r="U3" s="9"/>
    </row>
    <row r="4" spans="1:37" s="3" customFormat="1" x14ac:dyDescent="0.2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2">
        <f>O3/K3-1</f>
        <v>0.3805004314063849</v>
      </c>
      <c r="P4" s="9"/>
      <c r="Q4" s="9"/>
      <c r="R4" s="9"/>
      <c r="S4" s="9"/>
      <c r="T4" s="9"/>
      <c r="U4" s="9"/>
    </row>
    <row r="5" spans="1:37" s="3" customFormat="1" x14ac:dyDescent="0.2">
      <c r="B5" s="3" t="s">
        <v>41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2"/>
      <c r="P5" s="9"/>
      <c r="Q5" s="9"/>
      <c r="R5" s="9"/>
      <c r="S5" s="9"/>
      <c r="T5" s="9"/>
      <c r="U5" s="9"/>
      <c r="Z5" s="3">
        <v>1663</v>
      </c>
      <c r="AA5" s="3">
        <v>1800</v>
      </c>
      <c r="AB5" s="3">
        <v>1973</v>
      </c>
    </row>
    <row r="6" spans="1:37" s="3" customFormat="1" x14ac:dyDescent="0.2">
      <c r="B6" s="3" t="s">
        <v>39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2"/>
      <c r="P6" s="9"/>
      <c r="Q6" s="9"/>
      <c r="R6" s="9"/>
      <c r="S6" s="9"/>
      <c r="T6" s="9"/>
      <c r="U6" s="9"/>
      <c r="Z6" s="3">
        <v>2158</v>
      </c>
      <c r="AA6" s="3">
        <v>2108</v>
      </c>
      <c r="AB6" s="3">
        <v>2293</v>
      </c>
    </row>
    <row r="7" spans="1:37" s="3" customForma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2"/>
      <c r="P7" s="9"/>
      <c r="Q7" s="9"/>
      <c r="R7" s="9"/>
      <c r="S7" s="9"/>
      <c r="T7" s="9"/>
      <c r="U7" s="9"/>
    </row>
    <row r="8" spans="1:37" s="3" customFormat="1" x14ac:dyDescent="0.2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37" s="3" customFormat="1" x14ac:dyDescent="0.2">
      <c r="B9" s="3" t="s">
        <v>8</v>
      </c>
      <c r="C9" s="9"/>
      <c r="D9" s="9"/>
      <c r="E9" s="9"/>
      <c r="F9" s="9"/>
      <c r="G9" s="9">
        <v>228</v>
      </c>
      <c r="H9" s="9">
        <v>195</v>
      </c>
      <c r="I9" s="9">
        <v>442</v>
      </c>
      <c r="J9" s="9">
        <v>281</v>
      </c>
      <c r="K9" s="9">
        <v>271</v>
      </c>
      <c r="L9" s="9">
        <v>264</v>
      </c>
      <c r="M9" s="9">
        <v>459</v>
      </c>
      <c r="N9" s="9">
        <v>295</v>
      </c>
      <c r="O9" s="9">
        <f>+K9*1.05</f>
        <v>284.55</v>
      </c>
      <c r="P9" s="9">
        <f>+L9*1.06</f>
        <v>279.84000000000003</v>
      </c>
      <c r="Q9" s="9">
        <f>+M9*1.1</f>
        <v>504.90000000000003</v>
      </c>
      <c r="R9" s="9">
        <f>+N9*1.05</f>
        <v>309.75</v>
      </c>
      <c r="S9" s="9"/>
      <c r="T9" s="9"/>
      <c r="U9" s="9"/>
      <c r="Z9" s="3">
        <v>1459</v>
      </c>
      <c r="AA9" s="3">
        <v>1146</v>
      </c>
      <c r="AB9" s="3">
        <v>1289</v>
      </c>
      <c r="AC9" s="3">
        <f>SUM(O9:R9)</f>
        <v>1379.0400000000002</v>
      </c>
      <c r="AD9" s="3">
        <f>+AC9*1.05</f>
        <v>1447.9920000000002</v>
      </c>
      <c r="AE9" s="3">
        <f t="shared" ref="AE9:AK9" si="2">+AD9*1.05</f>
        <v>1520.3916000000002</v>
      </c>
      <c r="AF9" s="3">
        <f t="shared" si="2"/>
        <v>1596.4111800000003</v>
      </c>
      <c r="AG9" s="3">
        <f t="shared" si="2"/>
        <v>1676.2317390000003</v>
      </c>
      <c r="AH9" s="3">
        <f t="shared" si="2"/>
        <v>1760.0433259500003</v>
      </c>
      <c r="AI9" s="3">
        <f t="shared" si="2"/>
        <v>1848.0454922475003</v>
      </c>
      <c r="AJ9" s="3">
        <f t="shared" si="2"/>
        <v>1940.4477668598754</v>
      </c>
      <c r="AK9" s="3">
        <f t="shared" si="2"/>
        <v>2037.4701552028694</v>
      </c>
    </row>
    <row r="10" spans="1:37" s="3" customFormat="1" x14ac:dyDescent="0.2">
      <c r="B10" s="3" t="s">
        <v>9</v>
      </c>
      <c r="C10" s="9"/>
      <c r="D10" s="9"/>
      <c r="E10" s="9"/>
      <c r="F10" s="9"/>
      <c r="G10" s="9">
        <v>384</v>
      </c>
      <c r="H10" s="9">
        <v>554</v>
      </c>
      <c r="I10" s="9">
        <v>1693</v>
      </c>
      <c r="J10" s="9">
        <v>415</v>
      </c>
      <c r="K10" s="9">
        <v>442</v>
      </c>
      <c r="L10" s="9">
        <v>659</v>
      </c>
      <c r="M10" s="9">
        <v>1845</v>
      </c>
      <c r="N10" s="9">
        <v>459</v>
      </c>
      <c r="O10" s="9">
        <f>+K10*1.05</f>
        <v>464.1</v>
      </c>
      <c r="P10" s="9">
        <f>+L10*1.06</f>
        <v>698.54000000000008</v>
      </c>
      <c r="Q10" s="9">
        <f t="shared" ref="Q10" si="3">+M10*1.1</f>
        <v>2029.5000000000002</v>
      </c>
      <c r="R10" s="9">
        <f>+N10*1.05</f>
        <v>481.95000000000005</v>
      </c>
      <c r="S10" s="9"/>
      <c r="T10" s="9"/>
      <c r="U10" s="9"/>
      <c r="Z10" s="3">
        <v>2784</v>
      </c>
      <c r="AA10" s="3">
        <v>3046</v>
      </c>
      <c r="AB10" s="3">
        <v>3405</v>
      </c>
      <c r="AC10" s="3">
        <f>SUM(O10:R10)</f>
        <v>3674.09</v>
      </c>
      <c r="AD10" s="3">
        <f t="shared" ref="AD10:AK10" si="4">+AC10*1.05</f>
        <v>3857.7945000000004</v>
      </c>
      <c r="AE10" s="3">
        <f t="shared" si="4"/>
        <v>4050.6842250000004</v>
      </c>
      <c r="AF10" s="3">
        <f t="shared" si="4"/>
        <v>4253.2184362500002</v>
      </c>
      <c r="AG10" s="3">
        <f t="shared" si="4"/>
        <v>4465.8793580625006</v>
      </c>
      <c r="AH10" s="3">
        <f t="shared" si="4"/>
        <v>4689.1733259656257</v>
      </c>
      <c r="AI10" s="3">
        <f t="shared" si="4"/>
        <v>4923.6319922639068</v>
      </c>
      <c r="AJ10" s="3">
        <f t="shared" si="4"/>
        <v>5169.8135918771022</v>
      </c>
      <c r="AK10" s="3">
        <f t="shared" si="4"/>
        <v>5428.3042714709572</v>
      </c>
    </row>
    <row r="11" spans="1:37" s="6" customFormat="1" x14ac:dyDescent="0.2">
      <c r="B11" s="6" t="s">
        <v>10</v>
      </c>
      <c r="C11" s="15"/>
      <c r="D11" s="15"/>
      <c r="E11" s="15"/>
      <c r="F11" s="15"/>
      <c r="G11" s="15">
        <f>+G10+G9</f>
        <v>612</v>
      </c>
      <c r="H11" s="15">
        <f>+H10+H9</f>
        <v>749</v>
      </c>
      <c r="I11" s="15">
        <f>+I10+I9</f>
        <v>2135</v>
      </c>
      <c r="J11" s="15">
        <f>+J10+J9</f>
        <v>696</v>
      </c>
      <c r="K11" s="15">
        <f t="shared" ref="K11" si="5">+K10+K9</f>
        <v>713</v>
      </c>
      <c r="L11" s="15">
        <f>+L10+L9</f>
        <v>923</v>
      </c>
      <c r="M11" s="15">
        <f>+M9+M10</f>
        <v>2304</v>
      </c>
      <c r="N11" s="15">
        <f>+N10+N9</f>
        <v>754</v>
      </c>
      <c r="O11" s="15">
        <v>750</v>
      </c>
      <c r="P11" s="15">
        <f>+P10+P9</f>
        <v>978.38000000000011</v>
      </c>
      <c r="Q11" s="15">
        <f>+Q10+Q9</f>
        <v>2534.4</v>
      </c>
      <c r="R11" s="15">
        <f t="shared" ref="R11" si="6">+R10+R9</f>
        <v>791.7</v>
      </c>
      <c r="S11" s="15"/>
      <c r="T11" s="31">
        <v>2993</v>
      </c>
      <c r="U11" s="31">
        <v>3109</v>
      </c>
      <c r="V11" s="6">
        <v>3403</v>
      </c>
      <c r="W11" s="31">
        <v>3449</v>
      </c>
      <c r="X11" s="31">
        <v>3808</v>
      </c>
      <c r="Y11" s="31">
        <v>4171</v>
      </c>
      <c r="Z11" s="6">
        <f>+Z10+Z9</f>
        <v>4243</v>
      </c>
      <c r="AA11" s="6">
        <f t="shared" ref="AA11:AB11" si="7">+AA10+AA9</f>
        <v>4192</v>
      </c>
      <c r="AB11" s="6">
        <f t="shared" si="7"/>
        <v>4694</v>
      </c>
      <c r="AC11" s="6">
        <v>5050</v>
      </c>
      <c r="AD11" s="6">
        <f>+AD10+AD9</f>
        <v>5305.7865000000002</v>
      </c>
      <c r="AE11" s="6">
        <f t="shared" ref="AE11:AK11" si="8">+AE10+AE9</f>
        <v>5571.0758250000008</v>
      </c>
      <c r="AF11" s="6">
        <f t="shared" si="8"/>
        <v>5849.6296162500003</v>
      </c>
      <c r="AG11" s="6">
        <f t="shared" si="8"/>
        <v>6142.1110970625014</v>
      </c>
      <c r="AH11" s="6">
        <f t="shared" si="8"/>
        <v>6449.2166519156262</v>
      </c>
      <c r="AI11" s="6">
        <f t="shared" si="8"/>
        <v>6771.6774845114069</v>
      </c>
      <c r="AJ11" s="6">
        <f t="shared" si="8"/>
        <v>7110.2613587369779</v>
      </c>
      <c r="AK11" s="6">
        <f t="shared" si="8"/>
        <v>7465.7744266738264</v>
      </c>
    </row>
    <row r="12" spans="1:37" s="3" customFormat="1" x14ac:dyDescent="0.2">
      <c r="B12" s="3" t="s">
        <v>23</v>
      </c>
      <c r="C12" s="9"/>
      <c r="D12" s="9"/>
      <c r="E12" s="9"/>
      <c r="F12" s="9"/>
      <c r="G12" s="9">
        <f>33+119</f>
        <v>152</v>
      </c>
      <c r="H12" s="9">
        <f>42+139</f>
        <v>181</v>
      </c>
      <c r="I12" s="9">
        <f>33+161</f>
        <v>194</v>
      </c>
      <c r="J12" s="9">
        <f>31+137</f>
        <v>168</v>
      </c>
      <c r="K12" s="9">
        <f>29+131</f>
        <v>160</v>
      </c>
      <c r="L12" s="9">
        <f>40+153</f>
        <v>193</v>
      </c>
      <c r="M12" s="9">
        <f>30+181</f>
        <v>211</v>
      </c>
      <c r="N12" s="9">
        <f>32+134</f>
        <v>166</v>
      </c>
      <c r="O12" s="9">
        <f>+O11-O13</f>
        <v>165</v>
      </c>
      <c r="P12" s="9">
        <f t="shared" ref="P12:Q12" si="9">+P11-P13</f>
        <v>215.24360000000001</v>
      </c>
      <c r="Q12" s="9">
        <f t="shared" si="9"/>
        <v>228.096</v>
      </c>
      <c r="R12" s="9">
        <f>+R11-R13</f>
        <v>174.17399999999998</v>
      </c>
      <c r="S12" s="9"/>
      <c r="T12" s="9"/>
      <c r="U12" s="9"/>
      <c r="Z12" s="3">
        <f>137+466</f>
        <v>603</v>
      </c>
      <c r="AA12" s="3">
        <f>139+556</f>
        <v>695</v>
      </c>
      <c r="AB12" s="3">
        <f>131+599</f>
        <v>730</v>
      </c>
      <c r="AC12" s="3">
        <f>SUM(O12:R12)</f>
        <v>782.5136</v>
      </c>
      <c r="AD12" s="3">
        <f>+AD11-AD13</f>
        <v>795.86797500000011</v>
      </c>
      <c r="AE12" s="3">
        <f t="shared" ref="AE12:AK12" si="10">+AE11-AE13</f>
        <v>835.66137375000017</v>
      </c>
      <c r="AF12" s="3">
        <f t="shared" si="10"/>
        <v>877.44444243750058</v>
      </c>
      <c r="AG12" s="3">
        <f t="shared" si="10"/>
        <v>921.31666455937557</v>
      </c>
      <c r="AH12" s="3">
        <f t="shared" si="10"/>
        <v>967.38249778734371</v>
      </c>
      <c r="AI12" s="3">
        <f t="shared" si="10"/>
        <v>1015.7516226767111</v>
      </c>
      <c r="AJ12" s="3">
        <f t="shared" si="10"/>
        <v>1066.5392038105465</v>
      </c>
      <c r="AK12" s="3">
        <f t="shared" si="10"/>
        <v>1119.8661640010741</v>
      </c>
    </row>
    <row r="13" spans="1:37" s="3" customFormat="1" x14ac:dyDescent="0.2">
      <c r="B13" s="3" t="s">
        <v>24</v>
      </c>
      <c r="C13" s="9"/>
      <c r="D13" s="9"/>
      <c r="E13" s="9"/>
      <c r="F13" s="9"/>
      <c r="G13" s="9">
        <f>+G11-G12</f>
        <v>460</v>
      </c>
      <c r="H13" s="9">
        <f>+H11-H12</f>
        <v>568</v>
      </c>
      <c r="I13" s="9">
        <f>+I11-I12</f>
        <v>1941</v>
      </c>
      <c r="J13" s="9">
        <f>+J11-J12</f>
        <v>528</v>
      </c>
      <c r="K13" s="9">
        <f t="shared" ref="K13" si="11">+K11-K12</f>
        <v>553</v>
      </c>
      <c r="L13" s="9">
        <f>+L11-L12</f>
        <v>730</v>
      </c>
      <c r="M13" s="9">
        <f>+M11-M12</f>
        <v>2093</v>
      </c>
      <c r="N13" s="9">
        <f>+N11-N12</f>
        <v>588</v>
      </c>
      <c r="O13" s="9">
        <f>+O11*0.78</f>
        <v>585</v>
      </c>
      <c r="P13" s="9">
        <f t="shared" ref="P13" si="12">+P11*0.78</f>
        <v>763.13640000000009</v>
      </c>
      <c r="Q13" s="9">
        <f>+Q11*0.91</f>
        <v>2306.3040000000001</v>
      </c>
      <c r="R13" s="9">
        <f>+R11*0.78</f>
        <v>617.52600000000007</v>
      </c>
      <c r="S13" s="9"/>
      <c r="T13" s="9"/>
      <c r="U13" s="9"/>
      <c r="Z13" s="3">
        <f>+Z11-Z12</f>
        <v>3640</v>
      </c>
      <c r="AA13" s="3">
        <f>+AA11-AA12</f>
        <v>3497</v>
      </c>
      <c r="AB13" s="3">
        <f>+AB11-AB12</f>
        <v>3964</v>
      </c>
      <c r="AC13" s="3">
        <f>AC11-AC12</f>
        <v>4267.4863999999998</v>
      </c>
      <c r="AD13" s="3">
        <f>+AD11*0.85</f>
        <v>4509.918525</v>
      </c>
      <c r="AE13" s="3">
        <f t="shared" ref="AE13:AK13" si="13">+AE11*0.85</f>
        <v>4735.4144512500006</v>
      </c>
      <c r="AF13" s="3">
        <f t="shared" si="13"/>
        <v>4972.1851738124997</v>
      </c>
      <c r="AG13" s="3">
        <f t="shared" si="13"/>
        <v>5220.7944325031258</v>
      </c>
      <c r="AH13" s="3">
        <f t="shared" si="13"/>
        <v>5481.8341541282825</v>
      </c>
      <c r="AI13" s="3">
        <f t="shared" si="13"/>
        <v>5755.9258618346958</v>
      </c>
      <c r="AJ13" s="3">
        <f t="shared" si="13"/>
        <v>6043.7221549264314</v>
      </c>
      <c r="AK13" s="3">
        <f t="shared" si="13"/>
        <v>6345.9082626727522</v>
      </c>
    </row>
    <row r="14" spans="1:37" s="3" customFormat="1" x14ac:dyDescent="0.2">
      <c r="B14" s="3" t="s">
        <v>29</v>
      </c>
      <c r="C14" s="9"/>
      <c r="D14" s="9"/>
      <c r="E14" s="9"/>
      <c r="F14" s="9"/>
      <c r="G14" s="9">
        <v>251</v>
      </c>
      <c r="H14" s="9">
        <v>344</v>
      </c>
      <c r="I14" s="9">
        <v>413</v>
      </c>
      <c r="J14" s="9">
        <v>280</v>
      </c>
      <c r="K14" s="9">
        <v>244</v>
      </c>
      <c r="L14" s="9">
        <v>356</v>
      </c>
      <c r="M14" s="9">
        <v>423</v>
      </c>
      <c r="N14" s="9">
        <v>266</v>
      </c>
      <c r="O14" s="9">
        <f>+K14*1.04</f>
        <v>253.76000000000002</v>
      </c>
      <c r="P14" s="9">
        <f t="shared" ref="P14:P16" si="14">+L14*1.04</f>
        <v>370.24</v>
      </c>
      <c r="Q14" s="9">
        <f t="shared" ref="Q14:Q16" si="15">+M14*1.04</f>
        <v>439.92</v>
      </c>
      <c r="R14" s="9">
        <f>+N14*1.04</f>
        <v>276.64</v>
      </c>
      <c r="S14" s="9"/>
      <c r="T14" s="9"/>
      <c r="U14" s="9"/>
      <c r="Z14" s="3">
        <v>1157</v>
      </c>
      <c r="AA14" s="3">
        <v>1288</v>
      </c>
      <c r="AB14" s="3">
        <v>1289</v>
      </c>
      <c r="AC14" s="3">
        <f t="shared" ref="AC14:AC15" si="16">SUM(O14:R14)</f>
        <v>1340.56</v>
      </c>
      <c r="AD14" s="3">
        <f>+AC14*1.03</f>
        <v>1380.7767999999999</v>
      </c>
      <c r="AE14" s="3">
        <f t="shared" ref="AE14:AK14" si="17">+AD14*1.03</f>
        <v>1422.200104</v>
      </c>
      <c r="AF14" s="3">
        <f t="shared" si="17"/>
        <v>1464.8661071200002</v>
      </c>
      <c r="AG14" s="3">
        <f t="shared" si="17"/>
        <v>1508.8120903336003</v>
      </c>
      <c r="AH14" s="3">
        <f t="shared" si="17"/>
        <v>1554.0764530436084</v>
      </c>
      <c r="AI14" s="3">
        <f t="shared" si="17"/>
        <v>1600.6987466349167</v>
      </c>
      <c r="AJ14" s="3">
        <f t="shared" si="17"/>
        <v>1648.7197090339641</v>
      </c>
      <c r="AK14" s="3">
        <f t="shared" si="17"/>
        <v>1698.1813003049831</v>
      </c>
    </row>
    <row r="15" spans="1:37" s="3" customFormat="1" x14ac:dyDescent="0.2">
      <c r="B15" s="3" t="s">
        <v>28</v>
      </c>
      <c r="C15" s="9"/>
      <c r="D15" s="9"/>
      <c r="E15" s="9"/>
      <c r="F15" s="9"/>
      <c r="G15" s="9">
        <v>189</v>
      </c>
      <c r="H15" s="9">
        <v>188</v>
      </c>
      <c r="I15" s="9">
        <v>206</v>
      </c>
      <c r="J15" s="9">
        <v>215</v>
      </c>
      <c r="K15" s="9">
        <v>213</v>
      </c>
      <c r="L15" s="9">
        <v>205</v>
      </c>
      <c r="M15" s="9">
        <v>228</v>
      </c>
      <c r="N15" s="9">
        <v>235</v>
      </c>
      <c r="O15" s="9">
        <f t="shared" ref="O15:O16" si="18">+K15*1.04</f>
        <v>221.52</v>
      </c>
      <c r="P15" s="9">
        <f t="shared" si="14"/>
        <v>213.20000000000002</v>
      </c>
      <c r="Q15" s="9">
        <f t="shared" si="15"/>
        <v>237.12</v>
      </c>
      <c r="R15" s="9">
        <f>+N15*1.04</f>
        <v>244.4</v>
      </c>
      <c r="S15" s="9"/>
      <c r="T15" s="9"/>
      <c r="U15" s="9"/>
      <c r="Z15" s="3">
        <v>714</v>
      </c>
      <c r="AA15" s="3">
        <v>798</v>
      </c>
      <c r="AB15" s="3">
        <v>881</v>
      </c>
      <c r="AC15" s="3">
        <f t="shared" si="16"/>
        <v>916.24</v>
      </c>
      <c r="AD15" s="3">
        <f t="shared" ref="AD15:AK15" si="19">+AC15*1.03</f>
        <v>943.72720000000004</v>
      </c>
      <c r="AE15" s="3">
        <f t="shared" si="19"/>
        <v>972.03901600000006</v>
      </c>
      <c r="AF15" s="3">
        <f t="shared" si="19"/>
        <v>1001.2001864800001</v>
      </c>
      <c r="AG15" s="3">
        <f t="shared" si="19"/>
        <v>1031.2361920744002</v>
      </c>
      <c r="AH15" s="3">
        <f t="shared" si="19"/>
        <v>1062.1732778366322</v>
      </c>
      <c r="AI15" s="3">
        <f t="shared" si="19"/>
        <v>1094.0384761717312</v>
      </c>
      <c r="AJ15" s="3">
        <f t="shared" si="19"/>
        <v>1126.8596304568832</v>
      </c>
      <c r="AK15" s="3">
        <f t="shared" si="19"/>
        <v>1160.6654193705897</v>
      </c>
    </row>
    <row r="16" spans="1:37" s="3" customFormat="1" x14ac:dyDescent="0.2">
      <c r="B16" s="3" t="s">
        <v>27</v>
      </c>
      <c r="C16" s="9"/>
      <c r="D16" s="9"/>
      <c r="E16" s="9"/>
      <c r="F16" s="9"/>
      <c r="G16" s="9">
        <v>119</v>
      </c>
      <c r="H16" s="9">
        <v>115</v>
      </c>
      <c r="I16" s="9">
        <v>131</v>
      </c>
      <c r="J16" s="9">
        <v>118</v>
      </c>
      <c r="K16" s="9">
        <v>117</v>
      </c>
      <c r="L16" s="9">
        <v>120</v>
      </c>
      <c r="M16" s="9">
        <v>149</v>
      </c>
      <c r="N16" s="9">
        <v>132</v>
      </c>
      <c r="O16" s="9">
        <f t="shared" si="18"/>
        <v>121.68</v>
      </c>
      <c r="P16" s="9">
        <f t="shared" si="14"/>
        <v>124.80000000000001</v>
      </c>
      <c r="Q16" s="9">
        <f t="shared" si="15"/>
        <v>154.96</v>
      </c>
      <c r="R16" s="9">
        <f>+N16*1.04</f>
        <v>137.28</v>
      </c>
      <c r="S16" s="9"/>
      <c r="T16" s="9"/>
      <c r="U16" s="9"/>
      <c r="Z16" s="3">
        <v>444</v>
      </c>
      <c r="AA16" s="3">
        <v>483</v>
      </c>
      <c r="AB16" s="3">
        <v>518</v>
      </c>
      <c r="AC16" s="3">
        <f>SUM(O16:R16)</f>
        <v>538.72</v>
      </c>
      <c r="AD16" s="3">
        <f t="shared" ref="AD16:AK16" si="20">+AC16*1.03</f>
        <v>554.88160000000005</v>
      </c>
      <c r="AE16" s="3">
        <f t="shared" si="20"/>
        <v>571.52804800000001</v>
      </c>
      <c r="AF16" s="3">
        <f t="shared" si="20"/>
        <v>588.67388944000004</v>
      </c>
      <c r="AG16" s="3">
        <f t="shared" si="20"/>
        <v>606.33410612320006</v>
      </c>
      <c r="AH16" s="3">
        <f t="shared" si="20"/>
        <v>624.52412930689604</v>
      </c>
      <c r="AI16" s="3">
        <f t="shared" si="20"/>
        <v>643.25985318610299</v>
      </c>
      <c r="AJ16" s="3">
        <f t="shared" si="20"/>
        <v>662.55764878168611</v>
      </c>
      <c r="AK16" s="3">
        <f t="shared" si="20"/>
        <v>682.43437824513671</v>
      </c>
    </row>
    <row r="17" spans="2:115" s="3" customFormat="1" x14ac:dyDescent="0.2">
      <c r="B17" s="3" t="s">
        <v>26</v>
      </c>
      <c r="C17" s="9"/>
      <c r="D17" s="9"/>
      <c r="E17" s="9"/>
      <c r="F17" s="9"/>
      <c r="G17" s="9">
        <f>SUM(G14:G16)</f>
        <v>559</v>
      </c>
      <c r="H17" s="9">
        <f>SUM(H14:H16)</f>
        <v>647</v>
      </c>
      <c r="I17" s="9">
        <f>SUM(I14:I16)</f>
        <v>750</v>
      </c>
      <c r="J17" s="9">
        <f>SUM(J14:J16)</f>
        <v>613</v>
      </c>
      <c r="K17" s="9">
        <f t="shared" ref="K17" si="21">SUM(K14:K16)</f>
        <v>574</v>
      </c>
      <c r="L17" s="9">
        <f>SUM(L14:L16)</f>
        <v>681</v>
      </c>
      <c r="M17" s="9">
        <f>SUM(M14:M16)</f>
        <v>800</v>
      </c>
      <c r="N17" s="9">
        <f>SUM(N14:N16)</f>
        <v>633</v>
      </c>
      <c r="O17" s="9">
        <f t="shared" ref="O17" si="22">SUM(O14:O16)</f>
        <v>596.96</v>
      </c>
      <c r="P17" s="9">
        <f t="shared" ref="P17" si="23">SUM(P14:P16)</f>
        <v>708.24</v>
      </c>
      <c r="Q17" s="9">
        <f t="shared" ref="Q17" si="24">SUM(Q14:Q16)</f>
        <v>832</v>
      </c>
      <c r="R17" s="9">
        <f>SUM(R14:R16)</f>
        <v>658.31999999999994</v>
      </c>
      <c r="S17" s="9"/>
      <c r="T17" s="9"/>
      <c r="U17" s="9"/>
      <c r="Z17" s="3">
        <f>SUM(Z14:Z16)</f>
        <v>2315</v>
      </c>
      <c r="AA17" s="3">
        <f>SUM(AA14:AA16)</f>
        <v>2569</v>
      </c>
      <c r="AB17" s="3">
        <f>SUM(AB14:AB16)</f>
        <v>2688</v>
      </c>
      <c r="AC17" s="3">
        <f t="shared" ref="AC17" si="25">SUM(AC14:AC16)</f>
        <v>2795.5200000000004</v>
      </c>
      <c r="AD17" s="3">
        <f t="shared" ref="AD17" si="26">SUM(AD14:AD16)</f>
        <v>2879.3856000000001</v>
      </c>
      <c r="AE17" s="3">
        <f t="shared" ref="AE17" si="27">SUM(AE14:AE16)</f>
        <v>2965.7671680000003</v>
      </c>
      <c r="AF17" s="3">
        <f t="shared" ref="AF17" si="28">SUM(AF14:AF16)</f>
        <v>3054.7401830400004</v>
      </c>
      <c r="AG17" s="3">
        <f t="shared" ref="AG17" si="29">SUM(AG14:AG16)</f>
        <v>3146.3823885312004</v>
      </c>
      <c r="AH17" s="3">
        <f t="shared" ref="AH17" si="30">SUM(AH14:AH16)</f>
        <v>3240.7738601871365</v>
      </c>
      <c r="AI17" s="3">
        <f t="shared" ref="AI17" si="31">SUM(AI14:AI16)</f>
        <v>3337.997075992751</v>
      </c>
      <c r="AJ17" s="3">
        <f t="shared" ref="AJ17" si="32">SUM(AJ14:AJ16)</f>
        <v>3438.1369882725335</v>
      </c>
      <c r="AK17" s="3">
        <f t="shared" ref="AK17" si="33">SUM(AK14:AK16)</f>
        <v>3541.2810979207097</v>
      </c>
    </row>
    <row r="18" spans="2:115" s="3" customFormat="1" x14ac:dyDescent="0.2">
      <c r="B18" s="3" t="s">
        <v>25</v>
      </c>
      <c r="C18" s="9"/>
      <c r="D18" s="9"/>
      <c r="E18" s="9"/>
      <c r="F18" s="9"/>
      <c r="G18" s="9">
        <f>G13-G17</f>
        <v>-99</v>
      </c>
      <c r="H18" s="9">
        <f>H13-H17</f>
        <v>-79</v>
      </c>
      <c r="I18" s="9">
        <f>I13-I17</f>
        <v>1191</v>
      </c>
      <c r="J18" s="9">
        <f>J13-J17</f>
        <v>-85</v>
      </c>
      <c r="K18" s="9">
        <f t="shared" ref="K18" si="34">K13-K17</f>
        <v>-21</v>
      </c>
      <c r="L18" s="9">
        <f>L13-L17</f>
        <v>49</v>
      </c>
      <c r="M18" s="9">
        <f>M13-M17</f>
        <v>1293</v>
      </c>
      <c r="N18" s="9">
        <f>N13-N17</f>
        <v>-45</v>
      </c>
      <c r="O18" s="9">
        <f t="shared" ref="O18" si="35">O13-O17</f>
        <v>-11.960000000000036</v>
      </c>
      <c r="P18" s="9">
        <f t="shared" ref="P18" si="36">P13-P17</f>
        <v>54.896400000000085</v>
      </c>
      <c r="Q18" s="9">
        <f t="shared" ref="Q18" si="37">Q13-Q17</f>
        <v>1474.3040000000001</v>
      </c>
      <c r="R18" s="9">
        <f>R13-R17</f>
        <v>-40.793999999999869</v>
      </c>
      <c r="S18" s="9"/>
      <c r="T18" s="9"/>
      <c r="U18" s="9"/>
      <c r="Z18" s="3">
        <f>Z13-Z17</f>
        <v>1325</v>
      </c>
      <c r="AA18" s="3">
        <f>AA13-AA17</f>
        <v>928</v>
      </c>
      <c r="AB18" s="3">
        <f>AB13-AB17</f>
        <v>1276</v>
      </c>
      <c r="AC18" s="3">
        <f t="shared" ref="AC18" si="38">AC13-AC17</f>
        <v>1471.9663999999993</v>
      </c>
      <c r="AD18" s="3">
        <f t="shared" ref="AD18" si="39">AD13-AD17</f>
        <v>1630.532925</v>
      </c>
      <c r="AE18" s="3">
        <f t="shared" ref="AE18" si="40">AE13-AE17</f>
        <v>1769.6472832500003</v>
      </c>
      <c r="AF18" s="3">
        <f t="shared" ref="AF18" si="41">AF13-AF17</f>
        <v>1917.4449907724993</v>
      </c>
      <c r="AG18" s="3">
        <f t="shared" ref="AG18" si="42">AG13-AG17</f>
        <v>2074.4120439719254</v>
      </c>
      <c r="AH18" s="3">
        <f t="shared" ref="AH18" si="43">AH13-AH17</f>
        <v>2241.060293941146</v>
      </c>
      <c r="AI18" s="3">
        <f t="shared" ref="AI18" si="44">AI13-AI17</f>
        <v>2417.9287858419448</v>
      </c>
      <c r="AJ18" s="3">
        <f t="shared" ref="AJ18" si="45">AJ13-AJ17</f>
        <v>2605.5851666538979</v>
      </c>
      <c r="AK18" s="3">
        <f t="shared" ref="AK18" si="46">AK13-AK17</f>
        <v>2804.6271647520425</v>
      </c>
    </row>
    <row r="19" spans="2:115" x14ac:dyDescent="0.2">
      <c r="B19" s="3" t="s">
        <v>33</v>
      </c>
      <c r="G19" s="2">
        <v>-7</v>
      </c>
      <c r="H19" s="2">
        <f>-7+2</f>
        <v>-5</v>
      </c>
      <c r="I19" s="2">
        <f>-7+1</f>
        <v>-6</v>
      </c>
      <c r="J19" s="2">
        <f>-6-2</f>
        <v>-8</v>
      </c>
      <c r="K19" s="2">
        <f>-7-4</f>
        <v>-11</v>
      </c>
      <c r="L19" s="2">
        <v>-14</v>
      </c>
      <c r="M19" s="2">
        <f>-10+2</f>
        <v>-8</v>
      </c>
      <c r="N19" s="2">
        <f>-9+3</f>
        <v>-6</v>
      </c>
      <c r="O19" s="2">
        <f>+N19</f>
        <v>-6</v>
      </c>
      <c r="P19" s="2">
        <f t="shared" ref="P19:Q19" si="47">+O19</f>
        <v>-6</v>
      </c>
      <c r="Q19" s="2">
        <f t="shared" si="47"/>
        <v>-6</v>
      </c>
      <c r="R19" s="2">
        <f>+Q19</f>
        <v>-6</v>
      </c>
      <c r="Z19">
        <f>-31+31</f>
        <v>0</v>
      </c>
      <c r="AA19">
        <f>-27+1</f>
        <v>-26</v>
      </c>
      <c r="AB19">
        <f>-35-4</f>
        <v>-39</v>
      </c>
      <c r="AC19" s="3">
        <f>SUM(O19:R19)</f>
        <v>-24</v>
      </c>
      <c r="AD19" s="3">
        <f>+AC35*$AN$32</f>
        <v>35.666711999999976</v>
      </c>
      <c r="AE19" s="3">
        <f t="shared" ref="AE19:AK19" si="48">+AD35*$AN$32</f>
        <v>69.657184594799972</v>
      </c>
      <c r="AF19" s="3">
        <f t="shared" si="48"/>
        <v>107.17899573883389</v>
      </c>
      <c r="AG19" s="3">
        <f t="shared" si="48"/>
        <v>148.48132506366508</v>
      </c>
      <c r="AH19" s="3">
        <f t="shared" si="48"/>
        <v>193.82834979199114</v>
      </c>
      <c r="AI19" s="3">
        <f t="shared" si="48"/>
        <v>243.50007812414714</v>
      </c>
      <c r="AJ19" s="3">
        <f t="shared" si="48"/>
        <v>297.79322694905539</v>
      </c>
      <c r="AK19" s="3">
        <f t="shared" si="48"/>
        <v>357.02214617855566</v>
      </c>
    </row>
    <row r="20" spans="2:115" x14ac:dyDescent="0.2">
      <c r="B20" s="3" t="s">
        <v>32</v>
      </c>
      <c r="G20" s="9">
        <f>+G19+G18</f>
        <v>-106</v>
      </c>
      <c r="H20" s="9">
        <f>+H19+H18</f>
        <v>-84</v>
      </c>
      <c r="I20" s="9">
        <f>+I19+I18</f>
        <v>1185</v>
      </c>
      <c r="J20" s="9">
        <f>+J19+J18</f>
        <v>-93</v>
      </c>
      <c r="K20" s="9">
        <f t="shared" ref="K20" si="49">+K19+K18</f>
        <v>-32</v>
      </c>
      <c r="L20" s="9">
        <f>+L19+L18</f>
        <v>35</v>
      </c>
      <c r="M20" s="9">
        <f>+M19+M18</f>
        <v>1285</v>
      </c>
      <c r="N20" s="9">
        <f>+N19+N18</f>
        <v>-51</v>
      </c>
      <c r="O20" s="9">
        <f>+O19+O18</f>
        <v>-17.960000000000036</v>
      </c>
      <c r="P20" s="9">
        <f t="shared" ref="P20" si="50">+P19+P18</f>
        <v>48.896400000000085</v>
      </c>
      <c r="Q20" s="9">
        <f t="shared" ref="Q20" si="51">+Q19+Q18</f>
        <v>1468.3040000000001</v>
      </c>
      <c r="R20" s="9">
        <f>+R19+R18</f>
        <v>-46.793999999999869</v>
      </c>
      <c r="Z20" s="3">
        <f>+Z18+Z19</f>
        <v>1325</v>
      </c>
      <c r="AA20" s="3">
        <f>+AA18+AA19</f>
        <v>902</v>
      </c>
      <c r="AB20" s="3">
        <f>+AB18+AB19</f>
        <v>1237</v>
      </c>
      <c r="AC20" s="3">
        <f>+AC18+AC19</f>
        <v>1447.9663999999993</v>
      </c>
      <c r="AD20" s="3">
        <f t="shared" ref="AD20:AK20" si="52">+AD18+AD19</f>
        <v>1666.1996369999999</v>
      </c>
      <c r="AE20" s="3">
        <f t="shared" si="52"/>
        <v>1839.3044678448002</v>
      </c>
      <c r="AF20" s="3">
        <f t="shared" si="52"/>
        <v>2024.6239865113332</v>
      </c>
      <c r="AG20" s="3">
        <f t="shared" si="52"/>
        <v>2222.8933690355907</v>
      </c>
      <c r="AH20" s="3">
        <f t="shared" si="52"/>
        <v>2434.8886437331371</v>
      </c>
      <c r="AI20" s="3">
        <f t="shared" si="52"/>
        <v>2661.4288639660917</v>
      </c>
      <c r="AJ20" s="3">
        <f t="shared" si="52"/>
        <v>2903.3783936029531</v>
      </c>
      <c r="AK20" s="3">
        <f t="shared" si="52"/>
        <v>3161.6493109305984</v>
      </c>
    </row>
    <row r="21" spans="2:115" x14ac:dyDescent="0.2">
      <c r="B21" s="3" t="s">
        <v>31</v>
      </c>
      <c r="G21" s="2">
        <v>-35</v>
      </c>
      <c r="H21" s="2">
        <v>-34</v>
      </c>
      <c r="I21" s="2">
        <v>404</v>
      </c>
      <c r="J21" s="2">
        <v>-36</v>
      </c>
      <c r="K21" s="2">
        <v>-9</v>
      </c>
      <c r="L21" s="2">
        <v>-1</v>
      </c>
      <c r="M21" s="2">
        <v>429</v>
      </c>
      <c r="N21" s="2">
        <v>-22</v>
      </c>
      <c r="O21" s="2">
        <v>0</v>
      </c>
      <c r="P21" s="2">
        <v>0</v>
      </c>
      <c r="Q21" s="9">
        <f>+Q20*0.25</f>
        <v>367.07600000000002</v>
      </c>
      <c r="R21" s="9">
        <v>0</v>
      </c>
      <c r="Z21">
        <v>447</v>
      </c>
      <c r="AA21">
        <v>299</v>
      </c>
      <c r="AB21">
        <v>397</v>
      </c>
      <c r="AC21" s="3">
        <f>SUM(O21:R21)</f>
        <v>367.07600000000002</v>
      </c>
      <c r="AD21" s="3">
        <f>+AD20*0.32</f>
        <v>533.18388384000002</v>
      </c>
      <c r="AE21" s="3">
        <f t="shared" ref="AE21:AK21" si="53">+AE20*0.32</f>
        <v>588.57742971033611</v>
      </c>
      <c r="AF21" s="3">
        <f t="shared" si="53"/>
        <v>647.8796756836266</v>
      </c>
      <c r="AG21" s="3">
        <f t="shared" si="53"/>
        <v>711.32587809138909</v>
      </c>
      <c r="AH21" s="3">
        <f t="shared" si="53"/>
        <v>779.16436599460394</v>
      </c>
      <c r="AI21" s="3">
        <f t="shared" si="53"/>
        <v>851.65723646914932</v>
      </c>
      <c r="AJ21" s="3">
        <f t="shared" si="53"/>
        <v>929.08108595294505</v>
      </c>
      <c r="AK21" s="3">
        <f t="shared" si="53"/>
        <v>1011.7277794977915</v>
      </c>
    </row>
    <row r="22" spans="2:115" x14ac:dyDescent="0.2">
      <c r="B22" t="s">
        <v>30</v>
      </c>
      <c r="G22" s="9">
        <f>+G20-G21</f>
        <v>-71</v>
      </c>
      <c r="H22" s="9">
        <f>+H20-H21</f>
        <v>-50</v>
      </c>
      <c r="I22" s="9">
        <f>+I20-I21</f>
        <v>781</v>
      </c>
      <c r="J22" s="9">
        <f>+J20-J21</f>
        <v>-57</v>
      </c>
      <c r="K22" s="9">
        <f t="shared" ref="K22" si="54">+K20-K21</f>
        <v>-23</v>
      </c>
      <c r="L22" s="9">
        <f>+L20-L21</f>
        <v>36</v>
      </c>
      <c r="M22" s="9">
        <f>+M20-M21</f>
        <v>856</v>
      </c>
      <c r="N22" s="9">
        <f>+N20-N21</f>
        <v>-29</v>
      </c>
      <c r="O22" s="9">
        <f>+O20-O21</f>
        <v>-17.960000000000036</v>
      </c>
      <c r="P22" s="9">
        <f t="shared" ref="P22" si="55">+P20-P21</f>
        <v>48.896400000000085</v>
      </c>
      <c r="Q22" s="9">
        <f t="shared" ref="Q22" si="56">+Q20-Q21</f>
        <v>1101.2280000000001</v>
      </c>
      <c r="R22" s="9">
        <f t="shared" ref="R22" si="57">+R20-R21</f>
        <v>-46.793999999999869</v>
      </c>
      <c r="S22" s="12"/>
      <c r="T22" s="12"/>
      <c r="U22" s="12"/>
      <c r="Z22" s="3">
        <f>+Z20-Z21</f>
        <v>878</v>
      </c>
      <c r="AA22" s="3">
        <f>+AA20-AA21</f>
        <v>603</v>
      </c>
      <c r="AB22" s="3">
        <f>+AB20-AB21</f>
        <v>840</v>
      </c>
      <c r="AC22" s="3">
        <f>+AC20-AC21</f>
        <v>1080.8903999999993</v>
      </c>
      <c r="AD22" s="3">
        <f>+AD20-AD21</f>
        <v>1133.0157531599998</v>
      </c>
      <c r="AE22" s="3">
        <f t="shared" ref="AE22:AK22" si="58">+AE20-AE21</f>
        <v>1250.7270381344642</v>
      </c>
      <c r="AF22" s="3">
        <f t="shared" si="58"/>
        <v>1376.7443108277066</v>
      </c>
      <c r="AG22" s="3">
        <f t="shared" si="58"/>
        <v>1511.5674909442016</v>
      </c>
      <c r="AH22" s="3">
        <f t="shared" si="58"/>
        <v>1655.7242777385331</v>
      </c>
      <c r="AI22" s="3">
        <f t="shared" si="58"/>
        <v>1809.7716274969425</v>
      </c>
      <c r="AJ22" s="3">
        <f t="shared" si="58"/>
        <v>1974.297307650008</v>
      </c>
      <c r="AK22" s="3">
        <f t="shared" si="58"/>
        <v>2149.9215314328067</v>
      </c>
      <c r="AL22" s="3">
        <f>AK22*(1+$AN$26)</f>
        <v>2149.9215314328067</v>
      </c>
      <c r="AM22" s="3">
        <f t="shared" ref="AM22:CX22" si="59">AL22*(1+$AN$26)</f>
        <v>2149.9215314328067</v>
      </c>
      <c r="AN22" s="3">
        <f t="shared" si="59"/>
        <v>2149.9215314328067</v>
      </c>
      <c r="AO22" s="3">
        <f t="shared" si="59"/>
        <v>2149.9215314328067</v>
      </c>
      <c r="AP22" s="3">
        <f t="shared" si="59"/>
        <v>2149.9215314328067</v>
      </c>
      <c r="AQ22" s="3">
        <f t="shared" si="59"/>
        <v>2149.9215314328067</v>
      </c>
      <c r="AR22" s="3">
        <f t="shared" si="59"/>
        <v>2149.9215314328067</v>
      </c>
      <c r="AS22" s="3">
        <f t="shared" si="59"/>
        <v>2149.9215314328067</v>
      </c>
      <c r="AT22" s="3">
        <f t="shared" si="59"/>
        <v>2149.9215314328067</v>
      </c>
      <c r="AU22" s="3">
        <f t="shared" si="59"/>
        <v>2149.9215314328067</v>
      </c>
      <c r="AV22" s="3">
        <f t="shared" si="59"/>
        <v>2149.9215314328067</v>
      </c>
      <c r="AW22" s="3">
        <f t="shared" si="59"/>
        <v>2149.9215314328067</v>
      </c>
      <c r="AX22" s="3">
        <f t="shared" si="59"/>
        <v>2149.9215314328067</v>
      </c>
      <c r="AY22" s="3">
        <f t="shared" si="59"/>
        <v>2149.9215314328067</v>
      </c>
      <c r="AZ22" s="3">
        <f t="shared" si="59"/>
        <v>2149.9215314328067</v>
      </c>
      <c r="BA22" s="3">
        <f t="shared" si="59"/>
        <v>2149.9215314328067</v>
      </c>
      <c r="BB22" s="3">
        <f t="shared" si="59"/>
        <v>2149.9215314328067</v>
      </c>
      <c r="BC22" s="3">
        <f t="shared" si="59"/>
        <v>2149.9215314328067</v>
      </c>
      <c r="BD22" s="3">
        <f t="shared" si="59"/>
        <v>2149.9215314328067</v>
      </c>
      <c r="BE22" s="3">
        <f t="shared" si="59"/>
        <v>2149.9215314328067</v>
      </c>
      <c r="BF22" s="3">
        <f t="shared" si="59"/>
        <v>2149.9215314328067</v>
      </c>
      <c r="BG22" s="3">
        <f t="shared" si="59"/>
        <v>2149.9215314328067</v>
      </c>
      <c r="BH22" s="3">
        <f t="shared" si="59"/>
        <v>2149.9215314328067</v>
      </c>
      <c r="BI22" s="3">
        <f t="shared" si="59"/>
        <v>2149.9215314328067</v>
      </c>
      <c r="BJ22" s="3">
        <f t="shared" si="59"/>
        <v>2149.9215314328067</v>
      </c>
      <c r="BK22" s="3">
        <f t="shared" si="59"/>
        <v>2149.9215314328067</v>
      </c>
      <c r="BL22" s="3">
        <f t="shared" si="59"/>
        <v>2149.9215314328067</v>
      </c>
      <c r="BM22" s="3">
        <f t="shared" si="59"/>
        <v>2149.9215314328067</v>
      </c>
      <c r="BN22" s="3">
        <f t="shared" si="59"/>
        <v>2149.9215314328067</v>
      </c>
      <c r="BO22" s="3">
        <f t="shared" si="59"/>
        <v>2149.9215314328067</v>
      </c>
      <c r="BP22" s="3">
        <f t="shared" si="59"/>
        <v>2149.9215314328067</v>
      </c>
      <c r="BQ22" s="3">
        <f t="shared" si="59"/>
        <v>2149.9215314328067</v>
      </c>
      <c r="BR22" s="3">
        <f t="shared" si="59"/>
        <v>2149.9215314328067</v>
      </c>
      <c r="BS22" s="3">
        <f t="shared" si="59"/>
        <v>2149.9215314328067</v>
      </c>
      <c r="BT22" s="3">
        <f t="shared" si="59"/>
        <v>2149.9215314328067</v>
      </c>
      <c r="BU22" s="3">
        <f t="shared" si="59"/>
        <v>2149.9215314328067</v>
      </c>
      <c r="BV22" s="3">
        <f t="shared" si="59"/>
        <v>2149.9215314328067</v>
      </c>
      <c r="BW22" s="3">
        <f t="shared" si="59"/>
        <v>2149.9215314328067</v>
      </c>
      <c r="BX22" s="3">
        <f t="shared" si="59"/>
        <v>2149.9215314328067</v>
      </c>
      <c r="BY22" s="3">
        <f t="shared" si="59"/>
        <v>2149.9215314328067</v>
      </c>
      <c r="BZ22" s="3">
        <f t="shared" si="59"/>
        <v>2149.9215314328067</v>
      </c>
      <c r="CA22" s="3">
        <f t="shared" si="59"/>
        <v>2149.9215314328067</v>
      </c>
      <c r="CB22" s="3">
        <f t="shared" si="59"/>
        <v>2149.9215314328067</v>
      </c>
      <c r="CC22" s="3">
        <f t="shared" si="59"/>
        <v>2149.9215314328067</v>
      </c>
      <c r="CD22" s="3">
        <f t="shared" si="59"/>
        <v>2149.9215314328067</v>
      </c>
      <c r="CE22" s="3">
        <f t="shared" si="59"/>
        <v>2149.9215314328067</v>
      </c>
      <c r="CF22" s="3">
        <f t="shared" si="59"/>
        <v>2149.9215314328067</v>
      </c>
      <c r="CG22" s="3">
        <f t="shared" si="59"/>
        <v>2149.9215314328067</v>
      </c>
      <c r="CH22" s="3">
        <f t="shared" si="59"/>
        <v>2149.9215314328067</v>
      </c>
      <c r="CI22" s="3">
        <f t="shared" si="59"/>
        <v>2149.9215314328067</v>
      </c>
      <c r="CJ22" s="3">
        <f t="shared" si="59"/>
        <v>2149.9215314328067</v>
      </c>
      <c r="CK22" s="3">
        <f t="shared" si="59"/>
        <v>2149.9215314328067</v>
      </c>
      <c r="CL22" s="3">
        <f t="shared" si="59"/>
        <v>2149.9215314328067</v>
      </c>
      <c r="CM22" s="3">
        <f t="shared" si="59"/>
        <v>2149.9215314328067</v>
      </c>
      <c r="CN22" s="3">
        <f t="shared" si="59"/>
        <v>2149.9215314328067</v>
      </c>
      <c r="CO22" s="3">
        <f t="shared" si="59"/>
        <v>2149.9215314328067</v>
      </c>
      <c r="CP22" s="3">
        <f t="shared" si="59"/>
        <v>2149.9215314328067</v>
      </c>
      <c r="CQ22" s="3">
        <f t="shared" si="59"/>
        <v>2149.9215314328067</v>
      </c>
      <c r="CR22" s="3">
        <f t="shared" si="59"/>
        <v>2149.9215314328067</v>
      </c>
      <c r="CS22" s="3">
        <f t="shared" si="59"/>
        <v>2149.9215314328067</v>
      </c>
      <c r="CT22" s="3">
        <f t="shared" si="59"/>
        <v>2149.9215314328067</v>
      </c>
      <c r="CU22" s="3">
        <f t="shared" si="59"/>
        <v>2149.9215314328067</v>
      </c>
      <c r="CV22" s="3">
        <f t="shared" si="59"/>
        <v>2149.9215314328067</v>
      </c>
      <c r="CW22" s="3">
        <f t="shared" si="59"/>
        <v>2149.9215314328067</v>
      </c>
      <c r="CX22" s="3">
        <f t="shared" si="59"/>
        <v>2149.9215314328067</v>
      </c>
      <c r="CY22" s="3">
        <f t="shared" ref="CY22:DK22" si="60">CX22*(1+$AN$26)</f>
        <v>2149.9215314328067</v>
      </c>
      <c r="CZ22" s="3">
        <f t="shared" si="60"/>
        <v>2149.9215314328067</v>
      </c>
      <c r="DA22" s="3">
        <f t="shared" si="60"/>
        <v>2149.9215314328067</v>
      </c>
      <c r="DB22" s="3">
        <f t="shared" si="60"/>
        <v>2149.9215314328067</v>
      </c>
      <c r="DC22" s="3">
        <f t="shared" si="60"/>
        <v>2149.9215314328067</v>
      </c>
      <c r="DD22" s="3">
        <f t="shared" si="60"/>
        <v>2149.9215314328067</v>
      </c>
      <c r="DE22" s="3">
        <f t="shared" si="60"/>
        <v>2149.9215314328067</v>
      </c>
      <c r="DF22" s="3">
        <f t="shared" si="60"/>
        <v>2149.9215314328067</v>
      </c>
      <c r="DG22" s="3">
        <f t="shared" si="60"/>
        <v>2149.9215314328067</v>
      </c>
      <c r="DH22" s="3">
        <f t="shared" si="60"/>
        <v>2149.9215314328067</v>
      </c>
      <c r="DI22" s="3">
        <f t="shared" si="60"/>
        <v>2149.9215314328067</v>
      </c>
      <c r="DJ22" s="3">
        <f t="shared" si="60"/>
        <v>2149.9215314328067</v>
      </c>
      <c r="DK22" s="3">
        <f t="shared" si="60"/>
        <v>2149.9215314328067</v>
      </c>
    </row>
    <row r="23" spans="2:115" x14ac:dyDescent="0.2">
      <c r="B23" s="3" t="s">
        <v>43</v>
      </c>
      <c r="G23" s="11">
        <f>+G22/G24</f>
        <v>-0.24825174825174826</v>
      </c>
      <c r="H23" s="11">
        <f>+H22/H24</f>
        <v>-0.17543859649122806</v>
      </c>
      <c r="I23" s="11">
        <f>+I22/I24</f>
        <v>2.7695035460992909</v>
      </c>
      <c r="J23" s="11">
        <f>+J22/J24</f>
        <v>-0.20577617328519857</v>
      </c>
      <c r="K23" s="11">
        <f t="shared" ref="K23" si="61">+K22/K24</f>
        <v>-8.455882352941177E-2</v>
      </c>
      <c r="L23" s="11">
        <f>+L22/L24</f>
        <v>0.13533834586466165</v>
      </c>
      <c r="M23" s="11">
        <f>+M22/M24</f>
        <v>3.2923076923076922</v>
      </c>
      <c r="N23" s="11">
        <f>+N22/N24</f>
        <v>-0.11284046692607004</v>
      </c>
      <c r="O23" s="11">
        <f>+O22/O24</f>
        <v>-6.9883268482490407E-2</v>
      </c>
      <c r="P23" s="11">
        <f t="shared" ref="P23" si="62">+P22/P24</f>
        <v>0.19025836575875518</v>
      </c>
      <c r="Q23" s="11">
        <f t="shared" ref="Q23" si="63">+Q22/Q24</f>
        <v>4.2849338521400782</v>
      </c>
      <c r="R23" s="11">
        <f t="shared" ref="R23" si="64">+R22/R24</f>
        <v>-0.18207782101167264</v>
      </c>
      <c r="AC23" s="1">
        <f>AC22/AC24</f>
        <v>4.2057992217898805</v>
      </c>
      <c r="AD23" s="1">
        <f t="shared" ref="AD23" si="65">AD22/AD24</f>
        <v>4.4086216076264586</v>
      </c>
      <c r="AE23" s="1">
        <f t="shared" ref="AE23" si="66">AE22/AE24</f>
        <v>4.866642171729433</v>
      </c>
      <c r="AF23" s="1">
        <f t="shared" ref="AF23" si="67">AF22/AF24</f>
        <v>5.356981754193411</v>
      </c>
      <c r="AG23" s="1">
        <f t="shared" ref="AG23" si="68">AG22/AG24</f>
        <v>5.8815855678762707</v>
      </c>
      <c r="AH23" s="1">
        <f t="shared" ref="AH23" si="69">AH22/AH24</f>
        <v>6.4425069172705571</v>
      </c>
      <c r="AI23" s="1">
        <f t="shared" ref="AI23" si="70">AI22/AI24</f>
        <v>7.0419129474589202</v>
      </c>
      <c r="AJ23" s="1">
        <f t="shared" ref="AJ23" si="71">AJ22/AJ24</f>
        <v>7.6820906912451674</v>
      </c>
      <c r="AK23" s="1">
        <f t="shared" ref="AK23" si="72">AK22/AK24</f>
        <v>8.3654534296996363</v>
      </c>
    </row>
    <row r="24" spans="2:115" x14ac:dyDescent="0.2">
      <c r="B24" s="3" t="s">
        <v>42</v>
      </c>
      <c r="G24" s="2">
        <v>286</v>
      </c>
      <c r="H24" s="2">
        <v>285</v>
      </c>
      <c r="I24" s="2">
        <v>282</v>
      </c>
      <c r="J24" s="2">
        <v>277</v>
      </c>
      <c r="K24" s="2">
        <v>272</v>
      </c>
      <c r="L24" s="2">
        <v>266</v>
      </c>
      <c r="M24" s="2">
        <v>260</v>
      </c>
      <c r="N24" s="2">
        <v>257</v>
      </c>
      <c r="O24" s="2">
        <f>+N24</f>
        <v>257</v>
      </c>
      <c r="P24" s="2">
        <f t="shared" ref="P24:Q24" si="73">+O24</f>
        <v>257</v>
      </c>
      <c r="Q24" s="2">
        <f t="shared" si="73"/>
        <v>257</v>
      </c>
      <c r="R24" s="2">
        <f>+Q24</f>
        <v>257</v>
      </c>
      <c r="AC24">
        <f>AVERAGE(O24:R24)</f>
        <v>257</v>
      </c>
      <c r="AD24">
        <f>+AC24</f>
        <v>257</v>
      </c>
      <c r="AE24">
        <f t="shared" ref="AE24:AK24" si="74">+AD24</f>
        <v>257</v>
      </c>
      <c r="AF24">
        <f t="shared" si="74"/>
        <v>257</v>
      </c>
      <c r="AG24">
        <f t="shared" si="74"/>
        <v>257</v>
      </c>
      <c r="AH24">
        <f t="shared" si="74"/>
        <v>257</v>
      </c>
      <c r="AI24">
        <f t="shared" si="74"/>
        <v>257</v>
      </c>
      <c r="AJ24">
        <f t="shared" si="74"/>
        <v>257</v>
      </c>
      <c r="AK24">
        <f t="shared" si="74"/>
        <v>257</v>
      </c>
    </row>
    <row r="26" spans="2:115" x14ac:dyDescent="0.2">
      <c r="AB26" s="8"/>
      <c r="AM26" t="s">
        <v>91</v>
      </c>
      <c r="AN26" s="8">
        <v>0</v>
      </c>
    </row>
    <row r="27" spans="2:115" s="4" customFormat="1" x14ac:dyDescent="0.2">
      <c r="B27" s="4" t="s">
        <v>38</v>
      </c>
      <c r="C27" s="5"/>
      <c r="D27" s="5"/>
      <c r="E27" s="5"/>
      <c r="F27" s="5"/>
      <c r="G27" s="5"/>
      <c r="H27" s="5"/>
      <c r="I27" s="5"/>
      <c r="J27" s="5"/>
      <c r="K27" s="13">
        <f>K11/G11-1</f>
        <v>0.16503267973856217</v>
      </c>
      <c r="L27" s="13">
        <f>L11/H11-1</f>
        <v>0.23230974632843782</v>
      </c>
      <c r="M27" s="13">
        <f>M11/I11-1</f>
        <v>7.9156908665105385E-2</v>
      </c>
      <c r="N27" s="13">
        <f>N11/J11-1</f>
        <v>8.3333333333333259E-2</v>
      </c>
      <c r="O27" s="13">
        <f>O11/K11-1</f>
        <v>5.1893408134642272E-2</v>
      </c>
      <c r="P27" s="13">
        <f t="shared" ref="P27:R27" si="75">P11/L11-1</f>
        <v>6.0000000000000053E-2</v>
      </c>
      <c r="Q27" s="13">
        <f t="shared" si="75"/>
        <v>0.10000000000000009</v>
      </c>
      <c r="R27" s="13">
        <f t="shared" si="75"/>
        <v>5.0000000000000044E-2</v>
      </c>
      <c r="S27" s="5"/>
      <c r="T27" s="5"/>
      <c r="U27" s="14">
        <f t="shared" ref="U27:X27" si="76">U11/T11-1</f>
        <v>3.8757099899766168E-2</v>
      </c>
      <c r="V27" s="14">
        <f t="shared" si="76"/>
        <v>9.4564168542939919E-2</v>
      </c>
      <c r="W27" s="14">
        <f t="shared" si="76"/>
        <v>1.3517484572436178E-2</v>
      </c>
      <c r="X27" s="14">
        <f>X11/W11-1</f>
        <v>0.104088141490287</v>
      </c>
      <c r="Y27" s="14">
        <f>Y11/X11-1</f>
        <v>9.5325630252100835E-2</v>
      </c>
      <c r="Z27" s="14">
        <f>Z11/Y11-1</f>
        <v>1.7262047470630648E-2</v>
      </c>
      <c r="AA27" s="14">
        <f>AA11/Z11-1</f>
        <v>-1.2019797313221781E-2</v>
      </c>
      <c r="AB27" s="14">
        <f>AB11/AA11-1</f>
        <v>0.11975190839694649</v>
      </c>
      <c r="AC27" s="14">
        <f t="shared" ref="AC27:AK27" si="77">AC11/AB11-1</f>
        <v>7.5841499786962085E-2</v>
      </c>
      <c r="AD27" s="14">
        <f t="shared" si="77"/>
        <v>5.0650792079207863E-2</v>
      </c>
      <c r="AE27" s="14">
        <f t="shared" si="77"/>
        <v>5.0000000000000044E-2</v>
      </c>
      <c r="AF27" s="14">
        <f t="shared" si="77"/>
        <v>4.9999999999999822E-2</v>
      </c>
      <c r="AG27" s="14">
        <f t="shared" si="77"/>
        <v>5.0000000000000266E-2</v>
      </c>
      <c r="AH27" s="14">
        <f t="shared" si="77"/>
        <v>5.0000000000000044E-2</v>
      </c>
      <c r="AI27" s="14">
        <f t="shared" si="77"/>
        <v>4.9999999999999822E-2</v>
      </c>
      <c r="AJ27" s="14">
        <f t="shared" si="77"/>
        <v>5.0000000000000044E-2</v>
      </c>
      <c r="AK27" s="14">
        <f t="shared" si="77"/>
        <v>5.0000000000000044E-2</v>
      </c>
      <c r="AM27" s="28" t="s">
        <v>92</v>
      </c>
      <c r="AN27" s="29">
        <v>6.5000000000000002E-2</v>
      </c>
    </row>
    <row r="28" spans="2:115" s="4" customFormat="1" x14ac:dyDescent="0.2">
      <c r="B28" s="4" t="s">
        <v>96</v>
      </c>
      <c r="C28" s="5"/>
      <c r="D28" s="5"/>
      <c r="E28" s="5"/>
      <c r="F28" s="5"/>
      <c r="G28" s="5"/>
      <c r="H28" s="5"/>
      <c r="I28" s="5"/>
      <c r="J28" s="5"/>
      <c r="K28" s="13"/>
      <c r="L28" s="13"/>
      <c r="M28" s="13"/>
      <c r="N28" s="13"/>
      <c r="O28" s="13"/>
      <c r="P28" s="13"/>
      <c r="Q28" s="13"/>
      <c r="R28" s="13"/>
      <c r="S28" s="5"/>
      <c r="T28" s="5"/>
      <c r="U28" s="5"/>
      <c r="AA28" s="14">
        <f>AA5/Z5-1</f>
        <v>8.2381238725195427E-2</v>
      </c>
      <c r="AB28" s="14">
        <f>AB5/AA5-1</f>
        <v>9.6111111111111036E-2</v>
      </c>
      <c r="AC28" s="14"/>
      <c r="AD28" s="14"/>
      <c r="AE28" s="14"/>
      <c r="AF28" s="14"/>
      <c r="AG28" s="14"/>
      <c r="AH28" s="14"/>
      <c r="AI28" s="14"/>
      <c r="AJ28" s="14"/>
      <c r="AK28" s="14"/>
      <c r="AM28" s="28"/>
      <c r="AN28" s="29"/>
    </row>
    <row r="29" spans="2:115" s="4" customFormat="1" x14ac:dyDescent="0.2">
      <c r="B29" s="4" t="s">
        <v>97</v>
      </c>
      <c r="C29" s="5"/>
      <c r="D29" s="5"/>
      <c r="E29" s="5"/>
      <c r="F29" s="5"/>
      <c r="G29" s="5"/>
      <c r="H29" s="5"/>
      <c r="I29" s="5"/>
      <c r="J29" s="5"/>
      <c r="K29" s="13"/>
      <c r="L29" s="13"/>
      <c r="M29" s="13"/>
      <c r="N29" s="13"/>
      <c r="O29" s="13"/>
      <c r="P29" s="13"/>
      <c r="Q29" s="13"/>
      <c r="R29" s="13"/>
      <c r="S29" s="5"/>
      <c r="T29" s="5"/>
      <c r="U29" s="5"/>
      <c r="AA29" s="14">
        <f t="shared" ref="AA29:AB29" si="78">AA6/Z6-1</f>
        <v>-2.3169601482854518E-2</v>
      </c>
      <c r="AB29" s="14">
        <f>AB6/AA6-1</f>
        <v>8.7760910815939175E-2</v>
      </c>
      <c r="AC29" s="14"/>
      <c r="AD29" s="14"/>
      <c r="AE29" s="14"/>
      <c r="AF29" s="14"/>
      <c r="AG29" s="14"/>
      <c r="AH29" s="14"/>
      <c r="AI29" s="14"/>
      <c r="AJ29" s="14"/>
      <c r="AK29" s="14"/>
      <c r="AM29" s="28"/>
      <c r="AN29" s="29"/>
    </row>
    <row r="30" spans="2:115" s="4" customFormat="1" x14ac:dyDescent="0.2">
      <c r="C30" s="5"/>
      <c r="D30" s="5"/>
      <c r="E30" s="5"/>
      <c r="F30" s="5"/>
      <c r="G30" s="5"/>
      <c r="H30" s="5"/>
      <c r="I30" s="5"/>
      <c r="J30" s="5"/>
      <c r="K30" s="13"/>
      <c r="L30" s="13"/>
      <c r="M30" s="13"/>
      <c r="N30" s="13"/>
      <c r="O30" s="13"/>
      <c r="P30" s="13"/>
      <c r="Q30" s="13"/>
      <c r="R30" s="13"/>
      <c r="S30" s="5"/>
      <c r="T30" s="5"/>
      <c r="U30" s="5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M30" s="28"/>
      <c r="AN30" s="29"/>
    </row>
    <row r="31" spans="2:115" s="4" customFormat="1" x14ac:dyDescent="0.2">
      <c r="C31" s="5"/>
      <c r="D31" s="5"/>
      <c r="E31" s="5"/>
      <c r="F31" s="5"/>
      <c r="G31" s="5"/>
      <c r="H31" s="5"/>
      <c r="I31" s="5"/>
      <c r="J31" s="5"/>
      <c r="K31" s="13"/>
      <c r="L31" s="13"/>
      <c r="M31" s="13"/>
      <c r="N31" s="13"/>
      <c r="O31" s="13"/>
      <c r="P31" s="13"/>
      <c r="Q31" s="13"/>
      <c r="R31" s="13"/>
      <c r="S31" s="5"/>
      <c r="T31" s="5"/>
      <c r="U31" s="5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M31" s="28"/>
      <c r="AN31" s="29"/>
    </row>
    <row r="32" spans="2:115" x14ac:dyDescent="0.2">
      <c r="B32" t="s">
        <v>22</v>
      </c>
      <c r="G32" s="8">
        <f>G13/G11</f>
        <v>0.75163398692810457</v>
      </c>
      <c r="H32" s="8">
        <f>H13/H11</f>
        <v>0.75834445927903871</v>
      </c>
      <c r="I32" s="8">
        <f>I13/I11</f>
        <v>0.9091334894613583</v>
      </c>
      <c r="J32" s="8">
        <f>J13/J11</f>
        <v>0.75862068965517238</v>
      </c>
      <c r="K32" s="8">
        <f>K13/K11</f>
        <v>0.7755960729312763</v>
      </c>
      <c r="L32" s="8">
        <f>L13/L11</f>
        <v>0.79089924160346692</v>
      </c>
      <c r="M32" s="8">
        <f>M13/M11</f>
        <v>0.90842013888888884</v>
      </c>
      <c r="N32" s="8">
        <f>N13/N11</f>
        <v>0.77984084880636606</v>
      </c>
      <c r="O32" s="8">
        <f>O13/O11</f>
        <v>0.78</v>
      </c>
      <c r="P32" s="8">
        <f t="shared" ref="P32:R32" si="79">P13/P11</f>
        <v>0.78</v>
      </c>
      <c r="Q32" s="8">
        <f t="shared" si="79"/>
        <v>0.91</v>
      </c>
      <c r="R32" s="8">
        <f t="shared" si="79"/>
        <v>0.78</v>
      </c>
      <c r="Z32" s="8">
        <f>Z13/Z11</f>
        <v>0.8578835729436719</v>
      </c>
      <c r="AA32" s="8">
        <f>AA13/AA11</f>
        <v>0.83420801526717558</v>
      </c>
      <c r="AB32" s="8">
        <f>AB13/AB11</f>
        <v>0.84448231785257777</v>
      </c>
      <c r="AC32" s="8">
        <f t="shared" ref="AC32:AK32" si="80">AC13/AC11</f>
        <v>0.84504681188118802</v>
      </c>
      <c r="AD32" s="8">
        <f t="shared" si="80"/>
        <v>0.85</v>
      </c>
      <c r="AE32" s="8">
        <f t="shared" si="80"/>
        <v>0.85</v>
      </c>
      <c r="AF32" s="8">
        <f t="shared" si="80"/>
        <v>0.84999999999999987</v>
      </c>
      <c r="AG32" s="8">
        <f t="shared" si="80"/>
        <v>0.85</v>
      </c>
      <c r="AH32" s="8">
        <f t="shared" si="80"/>
        <v>0.85000000000000009</v>
      </c>
      <c r="AI32" s="8">
        <f t="shared" si="80"/>
        <v>0.85</v>
      </c>
      <c r="AJ32" s="8">
        <f t="shared" si="80"/>
        <v>0.85</v>
      </c>
      <c r="AK32" s="8">
        <f t="shared" si="80"/>
        <v>0.85</v>
      </c>
      <c r="AM32" t="s">
        <v>93</v>
      </c>
      <c r="AN32" s="8">
        <v>0.03</v>
      </c>
    </row>
    <row r="33" spans="2:40" x14ac:dyDescent="0.2">
      <c r="B33" t="s">
        <v>90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Z33" s="8">
        <f>Z21/Z20</f>
        <v>0.33735849056603773</v>
      </c>
      <c r="AA33" s="8">
        <f t="shared" ref="AA33:AC33" si="81">AA21/AA20</f>
        <v>0.33148558758314856</v>
      </c>
      <c r="AB33" s="8">
        <f t="shared" si="81"/>
        <v>0.32093775262732416</v>
      </c>
      <c r="AC33" s="8">
        <f t="shared" si="81"/>
        <v>0.25351140744702377</v>
      </c>
      <c r="AD33" s="8">
        <f t="shared" ref="AD33:AK33" si="82">AD21/AD20</f>
        <v>0.32</v>
      </c>
      <c r="AE33" s="8">
        <f t="shared" si="82"/>
        <v>0.32</v>
      </c>
      <c r="AF33" s="8">
        <f t="shared" si="82"/>
        <v>0.32</v>
      </c>
      <c r="AG33" s="8">
        <f t="shared" si="82"/>
        <v>0.32</v>
      </c>
      <c r="AH33" s="8">
        <f t="shared" si="82"/>
        <v>0.32</v>
      </c>
      <c r="AI33" s="8">
        <f t="shared" si="82"/>
        <v>0.32</v>
      </c>
      <c r="AJ33" s="8">
        <f t="shared" si="82"/>
        <v>0.32</v>
      </c>
      <c r="AK33" s="8">
        <f t="shared" si="82"/>
        <v>0.32</v>
      </c>
      <c r="AM33" t="s">
        <v>94</v>
      </c>
      <c r="AN33" s="3">
        <f>NPV(AN27,AC22:DK22)</f>
        <v>28562.273557859327</v>
      </c>
    </row>
    <row r="34" spans="2:40" x14ac:dyDescent="0.2">
      <c r="AM34" t="s">
        <v>1</v>
      </c>
      <c r="AN34" s="1">
        <f>AN33/Main!M3</f>
        <v>110.73307461381977</v>
      </c>
    </row>
    <row r="35" spans="2:40" x14ac:dyDescent="0.2">
      <c r="B35" t="s">
        <v>60</v>
      </c>
      <c r="K35" s="9">
        <f t="shared" ref="K35:L35" si="83">+K36-K47</f>
        <v>-348</v>
      </c>
      <c r="L35" s="9">
        <f t="shared" si="83"/>
        <v>-883</v>
      </c>
      <c r="M35" s="9">
        <f>+M36-M47</f>
        <v>641</v>
      </c>
      <c r="N35" s="9">
        <f>+N36-N47</f>
        <v>108</v>
      </c>
      <c r="AB35" s="9">
        <f>+AB36-AB47</f>
        <v>108</v>
      </c>
      <c r="AC35" s="3">
        <f>+AB35+AC22</f>
        <v>1188.8903999999993</v>
      </c>
      <c r="AD35" s="3">
        <f t="shared" ref="AD35:AK35" si="84">+AC35+AD22</f>
        <v>2321.9061531599991</v>
      </c>
      <c r="AE35" s="3">
        <f t="shared" si="84"/>
        <v>3572.6331912944634</v>
      </c>
      <c r="AF35" s="3">
        <f t="shared" si="84"/>
        <v>4949.37750212217</v>
      </c>
      <c r="AG35" s="3">
        <f t="shared" si="84"/>
        <v>6460.9449930663714</v>
      </c>
      <c r="AH35" s="3">
        <f t="shared" si="84"/>
        <v>8116.669270804905</v>
      </c>
      <c r="AI35" s="3">
        <f t="shared" si="84"/>
        <v>9926.4408983018475</v>
      </c>
      <c r="AJ35" s="3">
        <f t="shared" si="84"/>
        <v>11900.738205951855</v>
      </c>
      <c r="AK35" s="3">
        <f t="shared" si="84"/>
        <v>14050.659737384662</v>
      </c>
    </row>
    <row r="36" spans="2:40" s="3" customFormat="1" x14ac:dyDescent="0.2">
      <c r="B36" s="3" t="s">
        <v>3</v>
      </c>
      <c r="C36" s="9"/>
      <c r="D36" s="9"/>
      <c r="E36" s="9"/>
      <c r="F36" s="9"/>
      <c r="G36" s="9"/>
      <c r="H36" s="9"/>
      <c r="I36" s="9"/>
      <c r="J36" s="9"/>
      <c r="K36" s="9">
        <f>474+28</f>
        <v>502</v>
      </c>
      <c r="L36" s="9">
        <f>334+28</f>
        <v>362</v>
      </c>
      <c r="M36" s="9">
        <f>1289+324+28</f>
        <v>1641</v>
      </c>
      <c r="N36" s="9">
        <f>638+442+28</f>
        <v>1108</v>
      </c>
      <c r="O36" s="9"/>
      <c r="P36" s="9"/>
      <c r="Q36" s="9"/>
      <c r="R36" s="9"/>
      <c r="S36" s="9"/>
      <c r="T36" s="9"/>
      <c r="U36" s="9"/>
      <c r="AB36" s="9">
        <f>638+442+28</f>
        <v>1108</v>
      </c>
    </row>
    <row r="37" spans="2:40" s="3" customFormat="1" x14ac:dyDescent="0.2">
      <c r="B37" s="3" t="s">
        <v>44</v>
      </c>
      <c r="C37" s="9"/>
      <c r="D37" s="9"/>
      <c r="E37" s="9"/>
      <c r="F37" s="9"/>
      <c r="G37" s="9"/>
      <c r="H37" s="9"/>
      <c r="I37" s="9"/>
      <c r="J37" s="9"/>
      <c r="K37" s="9">
        <v>124</v>
      </c>
      <c r="L37" s="9">
        <v>512</v>
      </c>
      <c r="M37" s="9">
        <v>214</v>
      </c>
      <c r="N37" s="9">
        <v>108</v>
      </c>
      <c r="O37" s="9"/>
      <c r="P37" s="9"/>
      <c r="Q37" s="9"/>
      <c r="R37" s="9"/>
      <c r="S37" s="9"/>
      <c r="T37" s="9"/>
      <c r="U37" s="9"/>
      <c r="AB37" s="9">
        <v>108</v>
      </c>
    </row>
    <row r="38" spans="2:40" s="3" customFormat="1" x14ac:dyDescent="0.2">
      <c r="B38" s="3" t="s">
        <v>45</v>
      </c>
      <c r="C38" s="9"/>
      <c r="D38" s="9"/>
      <c r="E38" s="9"/>
      <c r="F38" s="9"/>
      <c r="G38" s="9"/>
      <c r="H38" s="9"/>
      <c r="I38" s="9"/>
      <c r="J38" s="9"/>
      <c r="K38" s="9">
        <v>100</v>
      </c>
      <c r="L38" s="9">
        <v>108</v>
      </c>
      <c r="M38" s="9">
        <v>4</v>
      </c>
      <c r="N38" s="9">
        <v>20</v>
      </c>
      <c r="O38" s="9"/>
      <c r="P38" s="9"/>
      <c r="Q38" s="9"/>
      <c r="R38" s="9"/>
      <c r="S38" s="9"/>
      <c r="T38" s="9"/>
      <c r="U38" s="9"/>
      <c r="AB38" s="9">
        <v>20</v>
      </c>
    </row>
    <row r="39" spans="2:40" s="3" customFormat="1" x14ac:dyDescent="0.2">
      <c r="B39" s="3" t="s">
        <v>46</v>
      </c>
      <c r="C39" s="9"/>
      <c r="D39" s="9"/>
      <c r="E39" s="9"/>
      <c r="F39" s="9"/>
      <c r="G39" s="9"/>
      <c r="H39" s="9"/>
      <c r="I39" s="9"/>
      <c r="J39" s="9"/>
      <c r="K39" s="9">
        <v>121</v>
      </c>
      <c r="L39" s="9">
        <v>110</v>
      </c>
      <c r="M39" s="9">
        <v>108</v>
      </c>
      <c r="N39" s="9">
        <v>102</v>
      </c>
      <c r="O39" s="9"/>
      <c r="P39" s="9"/>
      <c r="Q39" s="9"/>
      <c r="R39" s="9"/>
      <c r="S39" s="9"/>
      <c r="T39" s="9"/>
      <c r="U39" s="9"/>
      <c r="AB39" s="9">
        <v>102</v>
      </c>
    </row>
    <row r="40" spans="2:40" s="3" customFormat="1" x14ac:dyDescent="0.2">
      <c r="B40" s="3" t="s">
        <v>47</v>
      </c>
      <c r="C40" s="9"/>
      <c r="D40" s="9"/>
      <c r="E40" s="9"/>
      <c r="F40" s="9"/>
      <c r="G40" s="9"/>
      <c r="H40" s="9"/>
      <c r="I40" s="9"/>
      <c r="J40" s="9"/>
      <c r="K40" s="9">
        <v>347</v>
      </c>
      <c r="L40" s="9">
        <v>373</v>
      </c>
      <c r="M40" s="9">
        <v>372</v>
      </c>
      <c r="N40" s="9">
        <v>304</v>
      </c>
      <c r="O40" s="9"/>
      <c r="P40" s="9"/>
      <c r="Q40" s="9"/>
      <c r="R40" s="9"/>
      <c r="S40" s="9"/>
      <c r="T40" s="9"/>
      <c r="U40" s="9"/>
      <c r="AB40" s="9">
        <v>304</v>
      </c>
    </row>
    <row r="41" spans="2:40" s="3" customFormat="1" x14ac:dyDescent="0.2">
      <c r="B41" s="3" t="s">
        <v>48</v>
      </c>
      <c r="C41" s="9"/>
      <c r="D41" s="9"/>
      <c r="E41" s="9"/>
      <c r="F41" s="9"/>
      <c r="G41" s="9"/>
      <c r="H41" s="9"/>
      <c r="I41" s="9"/>
      <c r="J41" s="9"/>
      <c r="K41" s="9">
        <v>701</v>
      </c>
      <c r="L41" s="9">
        <v>980</v>
      </c>
      <c r="M41" s="9">
        <v>989</v>
      </c>
      <c r="N41" s="9">
        <v>1031</v>
      </c>
      <c r="O41" s="9"/>
      <c r="P41" s="9"/>
      <c r="Q41" s="9"/>
      <c r="R41" s="9"/>
      <c r="S41" s="9"/>
      <c r="T41" s="9"/>
      <c r="U41" s="9"/>
      <c r="AB41" s="9">
        <v>1031</v>
      </c>
    </row>
    <row r="42" spans="2:40" s="3" customFormat="1" x14ac:dyDescent="0.2">
      <c r="B42" s="3" t="s">
        <v>49</v>
      </c>
      <c r="C42" s="9"/>
      <c r="D42" s="9"/>
      <c r="E42" s="9"/>
      <c r="F42" s="9"/>
      <c r="G42" s="9"/>
      <c r="H42" s="9"/>
      <c r="I42" s="9"/>
      <c r="J42" s="9"/>
      <c r="K42" s="9">
        <f>1274+77</f>
        <v>1351</v>
      </c>
      <c r="L42" s="9">
        <f>1278+67</f>
        <v>1345</v>
      </c>
      <c r="M42" s="9">
        <f>1282+57</f>
        <v>1339</v>
      </c>
      <c r="N42" s="9">
        <f>1282+44</f>
        <v>1326</v>
      </c>
      <c r="O42" s="9"/>
      <c r="P42" s="9"/>
      <c r="Q42" s="9"/>
      <c r="R42" s="9"/>
      <c r="S42" s="9"/>
      <c r="T42" s="9"/>
      <c r="U42" s="9"/>
      <c r="AB42" s="9">
        <f>1282+44</f>
        <v>1326</v>
      </c>
    </row>
    <row r="43" spans="2:40" s="3" customFormat="1" x14ac:dyDescent="0.2">
      <c r="B43" s="3" t="s">
        <v>51</v>
      </c>
      <c r="C43" s="9"/>
      <c r="D43" s="9"/>
      <c r="E43" s="9"/>
      <c r="F43" s="9"/>
      <c r="G43" s="9"/>
      <c r="H43" s="9"/>
      <c r="I43" s="9"/>
      <c r="J43" s="9"/>
      <c r="K43" s="9">
        <v>244</v>
      </c>
      <c r="L43" s="9">
        <v>211</v>
      </c>
      <c r="M43" s="9">
        <v>165</v>
      </c>
      <c r="N43" s="9">
        <v>139</v>
      </c>
      <c r="O43" s="9"/>
      <c r="P43" s="9"/>
      <c r="Q43" s="9"/>
      <c r="R43" s="9"/>
      <c r="S43" s="9"/>
      <c r="T43" s="9"/>
      <c r="U43" s="9"/>
      <c r="AB43" s="9">
        <v>139</v>
      </c>
    </row>
    <row r="44" spans="2:40" s="3" customFormat="1" x14ac:dyDescent="0.2">
      <c r="B44" s="3" t="s">
        <v>50</v>
      </c>
      <c r="C44" s="9"/>
      <c r="D44" s="9"/>
      <c r="E44" s="9"/>
      <c r="F44" s="9"/>
      <c r="G44" s="9"/>
      <c r="H44" s="9"/>
      <c r="I44" s="9"/>
      <c r="J44" s="9"/>
      <c r="K44" s="9">
        <f>107+219+17</f>
        <v>343</v>
      </c>
      <c r="L44" s="9">
        <f>103+215+30</f>
        <v>348</v>
      </c>
      <c r="M44" s="9">
        <v>108</v>
      </c>
      <c r="N44" s="9">
        <v>112</v>
      </c>
      <c r="O44" s="9"/>
      <c r="P44" s="9"/>
      <c r="Q44" s="9"/>
      <c r="R44" s="9"/>
      <c r="S44" s="9"/>
      <c r="T44" s="9"/>
      <c r="U44" s="9"/>
      <c r="AB44" s="9">
        <v>112</v>
      </c>
    </row>
    <row r="45" spans="2:40" s="3" customFormat="1" x14ac:dyDescent="0.2">
      <c r="B45" s="3" t="s">
        <v>52</v>
      </c>
      <c r="C45" s="9"/>
      <c r="D45" s="9"/>
      <c r="E45" s="9"/>
      <c r="F45" s="9"/>
      <c r="G45" s="9"/>
      <c r="H45" s="9"/>
      <c r="I45" s="9"/>
      <c r="J45" s="9"/>
      <c r="K45" s="9">
        <f t="shared" ref="K45:L45" si="85">SUM(K36:K44)</f>
        <v>3833</v>
      </c>
      <c r="L45" s="9">
        <f t="shared" si="85"/>
        <v>4349</v>
      </c>
      <c r="M45" s="9">
        <f>SUM(M36:M44)</f>
        <v>4940</v>
      </c>
      <c r="N45" s="9">
        <f>SUM(N36:N44)</f>
        <v>4250</v>
      </c>
      <c r="O45" s="9"/>
      <c r="P45" s="9"/>
      <c r="Q45" s="9"/>
      <c r="R45" s="9"/>
      <c r="S45" s="9"/>
      <c r="T45" s="9"/>
      <c r="U45" s="9"/>
      <c r="AB45" s="9">
        <f>SUM(AB36:AB44)</f>
        <v>4250</v>
      </c>
    </row>
    <row r="46" spans="2:40" x14ac:dyDescent="0.2">
      <c r="N46" s="9"/>
      <c r="AB46" s="9"/>
    </row>
    <row r="47" spans="2:40" x14ac:dyDescent="0.2">
      <c r="B47" s="3" t="s">
        <v>4</v>
      </c>
      <c r="K47" s="9">
        <f>350+500</f>
        <v>850</v>
      </c>
      <c r="L47" s="9">
        <v>1245</v>
      </c>
      <c r="M47" s="9">
        <f>500+500</f>
        <v>1000</v>
      </c>
      <c r="N47" s="9">
        <f>512+488</f>
        <v>1000</v>
      </c>
      <c r="AB47" s="9">
        <f>512+488</f>
        <v>1000</v>
      </c>
    </row>
    <row r="48" spans="2:40" x14ac:dyDescent="0.2">
      <c r="B48" s="3" t="s">
        <v>53</v>
      </c>
      <c r="K48" s="9">
        <v>178</v>
      </c>
      <c r="L48" s="9">
        <v>286</v>
      </c>
      <c r="M48" s="9">
        <v>270</v>
      </c>
      <c r="N48" s="9">
        <v>184</v>
      </c>
      <c r="AB48" s="9">
        <v>184</v>
      </c>
    </row>
    <row r="49" spans="2:28" x14ac:dyDescent="0.2">
      <c r="B49" s="3" t="s">
        <v>54</v>
      </c>
      <c r="K49" s="9">
        <v>139</v>
      </c>
      <c r="L49" s="9">
        <v>179</v>
      </c>
      <c r="M49" s="9">
        <v>228</v>
      </c>
      <c r="N49" s="9">
        <v>289</v>
      </c>
      <c r="AB49" s="9">
        <v>289</v>
      </c>
    </row>
    <row r="50" spans="2:28" x14ac:dyDescent="0.2">
      <c r="B50" s="3" t="s">
        <v>55</v>
      </c>
      <c r="K50" s="9">
        <f>635+157</f>
        <v>792</v>
      </c>
      <c r="L50" s="9">
        <f>961+153</f>
        <v>1114</v>
      </c>
      <c r="M50" s="9">
        <f>854+174</f>
        <v>1028</v>
      </c>
      <c r="N50" s="9">
        <f>801+204</f>
        <v>1005</v>
      </c>
      <c r="AB50" s="9">
        <f>801+204</f>
        <v>1005</v>
      </c>
    </row>
    <row r="51" spans="2:28" x14ac:dyDescent="0.2">
      <c r="B51" s="3" t="s">
        <v>31</v>
      </c>
      <c r="K51" s="9">
        <v>0</v>
      </c>
      <c r="L51" s="9">
        <v>0</v>
      </c>
      <c r="M51" s="9">
        <v>442</v>
      </c>
      <c r="N51" s="9">
        <v>0</v>
      </c>
      <c r="AB51" s="9"/>
    </row>
    <row r="52" spans="2:28" x14ac:dyDescent="0.2">
      <c r="B52" s="3" t="s">
        <v>59</v>
      </c>
      <c r="K52" s="9">
        <v>165</v>
      </c>
      <c r="L52" s="9">
        <v>208</v>
      </c>
      <c r="M52" s="9">
        <v>199</v>
      </c>
      <c r="N52" s="9">
        <v>161</v>
      </c>
      <c r="AB52" s="9">
        <v>161</v>
      </c>
    </row>
    <row r="53" spans="2:28" x14ac:dyDescent="0.2">
      <c r="B53" s="3" t="s">
        <v>58</v>
      </c>
      <c r="K53" s="9">
        <v>347</v>
      </c>
      <c r="L53" s="9">
        <v>373</v>
      </c>
      <c r="M53" s="9">
        <v>372</v>
      </c>
      <c r="N53" s="9">
        <v>304</v>
      </c>
      <c r="AB53" s="9">
        <v>304</v>
      </c>
    </row>
    <row r="54" spans="2:28" x14ac:dyDescent="0.2">
      <c r="B54" s="3" t="s">
        <v>89</v>
      </c>
      <c r="K54" s="9">
        <f>73+54+184</f>
        <v>311</v>
      </c>
      <c r="L54" s="9">
        <f>138+97+68</f>
        <v>303</v>
      </c>
      <c r="M54" s="9">
        <v>153</v>
      </c>
      <c r="N54" s="9">
        <v>146</v>
      </c>
      <c r="AB54" s="9">
        <v>146</v>
      </c>
    </row>
    <row r="55" spans="2:28" x14ac:dyDescent="0.2">
      <c r="B55" t="s">
        <v>57</v>
      </c>
      <c r="K55" s="9">
        <v>1051</v>
      </c>
      <c r="L55" s="9">
        <v>641</v>
      </c>
      <c r="M55" s="9">
        <v>1248</v>
      </c>
      <c r="N55" s="9">
        <v>1161</v>
      </c>
      <c r="AB55" s="9">
        <v>1161</v>
      </c>
    </row>
    <row r="56" spans="2:28" x14ac:dyDescent="0.2">
      <c r="B56" t="s">
        <v>56</v>
      </c>
      <c r="K56" s="9">
        <f t="shared" ref="K56" si="86">SUM(K47:K55)</f>
        <v>3833</v>
      </c>
      <c r="L56" s="9">
        <f t="shared" ref="L56" si="87">SUM(L47:L55)</f>
        <v>4349</v>
      </c>
      <c r="M56" s="9">
        <f>SUM(M47:M55)</f>
        <v>4940</v>
      </c>
      <c r="N56" s="9">
        <f>SUM(N47:N55)</f>
        <v>4250</v>
      </c>
      <c r="AB56" s="9">
        <f>SUM(AB47:AB55)</f>
        <v>4250</v>
      </c>
    </row>
    <row r="58" spans="2:28" s="3" customFormat="1" x14ac:dyDescent="0.2">
      <c r="B58" s="3" t="s">
        <v>61</v>
      </c>
      <c r="C58" s="9"/>
      <c r="D58" s="9"/>
      <c r="E58" s="9"/>
      <c r="F58" s="9"/>
      <c r="G58" s="9"/>
      <c r="H58" s="9"/>
      <c r="I58" s="9"/>
      <c r="J58" s="9"/>
      <c r="K58" s="9">
        <f>+K22</f>
        <v>-23</v>
      </c>
      <c r="L58" s="9">
        <f t="shared" ref="L58:N58" si="88">+L22</f>
        <v>36</v>
      </c>
      <c r="M58" s="9">
        <f t="shared" si="88"/>
        <v>856</v>
      </c>
      <c r="N58" s="9">
        <f t="shared" si="88"/>
        <v>-29</v>
      </c>
      <c r="O58" s="9"/>
      <c r="P58" s="9"/>
      <c r="Q58" s="9"/>
      <c r="R58" s="9"/>
      <c r="S58" s="9"/>
      <c r="T58" s="9"/>
      <c r="U58" s="9"/>
      <c r="AA58" s="3">
        <f t="shared" ref="AA58:AB58" si="89">AA22</f>
        <v>603</v>
      </c>
      <c r="AB58" s="3">
        <f>AB22</f>
        <v>840</v>
      </c>
    </row>
    <row r="59" spans="2:28" s="3" customFormat="1" x14ac:dyDescent="0.2">
      <c r="B59" s="3" t="s">
        <v>62</v>
      </c>
      <c r="C59" s="9"/>
      <c r="D59" s="9"/>
      <c r="E59" s="9"/>
      <c r="F59" s="9"/>
      <c r="G59" s="9"/>
      <c r="H59" s="9"/>
      <c r="I59" s="9"/>
      <c r="J59" s="9"/>
      <c r="K59" s="9">
        <v>-31</v>
      </c>
      <c r="L59" s="9">
        <f>-7-K59</f>
        <v>24</v>
      </c>
      <c r="M59" s="9">
        <f>1019-L59-K59</f>
        <v>1026</v>
      </c>
      <c r="N59" s="9">
        <f>+AB59-M59-L59-K59</f>
        <v>-40</v>
      </c>
      <c r="O59" s="9"/>
      <c r="P59" s="9"/>
      <c r="Q59" s="9"/>
      <c r="R59" s="9"/>
      <c r="S59" s="9"/>
      <c r="T59" s="9"/>
      <c r="U59" s="9"/>
      <c r="AA59" s="3">
        <v>365</v>
      </c>
      <c r="AB59" s="3">
        <v>979</v>
      </c>
    </row>
    <row r="60" spans="2:28" s="3" customFormat="1" x14ac:dyDescent="0.2">
      <c r="B60" s="3" t="s">
        <v>72</v>
      </c>
      <c r="C60" s="9"/>
      <c r="D60" s="9"/>
      <c r="E60" s="9"/>
      <c r="F60" s="9"/>
      <c r="G60" s="9"/>
      <c r="H60" s="9"/>
      <c r="I60" s="9"/>
      <c r="J60" s="9"/>
      <c r="K60" s="9">
        <v>45</v>
      </c>
      <c r="L60" s="9">
        <f>94-K60</f>
        <v>49</v>
      </c>
      <c r="M60" s="9">
        <f>145-L60-K60</f>
        <v>51</v>
      </c>
      <c r="N60" s="9">
        <f t="shared" ref="N60:N68" si="90">+AB60-M60-L60-K60</f>
        <v>50</v>
      </c>
      <c r="O60" s="9"/>
      <c r="P60" s="9"/>
      <c r="Q60" s="9"/>
      <c r="R60" s="9"/>
      <c r="S60" s="9"/>
      <c r="T60" s="9"/>
      <c r="U60" s="9"/>
      <c r="AA60" s="3">
        <v>157</v>
      </c>
      <c r="AB60" s="3">
        <v>195</v>
      </c>
    </row>
    <row r="61" spans="2:28" s="3" customFormat="1" x14ac:dyDescent="0.2">
      <c r="B61" s="3" t="s">
        <v>71</v>
      </c>
      <c r="C61" s="9"/>
      <c r="D61" s="9"/>
      <c r="E61" s="9"/>
      <c r="F61" s="9"/>
      <c r="G61" s="9"/>
      <c r="H61" s="9"/>
      <c r="I61" s="9"/>
      <c r="J61" s="9"/>
      <c r="K61" s="9">
        <v>10</v>
      </c>
      <c r="L61" s="9">
        <f>19-K61</f>
        <v>9</v>
      </c>
      <c r="M61" s="9">
        <f>30-L61-K61</f>
        <v>11</v>
      </c>
      <c r="N61" s="9">
        <f t="shared" si="90"/>
        <v>13</v>
      </c>
      <c r="O61" s="9"/>
      <c r="P61" s="9"/>
      <c r="Q61" s="9"/>
      <c r="R61" s="9"/>
      <c r="S61" s="9"/>
      <c r="T61" s="9"/>
      <c r="U61" s="9"/>
      <c r="AA61" s="3">
        <f>74+297</f>
        <v>371</v>
      </c>
      <c r="AB61" s="3">
        <v>43</v>
      </c>
    </row>
    <row r="62" spans="2:28" s="3" customFormat="1" x14ac:dyDescent="0.2">
      <c r="B62" s="3" t="s">
        <v>69</v>
      </c>
      <c r="C62" s="9"/>
      <c r="D62" s="9"/>
      <c r="E62" s="9"/>
      <c r="F62" s="9"/>
      <c r="G62" s="9"/>
      <c r="H62" s="9"/>
      <c r="I62" s="9"/>
      <c r="J62" s="9"/>
      <c r="K62" s="9">
        <v>69</v>
      </c>
      <c r="L62" s="9">
        <f>137-K62</f>
        <v>68</v>
      </c>
      <c r="M62" s="9">
        <f>200-L62-K62</f>
        <v>63</v>
      </c>
      <c r="N62" s="9">
        <f t="shared" si="90"/>
        <v>81</v>
      </c>
      <c r="O62" s="9"/>
      <c r="P62" s="9"/>
      <c r="Q62" s="9"/>
      <c r="R62" s="9"/>
      <c r="S62" s="9"/>
      <c r="T62" s="9"/>
      <c r="U62" s="9"/>
      <c r="AA62" s="3">
        <v>257</v>
      </c>
      <c r="AB62" s="3">
        <v>281</v>
      </c>
    </row>
    <row r="63" spans="2:28" s="3" customFormat="1" x14ac:dyDescent="0.2">
      <c r="B63" s="3" t="s">
        <v>68</v>
      </c>
      <c r="C63" s="9"/>
      <c r="D63" s="9"/>
      <c r="E63" s="9"/>
      <c r="F63" s="9"/>
      <c r="G63" s="9"/>
      <c r="H63" s="9"/>
      <c r="I63" s="9"/>
      <c r="J63" s="9"/>
      <c r="K63" s="9">
        <v>0</v>
      </c>
      <c r="L63" s="9">
        <v>0</v>
      </c>
      <c r="M63" s="9">
        <f>-354-L63-K63</f>
        <v>-354</v>
      </c>
      <c r="N63" s="9">
        <f t="shared" si="90"/>
        <v>0</v>
      </c>
      <c r="O63" s="9"/>
      <c r="P63" s="9"/>
      <c r="Q63" s="9"/>
      <c r="R63" s="9"/>
      <c r="S63" s="9"/>
      <c r="T63" s="9"/>
      <c r="U63" s="9"/>
      <c r="AA63" s="3">
        <v>0</v>
      </c>
      <c r="AB63" s="3">
        <v>-354</v>
      </c>
    </row>
    <row r="64" spans="2:28" s="3" customFormat="1" x14ac:dyDescent="0.2">
      <c r="B64" s="3" t="s">
        <v>67</v>
      </c>
      <c r="C64" s="9"/>
      <c r="D64" s="9"/>
      <c r="E64" s="9"/>
      <c r="F64" s="9"/>
      <c r="G64" s="9"/>
      <c r="H64" s="9"/>
      <c r="I64" s="9"/>
      <c r="J64" s="9"/>
      <c r="K64" s="9">
        <v>-2</v>
      </c>
      <c r="L64" s="9">
        <f>-11-K64</f>
        <v>-9</v>
      </c>
      <c r="M64" s="9">
        <f>40-L64-K64</f>
        <v>51</v>
      </c>
      <c r="N64" s="9">
        <f t="shared" si="90"/>
        <v>30</v>
      </c>
      <c r="O64" s="9"/>
      <c r="P64" s="9"/>
      <c r="Q64" s="9"/>
      <c r="R64" s="9"/>
      <c r="S64" s="9"/>
      <c r="T64" s="9"/>
      <c r="U64" s="9"/>
      <c r="AA64" s="3">
        <v>-100</v>
      </c>
      <c r="AB64" s="3">
        <v>70</v>
      </c>
    </row>
    <row r="65" spans="2:28" s="3" customFormat="1" x14ac:dyDescent="0.2">
      <c r="B65" s="3" t="s">
        <v>66</v>
      </c>
      <c r="C65" s="9"/>
      <c r="D65" s="9"/>
      <c r="E65" s="9"/>
      <c r="F65" s="9"/>
      <c r="G65" s="9"/>
      <c r="H65" s="9"/>
      <c r="I65" s="9"/>
      <c r="J65" s="9"/>
      <c r="K65" s="9">
        <v>9</v>
      </c>
      <c r="L65" s="9">
        <f>20-K65</f>
        <v>11</v>
      </c>
      <c r="M65" s="9">
        <f>30-L65-K65</f>
        <v>10</v>
      </c>
      <c r="N65" s="9">
        <f t="shared" si="90"/>
        <v>29</v>
      </c>
      <c r="O65" s="9"/>
      <c r="P65" s="9"/>
      <c r="Q65" s="9"/>
      <c r="R65" s="9"/>
      <c r="S65" s="9"/>
      <c r="T65" s="9"/>
      <c r="U65" s="9"/>
      <c r="AA65" s="3">
        <v>85</v>
      </c>
      <c r="AB65" s="3">
        <v>59</v>
      </c>
    </row>
    <row r="66" spans="2:28" s="3" customFormat="1" x14ac:dyDescent="0.2">
      <c r="B66" s="3" t="s">
        <v>65</v>
      </c>
      <c r="C66" s="9"/>
      <c r="D66" s="9"/>
      <c r="E66" s="9"/>
      <c r="F66" s="9"/>
      <c r="G66" s="9"/>
      <c r="H66" s="9"/>
      <c r="I66" s="9"/>
      <c r="J66" s="9"/>
      <c r="K66" s="9">
        <v>-9</v>
      </c>
      <c r="L66" s="9">
        <f>-20-K66</f>
        <v>-11</v>
      </c>
      <c r="M66" s="9">
        <f>-30-L66-K66</f>
        <v>-10</v>
      </c>
      <c r="N66" s="9">
        <f t="shared" si="90"/>
        <v>-29</v>
      </c>
      <c r="O66" s="9"/>
      <c r="P66" s="9"/>
      <c r="Q66" s="9"/>
      <c r="R66" s="9"/>
      <c r="S66" s="9"/>
      <c r="T66" s="9"/>
      <c r="U66" s="9"/>
      <c r="AA66" s="3">
        <v>-85</v>
      </c>
      <c r="AB66" s="3">
        <v>-59</v>
      </c>
    </row>
    <row r="67" spans="2:28" s="3" customFormat="1" x14ac:dyDescent="0.2">
      <c r="B67" s="3" t="s">
        <v>70</v>
      </c>
      <c r="C67" s="9"/>
      <c r="D67" s="9"/>
      <c r="E67" s="9"/>
      <c r="F67" s="9"/>
      <c r="G67" s="9"/>
      <c r="H67" s="9"/>
      <c r="I67" s="9"/>
      <c r="J67" s="9"/>
      <c r="K67" s="9">
        <v>10</v>
      </c>
      <c r="L67" s="9">
        <f>10-K67</f>
        <v>0</v>
      </c>
      <c r="M67" s="9">
        <f>11-L67-K67</f>
        <v>1</v>
      </c>
      <c r="N67" s="9">
        <f t="shared" si="90"/>
        <v>6</v>
      </c>
      <c r="O67" s="9"/>
      <c r="P67" s="9"/>
      <c r="Q67" s="9"/>
      <c r="R67" s="9"/>
      <c r="S67" s="9"/>
      <c r="T67" s="9"/>
      <c r="U67" s="9"/>
      <c r="AA67" s="3">
        <v>4</v>
      </c>
      <c r="AB67" s="3">
        <v>17</v>
      </c>
    </row>
    <row r="68" spans="2:28" s="3" customFormat="1" x14ac:dyDescent="0.2">
      <c r="B68" s="3" t="s">
        <v>64</v>
      </c>
      <c r="C68" s="9"/>
      <c r="D68" s="9"/>
      <c r="E68" s="9"/>
      <c r="F68" s="9"/>
      <c r="G68" s="9"/>
      <c r="H68" s="9"/>
      <c r="I68" s="9"/>
      <c r="J68" s="9"/>
      <c r="K68" s="9">
        <v>-298</v>
      </c>
      <c r="L68" s="9">
        <f>-133-K68</f>
        <v>165</v>
      </c>
      <c r="M68" s="9">
        <f>620-L68-K68</f>
        <v>753</v>
      </c>
      <c r="N68" s="9">
        <f t="shared" si="90"/>
        <v>-450</v>
      </c>
      <c r="O68" s="9"/>
      <c r="P68" s="9"/>
      <c r="Q68" s="9"/>
      <c r="R68" s="9"/>
      <c r="S68" s="9"/>
      <c r="T68" s="9"/>
      <c r="U68" s="9"/>
      <c r="AA68" s="3">
        <v>450</v>
      </c>
      <c r="AB68" s="3">
        <v>170</v>
      </c>
    </row>
    <row r="69" spans="2:28" s="6" customFormat="1" x14ac:dyDescent="0.2">
      <c r="B69" s="6" t="s">
        <v>63</v>
      </c>
      <c r="C69" s="15"/>
      <c r="D69" s="15"/>
      <c r="E69" s="15"/>
      <c r="F69" s="15"/>
      <c r="G69" s="15"/>
      <c r="H69" s="15"/>
      <c r="I69" s="15"/>
      <c r="J69" s="15"/>
      <c r="K69" s="15">
        <f>SUM(K59:K68)</f>
        <v>-197</v>
      </c>
      <c r="L69" s="15">
        <f>SUM(L59:L68)</f>
        <v>306</v>
      </c>
      <c r="M69" s="15">
        <f>SUM(M59:M68)</f>
        <v>1602</v>
      </c>
      <c r="N69" s="15">
        <f>SUM(N59:N68)</f>
        <v>-310</v>
      </c>
      <c r="O69" s="15"/>
      <c r="P69" s="15"/>
      <c r="Q69" s="15"/>
      <c r="R69" s="15"/>
      <c r="S69" s="15"/>
      <c r="T69" s="15"/>
      <c r="U69" s="15"/>
      <c r="AA69" s="6">
        <f t="shared" ref="AA69" si="91">SUM(AA59:AA68)</f>
        <v>1504</v>
      </c>
      <c r="AB69" s="6">
        <f>SUM(AB59:AB68)</f>
        <v>1401</v>
      </c>
    </row>
    <row r="71" spans="2:28" s="3" customFormat="1" x14ac:dyDescent="0.2">
      <c r="B71" s="3" t="s">
        <v>81</v>
      </c>
      <c r="C71" s="9"/>
      <c r="D71" s="9"/>
      <c r="E71" s="9"/>
      <c r="F71" s="9"/>
      <c r="G71" s="9"/>
      <c r="H71" s="9"/>
      <c r="I71" s="9"/>
      <c r="J71" s="9"/>
      <c r="K71" s="9">
        <f>-117+940+64</f>
        <v>887</v>
      </c>
      <c r="L71" s="9">
        <f>-181+942+126-K71</f>
        <v>0</v>
      </c>
      <c r="M71" s="9">
        <f>-589+990+160-L71-K71</f>
        <v>-326</v>
      </c>
      <c r="N71" s="9">
        <f t="shared" ref="N71:N75" si="92">+AB71-M71-L71-K71</f>
        <v>-143</v>
      </c>
      <c r="O71" s="9"/>
      <c r="P71" s="9"/>
      <c r="Q71" s="9"/>
      <c r="R71" s="9"/>
      <c r="S71" s="9"/>
      <c r="T71" s="9"/>
      <c r="U71" s="9"/>
      <c r="AA71" s="3">
        <f>-939+620+475</f>
        <v>156</v>
      </c>
      <c r="AB71" s="3">
        <f>-934+1165+187</f>
        <v>418</v>
      </c>
    </row>
    <row r="72" spans="2:28" s="3" customFormat="1" x14ac:dyDescent="0.2">
      <c r="B72" s="3" t="s">
        <v>82</v>
      </c>
      <c r="C72" s="9"/>
      <c r="D72" s="9"/>
      <c r="E72" s="9"/>
      <c r="F72" s="9"/>
      <c r="G72" s="9"/>
      <c r="H72" s="9"/>
      <c r="I72" s="9"/>
      <c r="J72" s="9"/>
      <c r="K72" s="9">
        <f>-10+10</f>
        <v>0</v>
      </c>
      <c r="L72" s="9">
        <f>-35+35-K72</f>
        <v>0</v>
      </c>
      <c r="M72" s="9">
        <f>-35+35-L72-K72</f>
        <v>0</v>
      </c>
      <c r="N72" s="27">
        <f t="shared" si="92"/>
        <v>25</v>
      </c>
      <c r="O72" s="9"/>
      <c r="P72" s="9"/>
      <c r="Q72" s="9"/>
      <c r="R72" s="9"/>
      <c r="S72" s="9"/>
      <c r="T72" s="9"/>
      <c r="U72" s="9"/>
      <c r="AA72" s="3">
        <f>-49+49</f>
        <v>0</v>
      </c>
      <c r="AB72" s="3">
        <f>58-33</f>
        <v>25</v>
      </c>
    </row>
    <row r="73" spans="2:28" s="6" customFormat="1" x14ac:dyDescent="0.2">
      <c r="B73" s="6" t="s">
        <v>83</v>
      </c>
      <c r="C73" s="15"/>
      <c r="D73" s="15"/>
      <c r="E73" s="15"/>
      <c r="F73" s="15"/>
      <c r="G73" s="15"/>
      <c r="H73" s="15"/>
      <c r="I73" s="15"/>
      <c r="J73" s="15"/>
      <c r="K73" s="15">
        <v>-70</v>
      </c>
      <c r="L73" s="15">
        <f>-394-K73</f>
        <v>-324</v>
      </c>
      <c r="M73" s="15">
        <f>-449-L73-K73</f>
        <v>-55</v>
      </c>
      <c r="N73" s="15">
        <f t="shared" si="92"/>
        <v>-73</v>
      </c>
      <c r="O73" s="15"/>
      <c r="P73" s="15"/>
      <c r="Q73" s="15"/>
      <c r="R73" s="15"/>
      <c r="S73" s="15"/>
      <c r="T73" s="15"/>
      <c r="U73" s="15"/>
      <c r="AA73" s="6">
        <v>-261</v>
      </c>
      <c r="AB73" s="6">
        <v>-522</v>
      </c>
    </row>
    <row r="74" spans="2:28" s="3" customFormat="1" x14ac:dyDescent="0.2">
      <c r="B74" s="3" t="s">
        <v>84</v>
      </c>
      <c r="C74" s="9"/>
      <c r="D74" s="9"/>
      <c r="E74" s="9"/>
      <c r="F74" s="9"/>
      <c r="G74" s="9"/>
      <c r="H74" s="9"/>
      <c r="I74" s="9"/>
      <c r="J74" s="9"/>
      <c r="K74" s="9">
        <v>0</v>
      </c>
      <c r="L74" s="9">
        <f>0-K74</f>
        <v>0</v>
      </c>
      <c r="M74" s="9">
        <v>463</v>
      </c>
      <c r="N74" s="9">
        <f t="shared" si="92"/>
        <v>0</v>
      </c>
      <c r="O74" s="9"/>
      <c r="P74" s="9"/>
      <c r="Q74" s="9"/>
      <c r="R74" s="9"/>
      <c r="S74" s="9"/>
      <c r="T74" s="9"/>
      <c r="U74" s="9"/>
      <c r="AA74" s="3">
        <v>-95</v>
      </c>
      <c r="AB74" s="3">
        <v>463</v>
      </c>
    </row>
    <row r="75" spans="2:28" s="3" customFormat="1" x14ac:dyDescent="0.2">
      <c r="B75" s="3" t="s">
        <v>70</v>
      </c>
      <c r="C75" s="9"/>
      <c r="D75" s="9"/>
      <c r="E75" s="9"/>
      <c r="F75" s="9"/>
      <c r="G75" s="9"/>
      <c r="H75" s="9"/>
      <c r="I75" s="9"/>
      <c r="J75" s="9"/>
      <c r="K75" s="9">
        <v>-1</v>
      </c>
      <c r="L75" s="9">
        <f>0-K75</f>
        <v>1</v>
      </c>
      <c r="M75" s="9">
        <v>3</v>
      </c>
      <c r="N75" s="9">
        <f t="shared" si="92"/>
        <v>-16</v>
      </c>
      <c r="O75" s="9"/>
      <c r="P75" s="9"/>
      <c r="Q75" s="9"/>
      <c r="R75" s="9"/>
      <c r="S75" s="9"/>
      <c r="T75" s="9"/>
      <c r="U75" s="9"/>
      <c r="AA75" s="3">
        <v>18</v>
      </c>
      <c r="AB75" s="3">
        <v>-13</v>
      </c>
    </row>
    <row r="76" spans="2:28" s="6" customFormat="1" x14ac:dyDescent="0.2">
      <c r="B76" s="6" t="s">
        <v>80</v>
      </c>
      <c r="C76" s="15"/>
      <c r="D76" s="15"/>
      <c r="E76" s="15"/>
      <c r="F76" s="15"/>
      <c r="G76" s="15"/>
      <c r="H76" s="15"/>
      <c r="I76" s="15"/>
      <c r="J76" s="15"/>
      <c r="K76" s="15">
        <f>SUM(K71:K75)</f>
        <v>816</v>
      </c>
      <c r="L76" s="15">
        <f>SUM(L71:L75)</f>
        <v>-323</v>
      </c>
      <c r="M76" s="15">
        <f>SUM(M71:M75)</f>
        <v>85</v>
      </c>
      <c r="N76" s="15">
        <f>SUM(N71:N75)</f>
        <v>-207</v>
      </c>
      <c r="O76" s="15"/>
      <c r="P76" s="15"/>
      <c r="Q76" s="15"/>
      <c r="R76" s="15"/>
      <c r="S76" s="15"/>
      <c r="T76" s="15"/>
      <c r="U76" s="15"/>
      <c r="AA76" s="6">
        <f t="shared" ref="AA76" si="93">SUM(AA71:AA75)</f>
        <v>-182</v>
      </c>
      <c r="AB76" s="6">
        <f>SUM(AB71:AB75)</f>
        <v>371</v>
      </c>
    </row>
    <row r="77" spans="2:28" s="3" customFormat="1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2:28" s="3" customFormat="1" x14ac:dyDescent="0.2">
      <c r="B78" s="3" t="s">
        <v>79</v>
      </c>
      <c r="C78" s="9"/>
      <c r="D78" s="9"/>
      <c r="E78" s="9"/>
      <c r="F78" s="9"/>
      <c r="G78" s="9"/>
      <c r="H78" s="9"/>
      <c r="I78" s="9"/>
      <c r="J78" s="9"/>
      <c r="K78" s="9">
        <v>350</v>
      </c>
      <c r="L78" s="9">
        <f>745-K78</f>
        <v>395</v>
      </c>
      <c r="M78" s="9">
        <f>995-995-L78-K78</f>
        <v>-745</v>
      </c>
      <c r="N78" s="9">
        <f t="shared" ref="N78:N86" si="94">+AB78-M78-L78-K78</f>
        <v>0</v>
      </c>
      <c r="O78" s="9"/>
      <c r="P78" s="9"/>
      <c r="Q78" s="9"/>
      <c r="R78" s="9"/>
      <c r="S78" s="9"/>
      <c r="T78" s="9"/>
      <c r="U78" s="9"/>
      <c r="AA78" s="3">
        <v>0</v>
      </c>
      <c r="AB78" s="3">
        <f>995-995</f>
        <v>0</v>
      </c>
    </row>
    <row r="79" spans="2:28" s="3" customFormat="1" x14ac:dyDescent="0.2">
      <c r="B79" s="3" t="s">
        <v>4</v>
      </c>
      <c r="C79" s="9"/>
      <c r="D79" s="9"/>
      <c r="E79" s="9"/>
      <c r="F79" s="9"/>
      <c r="G79" s="9"/>
      <c r="H79" s="9"/>
      <c r="I79" s="9"/>
      <c r="J79" s="9"/>
      <c r="K79" s="9">
        <v>0</v>
      </c>
      <c r="L79" s="9">
        <v>0</v>
      </c>
      <c r="M79" s="9">
        <v>500</v>
      </c>
      <c r="N79" s="9">
        <f t="shared" si="94"/>
        <v>0</v>
      </c>
      <c r="O79" s="9"/>
      <c r="P79" s="9"/>
      <c r="Q79" s="9"/>
      <c r="R79" s="9"/>
      <c r="S79" s="9"/>
      <c r="T79" s="9"/>
      <c r="U79" s="9"/>
      <c r="AA79" s="3">
        <v>0</v>
      </c>
      <c r="AB79" s="3">
        <v>500</v>
      </c>
    </row>
    <row r="80" spans="2:28" s="3" customFormat="1" x14ac:dyDescent="0.2">
      <c r="B80" s="3" t="s">
        <v>78</v>
      </c>
      <c r="C80" s="9"/>
      <c r="D80" s="9"/>
      <c r="E80" s="9"/>
      <c r="F80" s="9"/>
      <c r="G80" s="9"/>
      <c r="H80" s="9"/>
      <c r="I80" s="9"/>
      <c r="J80" s="9"/>
      <c r="K80" s="9">
        <v>24</v>
      </c>
      <c r="L80" s="9">
        <f>56-K80</f>
        <v>32</v>
      </c>
      <c r="M80" s="9">
        <f>89-L80-K80</f>
        <v>33</v>
      </c>
      <c r="N80" s="9">
        <f t="shared" si="94"/>
        <v>0</v>
      </c>
      <c r="O80" s="9"/>
      <c r="P80" s="9"/>
      <c r="Q80" s="9"/>
      <c r="R80" s="9"/>
      <c r="S80" s="9"/>
      <c r="T80" s="9"/>
      <c r="U80" s="9"/>
      <c r="AA80" s="3">
        <v>107</v>
      </c>
      <c r="AB80" s="3">
        <v>89</v>
      </c>
    </row>
    <row r="81" spans="2:28" s="3" customFormat="1" x14ac:dyDescent="0.2">
      <c r="B81" s="3" t="s">
        <v>77</v>
      </c>
      <c r="C81" s="9"/>
      <c r="D81" s="9"/>
      <c r="E81" s="9"/>
      <c r="F81" s="9"/>
      <c r="G81" s="9"/>
      <c r="H81" s="9"/>
      <c r="I81" s="9"/>
      <c r="J81" s="9"/>
      <c r="K81" s="9">
        <v>-1253</v>
      </c>
      <c r="L81" s="9">
        <f>-1725-K81</f>
        <v>-472</v>
      </c>
      <c r="M81" s="9">
        <f>-2190-L81-K81</f>
        <v>-465</v>
      </c>
      <c r="N81" s="9">
        <f t="shared" si="94"/>
        <v>-74</v>
      </c>
      <c r="O81" s="9"/>
      <c r="P81" s="9"/>
      <c r="Q81" s="9"/>
      <c r="R81" s="9"/>
      <c r="S81" s="9"/>
      <c r="T81" s="9"/>
      <c r="U81" s="9"/>
      <c r="AA81" s="3">
        <v>-1245</v>
      </c>
      <c r="AB81" s="3">
        <v>-2264</v>
      </c>
    </row>
    <row r="82" spans="2:28" s="3" customFormat="1" x14ac:dyDescent="0.2">
      <c r="B82" s="3" t="s">
        <v>76</v>
      </c>
      <c r="C82" s="9"/>
      <c r="D82" s="9"/>
      <c r="E82" s="9"/>
      <c r="F82" s="9"/>
      <c r="G82" s="9"/>
      <c r="H82" s="9"/>
      <c r="I82" s="9"/>
      <c r="J82" s="9"/>
      <c r="K82" s="9">
        <v>-82</v>
      </c>
      <c r="L82" s="9">
        <f>-161-K82</f>
        <v>-79</v>
      </c>
      <c r="M82" s="9">
        <f>-238-L82-K82</f>
        <v>-77</v>
      </c>
      <c r="N82" s="9">
        <f t="shared" si="94"/>
        <v>-80</v>
      </c>
      <c r="O82" s="9"/>
      <c r="P82" s="9"/>
      <c r="Q82" s="9"/>
      <c r="R82" s="9"/>
      <c r="S82" s="9"/>
      <c r="T82" s="9"/>
      <c r="U82" s="9"/>
      <c r="AA82" s="3">
        <v>-283</v>
      </c>
      <c r="AB82" s="3">
        <v>-318</v>
      </c>
    </row>
    <row r="83" spans="2:28" s="3" customFormat="1" x14ac:dyDescent="0.2">
      <c r="B83" s="3" t="s">
        <v>65</v>
      </c>
      <c r="C83" s="9"/>
      <c r="D83" s="9"/>
      <c r="E83" s="9"/>
      <c r="F83" s="9"/>
      <c r="G83" s="9"/>
      <c r="H83" s="9"/>
      <c r="I83" s="9"/>
      <c r="J83" s="9"/>
      <c r="K83" s="9">
        <v>9</v>
      </c>
      <c r="L83" s="9">
        <f>20-K83</f>
        <v>11</v>
      </c>
      <c r="M83" s="9">
        <f>30-L83-K83</f>
        <v>10</v>
      </c>
      <c r="N83" s="9">
        <f t="shared" si="94"/>
        <v>29</v>
      </c>
      <c r="O83" s="9"/>
      <c r="P83" s="9"/>
      <c r="Q83" s="9"/>
      <c r="R83" s="9"/>
      <c r="S83" s="9"/>
      <c r="T83" s="9"/>
      <c r="U83" s="9"/>
      <c r="AA83" s="3">
        <v>85</v>
      </c>
      <c r="AB83" s="3">
        <v>59</v>
      </c>
    </row>
    <row r="84" spans="2:28" s="3" customFormat="1" x14ac:dyDescent="0.2">
      <c r="B84" s="3" t="s">
        <v>70</v>
      </c>
      <c r="C84" s="9"/>
      <c r="D84" s="9"/>
      <c r="E84" s="9"/>
      <c r="F84" s="9"/>
      <c r="G84" s="9"/>
      <c r="H84" s="9"/>
      <c r="I84" s="9"/>
      <c r="J84" s="9"/>
      <c r="K84" s="9">
        <v>0</v>
      </c>
      <c r="L84" s="9">
        <f>0-K84</f>
        <v>0</v>
      </c>
      <c r="M84" s="9">
        <f>-5-L84-K84</f>
        <v>-5</v>
      </c>
      <c r="N84" s="9">
        <f t="shared" si="94"/>
        <v>-1</v>
      </c>
      <c r="O84" s="9"/>
      <c r="P84" s="9"/>
      <c r="Q84" s="9"/>
      <c r="R84" s="9"/>
      <c r="S84" s="9"/>
      <c r="T84" s="9"/>
      <c r="U84" s="9"/>
      <c r="AA84" s="3">
        <v>-1</v>
      </c>
      <c r="AB84" s="3">
        <v>-6</v>
      </c>
    </row>
    <row r="85" spans="2:28" s="6" customFormat="1" x14ac:dyDescent="0.2">
      <c r="B85" s="6" t="s">
        <v>75</v>
      </c>
      <c r="C85" s="15"/>
      <c r="D85" s="15"/>
      <c r="E85" s="15"/>
      <c r="F85" s="15"/>
      <c r="G85" s="15"/>
      <c r="H85" s="15"/>
      <c r="I85" s="15"/>
      <c r="J85" s="15"/>
      <c r="K85" s="15">
        <f>SUM(K78:K84)</f>
        <v>-952</v>
      </c>
      <c r="L85" s="15">
        <f>SUM(L78:L84)</f>
        <v>-113</v>
      </c>
      <c r="M85" s="15">
        <f>SUM(M78:M84)</f>
        <v>-749</v>
      </c>
      <c r="N85" s="15">
        <f>SUM(N78:N84)</f>
        <v>-126</v>
      </c>
      <c r="O85" s="15"/>
      <c r="P85" s="15"/>
      <c r="Q85" s="15"/>
      <c r="R85" s="15"/>
      <c r="S85" s="15"/>
      <c r="T85" s="15"/>
      <c r="U85" s="15"/>
      <c r="AA85" s="6">
        <f t="shared" ref="AA85" si="95">SUM(AA78:AA84)</f>
        <v>-1337</v>
      </c>
      <c r="AB85" s="6">
        <f>SUM(AB78:AB84)</f>
        <v>-1940</v>
      </c>
    </row>
    <row r="86" spans="2:28" s="3" customFormat="1" x14ac:dyDescent="0.2">
      <c r="B86" s="3" t="s">
        <v>74</v>
      </c>
      <c r="C86" s="9"/>
      <c r="D86" s="9"/>
      <c r="E86" s="9"/>
      <c r="F86" s="9"/>
      <c r="G86" s="9"/>
      <c r="H86" s="9"/>
      <c r="I86" s="9"/>
      <c r="J86" s="9"/>
      <c r="K86" s="9">
        <v>-1</v>
      </c>
      <c r="L86" s="9">
        <f>-11-K86</f>
        <v>-10</v>
      </c>
      <c r="M86" s="9">
        <f>6-L86-K86</f>
        <v>17</v>
      </c>
      <c r="N86" s="9">
        <f t="shared" si="94"/>
        <v>-8</v>
      </c>
      <c r="O86" s="9"/>
      <c r="P86" s="9"/>
      <c r="Q86" s="9"/>
      <c r="R86" s="9"/>
      <c r="S86" s="9"/>
      <c r="T86" s="9"/>
      <c r="U86" s="9"/>
      <c r="AA86" s="3">
        <v>-26</v>
      </c>
      <c r="AB86" s="3">
        <v>-2</v>
      </c>
    </row>
    <row r="87" spans="2:28" s="6" customFormat="1" x14ac:dyDescent="0.2">
      <c r="B87" s="6" t="s">
        <v>73</v>
      </c>
      <c r="C87" s="15"/>
      <c r="D87" s="15"/>
      <c r="E87" s="15"/>
      <c r="F87" s="15"/>
      <c r="G87" s="15"/>
      <c r="H87" s="15"/>
      <c r="I87" s="15"/>
      <c r="J87" s="15"/>
      <c r="K87" s="15">
        <f>K86+K85+K76+K69</f>
        <v>-334</v>
      </c>
      <c r="L87" s="15">
        <f>L86+L85+L76+L69</f>
        <v>-140</v>
      </c>
      <c r="M87" s="15">
        <f>M86+M85+M76+M69</f>
        <v>955</v>
      </c>
      <c r="N87" s="15">
        <f>N86+N85+N76+N69</f>
        <v>-651</v>
      </c>
      <c r="O87" s="15"/>
      <c r="P87" s="15"/>
      <c r="Q87" s="15"/>
      <c r="R87" s="15"/>
      <c r="S87" s="15"/>
      <c r="T87" s="15"/>
      <c r="U87" s="15"/>
      <c r="AA87" s="6">
        <f t="shared" ref="AA87" si="96">+AA86+AA85+AA76+AA69</f>
        <v>-41</v>
      </c>
      <c r="AB87" s="6">
        <f>+AB86+AB85+AB76+AB69</f>
        <v>-170</v>
      </c>
    </row>
    <row r="89" spans="2:28" x14ac:dyDescent="0.2">
      <c r="B89" s="3" t="s">
        <v>85</v>
      </c>
      <c r="K89" s="26">
        <f>+K69+K73-K62-K63</f>
        <v>-336</v>
      </c>
      <c r="L89" s="26">
        <f t="shared" ref="L89:N89" si="97">+L69+L73-L62-L63</f>
        <v>-86</v>
      </c>
      <c r="M89" s="26">
        <f t="shared" si="97"/>
        <v>1838</v>
      </c>
      <c r="N89" s="26">
        <f t="shared" si="97"/>
        <v>-464</v>
      </c>
      <c r="AA89" s="6">
        <f>+AA69+AA73-AA62-AA63</f>
        <v>986</v>
      </c>
      <c r="AB89" s="6">
        <f>+AB69+AB73-AB62-AB63</f>
        <v>952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2016-09-25T23:22:19Z</dcterms:created>
  <dcterms:modified xsi:type="dcterms:W3CDTF">2016-09-26T00:41:48Z</dcterms:modified>
</cp:coreProperties>
</file>