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150" windowHeight="759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2" l="1"/>
  <c r="AH8" i="2"/>
  <c r="AG8" i="2"/>
  <c r="AB18" i="2"/>
  <c r="AA32" i="2"/>
  <c r="O32" i="2"/>
  <c r="P32" i="2" s="1"/>
  <c r="Q32" i="2" s="1"/>
  <c r="R32" i="2" s="1"/>
  <c r="N32" i="2"/>
  <c r="M32" i="2"/>
  <c r="X11" i="2"/>
  <c r="W11" i="2"/>
  <c r="P25" i="2"/>
  <c r="Y23" i="2"/>
  <c r="Y20" i="2"/>
  <c r="Y18" i="2"/>
  <c r="Z15" i="2"/>
  <c r="Y15" i="2"/>
  <c r="Y14" i="2"/>
  <c r="Y16" i="2" s="1"/>
  <c r="Y12" i="2"/>
  <c r="Y10" i="2"/>
  <c r="Y9" i="2"/>
  <c r="Y7" i="2"/>
  <c r="Z6" i="2"/>
  <c r="Y6" i="2"/>
  <c r="Y5" i="2"/>
  <c r="Y4" i="2"/>
  <c r="Y11" i="2" s="1"/>
  <c r="Y13" i="2" s="1"/>
  <c r="Y28" i="2" s="1"/>
  <c r="Y3" i="2"/>
  <c r="M23" i="2"/>
  <c r="N18" i="2"/>
  <c r="O18" i="2" s="1"/>
  <c r="P18" i="2" s="1"/>
  <c r="Q18" i="2" s="1"/>
  <c r="R18" i="2" s="1"/>
  <c r="M18" i="2"/>
  <c r="R14" i="2"/>
  <c r="R16" i="2" s="1"/>
  <c r="P14" i="2"/>
  <c r="P16" i="2" s="1"/>
  <c r="O14" i="2"/>
  <c r="N14" i="2"/>
  <c r="N16" i="2" s="1"/>
  <c r="M14" i="2"/>
  <c r="Z14" i="2" s="1"/>
  <c r="Z16" i="2" s="1"/>
  <c r="R10" i="2"/>
  <c r="P10" i="2"/>
  <c r="O10" i="2"/>
  <c r="AA10" i="2" s="1"/>
  <c r="AB10" i="2" s="1"/>
  <c r="AC10" i="2" s="1"/>
  <c r="AD10" i="2" s="1"/>
  <c r="AE10" i="2" s="1"/>
  <c r="AF10" i="2" s="1"/>
  <c r="AG10" i="2" s="1"/>
  <c r="AH10" i="2" s="1"/>
  <c r="AI10" i="2" s="1"/>
  <c r="N10" i="2"/>
  <c r="M10" i="2"/>
  <c r="Q10" i="2" s="1"/>
  <c r="P9" i="2"/>
  <c r="AA9" i="2" s="1"/>
  <c r="AB9" i="2" s="1"/>
  <c r="AC9" i="2" s="1"/>
  <c r="AD9" i="2" s="1"/>
  <c r="AE9" i="2" s="1"/>
  <c r="AF9" i="2" s="1"/>
  <c r="AG9" i="2" s="1"/>
  <c r="AH9" i="2" s="1"/>
  <c r="AI9" i="2" s="1"/>
  <c r="O9" i="2"/>
  <c r="N9" i="2"/>
  <c r="R9" i="2" s="1"/>
  <c r="M9" i="2"/>
  <c r="Q9" i="2" s="1"/>
  <c r="P7" i="2"/>
  <c r="O7" i="2"/>
  <c r="AA7" i="2" s="1"/>
  <c r="AB7" i="2" s="1"/>
  <c r="AC7" i="2" s="1"/>
  <c r="AD7" i="2" s="1"/>
  <c r="AE7" i="2" s="1"/>
  <c r="AF7" i="2" s="1"/>
  <c r="AG7" i="2" s="1"/>
  <c r="AH7" i="2" s="1"/>
  <c r="AI7" i="2" s="1"/>
  <c r="N7" i="2"/>
  <c r="R7" i="2" s="1"/>
  <c r="M7" i="2"/>
  <c r="Q7" i="2" s="1"/>
  <c r="Q6" i="2"/>
  <c r="P6" i="2"/>
  <c r="O6" i="2"/>
  <c r="AA6" i="2" s="1"/>
  <c r="AB6" i="2" s="1"/>
  <c r="AC6" i="2" s="1"/>
  <c r="N6" i="2"/>
  <c r="R6" i="2" s="1"/>
  <c r="M6" i="2"/>
  <c r="M5" i="2"/>
  <c r="N5" i="2" s="1"/>
  <c r="P3" i="2"/>
  <c r="O3" i="2"/>
  <c r="O25" i="2" s="1"/>
  <c r="P4" i="2"/>
  <c r="O4" i="2"/>
  <c r="N4" i="2"/>
  <c r="R4" i="2" s="1"/>
  <c r="M4" i="2"/>
  <c r="Z4" i="2" s="1"/>
  <c r="N3" i="2"/>
  <c r="N25" i="2" s="1"/>
  <c r="M3" i="2"/>
  <c r="Q3" i="2" s="1"/>
  <c r="E16" i="2"/>
  <c r="I26" i="2"/>
  <c r="I25" i="2"/>
  <c r="I16" i="2"/>
  <c r="E11" i="2"/>
  <c r="E13" i="2" s="1"/>
  <c r="I11" i="2"/>
  <c r="I13" i="2" s="1"/>
  <c r="I28" i="2" s="1"/>
  <c r="F16" i="2"/>
  <c r="J25" i="2"/>
  <c r="J16" i="2"/>
  <c r="K13" i="2"/>
  <c r="F11" i="2"/>
  <c r="F13" i="2" s="1"/>
  <c r="F28" i="2" s="1"/>
  <c r="J11" i="2"/>
  <c r="J13" i="2" s="1"/>
  <c r="G16" i="2"/>
  <c r="G13" i="2"/>
  <c r="K28" i="2"/>
  <c r="K26" i="2"/>
  <c r="K25" i="2"/>
  <c r="K16" i="2"/>
  <c r="G11" i="2"/>
  <c r="K11" i="2"/>
  <c r="L25" i="2"/>
  <c r="H16" i="2"/>
  <c r="L16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L11" i="2"/>
  <c r="L26" i="2" s="1"/>
  <c r="H11" i="2"/>
  <c r="H13" i="2" s="1"/>
  <c r="H28" i="2" s="1"/>
  <c r="M6" i="1"/>
  <c r="M5" i="1"/>
  <c r="M4" i="1"/>
  <c r="M7" i="1" s="1"/>
  <c r="Q25" i="2" l="1"/>
  <c r="AA14" i="2"/>
  <c r="AA16" i="2" s="1"/>
  <c r="O5" i="2"/>
  <c r="Z5" i="2"/>
  <c r="G17" i="2"/>
  <c r="G28" i="2"/>
  <c r="N23" i="2"/>
  <c r="O23" i="2" s="1"/>
  <c r="Z18" i="2"/>
  <c r="AA18" i="2"/>
  <c r="Q4" i="2"/>
  <c r="AA4" i="2" s="1"/>
  <c r="AB4" i="2" s="1"/>
  <c r="AC4" i="2" s="1"/>
  <c r="AD4" i="2" s="1"/>
  <c r="AE4" i="2" s="1"/>
  <c r="AF4" i="2" s="1"/>
  <c r="AG4" i="2" s="1"/>
  <c r="AH4" i="2" s="1"/>
  <c r="AI4" i="2" s="1"/>
  <c r="Q14" i="2"/>
  <c r="Q16" i="2" s="1"/>
  <c r="Z7" i="2"/>
  <c r="M16" i="2"/>
  <c r="R3" i="2"/>
  <c r="O16" i="2"/>
  <c r="AA3" i="2"/>
  <c r="Z9" i="2"/>
  <c r="N11" i="2"/>
  <c r="Z3" i="2"/>
  <c r="M25" i="2"/>
  <c r="Z10" i="2"/>
  <c r="M11" i="2"/>
  <c r="L13" i="2"/>
  <c r="L28" i="2" s="1"/>
  <c r="AD6" i="2"/>
  <c r="AE6" i="2" s="1"/>
  <c r="AF6" i="2" s="1"/>
  <c r="AG6" i="2" s="1"/>
  <c r="AH6" i="2" s="1"/>
  <c r="AI6" i="2" s="1"/>
  <c r="Y17" i="2"/>
  <c r="E17" i="2"/>
  <c r="E28" i="2"/>
  <c r="E19" i="2"/>
  <c r="E29" i="2"/>
  <c r="I17" i="2"/>
  <c r="J17" i="2"/>
  <c r="J28" i="2"/>
  <c r="J26" i="2"/>
  <c r="F17" i="2"/>
  <c r="K17" i="2"/>
  <c r="H17" i="2"/>
  <c r="P5" i="2" l="1"/>
  <c r="Z25" i="2"/>
  <c r="Z11" i="2"/>
  <c r="Z23" i="2"/>
  <c r="P23" i="2"/>
  <c r="Q23" i="2" s="1"/>
  <c r="R23" i="2" s="1"/>
  <c r="AA23" i="2"/>
  <c r="AB23" i="2" s="1"/>
  <c r="AC23" i="2" s="1"/>
  <c r="AD23" i="2" s="1"/>
  <c r="AE23" i="2" s="1"/>
  <c r="AF23" i="2" s="1"/>
  <c r="F19" i="2"/>
  <c r="F29" i="2"/>
  <c r="AA25" i="2"/>
  <c r="AB3" i="2"/>
  <c r="G19" i="2"/>
  <c r="G29" i="2"/>
  <c r="H19" i="2"/>
  <c r="H29" i="2"/>
  <c r="R25" i="2"/>
  <c r="O11" i="2"/>
  <c r="I19" i="2"/>
  <c r="I29" i="2"/>
  <c r="M13" i="2"/>
  <c r="M28" i="2" s="1"/>
  <c r="M26" i="2"/>
  <c r="L17" i="2"/>
  <c r="L19" i="2" s="1"/>
  <c r="N13" i="2"/>
  <c r="N12" i="2" s="1"/>
  <c r="N26" i="2"/>
  <c r="M17" i="2"/>
  <c r="Y19" i="2"/>
  <c r="Y29" i="2"/>
  <c r="E21" i="2"/>
  <c r="E22" i="2" s="1"/>
  <c r="E30" i="2"/>
  <c r="J19" i="2"/>
  <c r="J29" i="2"/>
  <c r="K19" i="2"/>
  <c r="K29" i="2"/>
  <c r="H21" i="2" l="1"/>
  <c r="H22" i="2" s="1"/>
  <c r="H30" i="2"/>
  <c r="M29" i="2"/>
  <c r="M19" i="2"/>
  <c r="AC3" i="2"/>
  <c r="AD3" i="2" s="1"/>
  <c r="AE3" i="2" s="1"/>
  <c r="AF3" i="2" s="1"/>
  <c r="AG3" i="2" s="1"/>
  <c r="AH3" i="2" s="1"/>
  <c r="AI3" i="2" s="1"/>
  <c r="AB25" i="2"/>
  <c r="F21" i="2"/>
  <c r="F22" i="2" s="1"/>
  <c r="F30" i="2"/>
  <c r="L29" i="2"/>
  <c r="M12" i="2"/>
  <c r="Z12" i="2" s="1"/>
  <c r="Z13" i="2" s="1"/>
  <c r="G21" i="2"/>
  <c r="G22" i="2" s="1"/>
  <c r="G30" i="2"/>
  <c r="Z26" i="2"/>
  <c r="N28" i="2"/>
  <c r="N17" i="2"/>
  <c r="I21" i="2"/>
  <c r="I22" i="2" s="1"/>
  <c r="I30" i="2"/>
  <c r="O13" i="2"/>
  <c r="O26" i="2"/>
  <c r="Q5" i="2"/>
  <c r="P11" i="2"/>
  <c r="AG23" i="2"/>
  <c r="Y21" i="2"/>
  <c r="Y22" i="2" s="1"/>
  <c r="Y30" i="2"/>
  <c r="L21" i="2"/>
  <c r="L22" i="2" s="1"/>
  <c r="L30" i="2"/>
  <c r="J21" i="2"/>
  <c r="J22" i="2" s="1"/>
  <c r="J30" i="2"/>
  <c r="K21" i="2"/>
  <c r="K22" i="2" s="1"/>
  <c r="K30" i="2"/>
  <c r="Z28" i="2" l="1"/>
  <c r="Z17" i="2"/>
  <c r="R5" i="2"/>
  <c r="R11" i="2" s="1"/>
  <c r="Q11" i="2"/>
  <c r="AA5" i="2"/>
  <c r="O28" i="2"/>
  <c r="O17" i="2"/>
  <c r="AC25" i="2"/>
  <c r="O12" i="2"/>
  <c r="M20" i="2"/>
  <c r="P13" i="2"/>
  <c r="P12" i="2"/>
  <c r="P26" i="2"/>
  <c r="N29" i="2"/>
  <c r="N19" i="2"/>
  <c r="AH23" i="2"/>
  <c r="AB5" i="2" l="1"/>
  <c r="AA11" i="2"/>
  <c r="M30" i="2"/>
  <c r="P28" i="2"/>
  <c r="P17" i="2"/>
  <c r="O29" i="2"/>
  <c r="O19" i="2"/>
  <c r="Q13" i="2"/>
  <c r="Q26" i="2"/>
  <c r="Q12" i="2"/>
  <c r="AA12" i="2" s="1"/>
  <c r="R13" i="2"/>
  <c r="R26" i="2"/>
  <c r="R12" i="2"/>
  <c r="AD25" i="2"/>
  <c r="Z29" i="2"/>
  <c r="Z19" i="2"/>
  <c r="M21" i="2"/>
  <c r="M22" i="2" s="1"/>
  <c r="N20" i="2"/>
  <c r="N30" i="2" s="1"/>
  <c r="AI23" i="2"/>
  <c r="AE25" i="2" l="1"/>
  <c r="Z20" i="2"/>
  <c r="Z21" i="2" s="1"/>
  <c r="Z22" i="2" s="1"/>
  <c r="Q28" i="2"/>
  <c r="Q17" i="2"/>
  <c r="N21" i="2"/>
  <c r="N22" i="2" s="1"/>
  <c r="R28" i="2"/>
  <c r="R17" i="2"/>
  <c r="AA26" i="2"/>
  <c r="AA13" i="2"/>
  <c r="O20" i="2"/>
  <c r="O21" i="2" s="1"/>
  <c r="O22" i="2" s="1"/>
  <c r="P29" i="2"/>
  <c r="P19" i="2"/>
  <c r="Z30" i="2"/>
  <c r="AC5" i="2"/>
  <c r="AB11" i="2"/>
  <c r="Q19" i="2" l="1"/>
  <c r="Q29" i="2"/>
  <c r="O30" i="2"/>
  <c r="AA28" i="2"/>
  <c r="AA17" i="2"/>
  <c r="P20" i="2"/>
  <c r="P30" i="2" s="1"/>
  <c r="R19" i="2"/>
  <c r="R29" i="2"/>
  <c r="AD5" i="2"/>
  <c r="AC11" i="2"/>
  <c r="AF25" i="2"/>
  <c r="AB13" i="2"/>
  <c r="AB28" i="2" s="1"/>
  <c r="AB26" i="2"/>
  <c r="AB14" i="2"/>
  <c r="AB16" i="2" s="1"/>
  <c r="AE5" i="2" l="1"/>
  <c r="AD11" i="2"/>
  <c r="P21" i="2"/>
  <c r="P22" i="2" s="1"/>
  <c r="AA19" i="2"/>
  <c r="AA29" i="2"/>
  <c r="AC13" i="2"/>
  <c r="AC26" i="2"/>
  <c r="AC14" i="2"/>
  <c r="AC16" i="2" s="1"/>
  <c r="AC17" i="2" s="1"/>
  <c r="R20" i="2"/>
  <c r="R30" i="2" s="1"/>
  <c r="R21" i="2"/>
  <c r="R22" i="2" s="1"/>
  <c r="AB12" i="2"/>
  <c r="AA20" i="2"/>
  <c r="AA30" i="2" s="1"/>
  <c r="AB17" i="2"/>
  <c r="AG25" i="2"/>
  <c r="Q20" i="2"/>
  <c r="Q30" i="2" s="1"/>
  <c r="Q21" i="2"/>
  <c r="Q22" i="2" s="1"/>
  <c r="AH25" i="2" l="1"/>
  <c r="AC29" i="2"/>
  <c r="AA21" i="2"/>
  <c r="AA22" i="2" s="1"/>
  <c r="AB29" i="2"/>
  <c r="AB19" i="2"/>
  <c r="AC12" i="2"/>
  <c r="AC28" i="2"/>
  <c r="AD14" i="2"/>
  <c r="AD16" i="2" s="1"/>
  <c r="AD26" i="2"/>
  <c r="AD13" i="2"/>
  <c r="AF5" i="2"/>
  <c r="AE11" i="2"/>
  <c r="AD17" i="2" l="1"/>
  <c r="AD29" i="2" s="1"/>
  <c r="AD12" i="2"/>
  <c r="AD28" i="2"/>
  <c r="AG5" i="2"/>
  <c r="AF11" i="2"/>
  <c r="AI25" i="2"/>
  <c r="AE13" i="2"/>
  <c r="AE28" i="2" s="1"/>
  <c r="AE14" i="2"/>
  <c r="AE16" i="2" s="1"/>
  <c r="AE17" i="2" s="1"/>
  <c r="AE26" i="2"/>
  <c r="AE12" i="2"/>
  <c r="AB20" i="2"/>
  <c r="AB30" i="2" s="1"/>
  <c r="AE29" i="2" l="1"/>
  <c r="AF14" i="2"/>
  <c r="AF16" i="2" s="1"/>
  <c r="AF26" i="2"/>
  <c r="AF13" i="2"/>
  <c r="AF28" i="2" s="1"/>
  <c r="AH5" i="2"/>
  <c r="AG11" i="2"/>
  <c r="AB21" i="2"/>
  <c r="AF12" i="2" l="1"/>
  <c r="AB22" i="2"/>
  <c r="AB32" i="2"/>
  <c r="AC18" i="2" s="1"/>
  <c r="AF17" i="2"/>
  <c r="AI5" i="2"/>
  <c r="AI11" i="2" s="1"/>
  <c r="AH11" i="2"/>
  <c r="AG14" i="2"/>
  <c r="AG16" i="2" s="1"/>
  <c r="AG26" i="2"/>
  <c r="AG13" i="2"/>
  <c r="AC19" i="2" l="1"/>
  <c r="AG12" i="2"/>
  <c r="AG28" i="2"/>
  <c r="AG17" i="2"/>
  <c r="AI14" i="2"/>
  <c r="AI16" i="2" s="1"/>
  <c r="AI26" i="2"/>
  <c r="AI13" i="2"/>
  <c r="AI12" i="2" s="1"/>
  <c r="AH14" i="2"/>
  <c r="AH16" i="2" s="1"/>
  <c r="AH26" i="2"/>
  <c r="AH13" i="2"/>
  <c r="AH28" i="2" s="1"/>
  <c r="AF29" i="2"/>
  <c r="AC20" i="2" l="1"/>
  <c r="AC30" i="2" s="1"/>
  <c r="AH12" i="2"/>
  <c r="AH17" i="2"/>
  <c r="AI28" i="2"/>
  <c r="AI17" i="2"/>
  <c r="AG29" i="2"/>
  <c r="AC21" i="2" l="1"/>
  <c r="AC22" i="2" s="1"/>
  <c r="AH29" i="2"/>
  <c r="AI29" i="2"/>
  <c r="AC32" i="2" l="1"/>
  <c r="AD18" i="2" s="1"/>
  <c r="AD19" i="2" s="1"/>
  <c r="AD20" i="2" l="1"/>
  <c r="AD30" i="2" s="1"/>
  <c r="AD21" i="2" l="1"/>
  <c r="AD22" i="2" s="1"/>
  <c r="AD32" i="2" l="1"/>
  <c r="AE18" i="2" s="1"/>
  <c r="AE19" i="2" s="1"/>
  <c r="AE20" i="2" l="1"/>
  <c r="AE30" i="2" s="1"/>
  <c r="AE21" i="2" l="1"/>
  <c r="AE22" i="2" l="1"/>
  <c r="AE32" i="2"/>
  <c r="AF18" i="2" s="1"/>
  <c r="AF19" i="2" l="1"/>
  <c r="AF20" i="2" l="1"/>
  <c r="AF30" i="2" s="1"/>
  <c r="AF21" i="2" l="1"/>
  <c r="AF22" i="2" l="1"/>
  <c r="AF32" i="2"/>
  <c r="AG18" i="2" s="1"/>
  <c r="AG19" i="2" l="1"/>
  <c r="AG20" i="2" l="1"/>
  <c r="AG30" i="2" s="1"/>
  <c r="AG21" i="2" l="1"/>
  <c r="AG22" i="2" s="1"/>
  <c r="AG32" i="2" l="1"/>
  <c r="AH18" i="2" s="1"/>
  <c r="AH19" i="2" s="1"/>
  <c r="AH20" i="2" l="1"/>
  <c r="AH30" i="2" s="1"/>
  <c r="AH21" i="2" l="1"/>
  <c r="AH22" i="2" l="1"/>
  <c r="AH32" i="2"/>
  <c r="AI18" i="2" s="1"/>
  <c r="AI19" i="2" l="1"/>
  <c r="AI20" i="2" l="1"/>
  <c r="AI30" i="2" s="1"/>
  <c r="AI21" i="2" l="1"/>
  <c r="AI22" i="2" s="1"/>
  <c r="AI32" i="2" l="1"/>
  <c r="AJ21" i="2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AL28" i="2" s="1"/>
  <c r="AL29" i="2" s="1"/>
</calcChain>
</file>

<file path=xl/sharedStrings.xml><?xml version="1.0" encoding="utf-8"?>
<sst xmlns="http://schemas.openxmlformats.org/spreadsheetml/2006/main" count="72" uniqueCount="64">
  <si>
    <t>Price</t>
  </si>
  <si>
    <t>Shares</t>
  </si>
  <si>
    <t>MC</t>
  </si>
  <si>
    <t>Cash</t>
  </si>
  <si>
    <t>Debt</t>
  </si>
  <si>
    <t>EV</t>
  </si>
  <si>
    <t>Q216</t>
  </si>
  <si>
    <t>Brand</t>
  </si>
  <si>
    <t>Generic</t>
  </si>
  <si>
    <t>Xyrem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</si>
  <si>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</si>
  <si>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</si>
  <si>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</si>
  <si>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</si>
  <si>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</si>
  <si>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</si>
  <si>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</si>
  <si>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</si>
  <si>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</si>
  <si>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</si>
  <si>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</si>
  <si>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</si>
  <si>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</si>
  <si>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Erwinase</t>
  </si>
  <si>
    <t>Defitelio</t>
  </si>
  <si>
    <t>Prialt</t>
  </si>
  <si>
    <t>Psychiatry</t>
  </si>
  <si>
    <t>Other</t>
  </si>
  <si>
    <t>Royalties</t>
  </si>
  <si>
    <t>Q117</t>
  </si>
  <si>
    <t>Q217</t>
  </si>
  <si>
    <t>Q317</t>
  </si>
  <si>
    <t>Q417</t>
  </si>
  <si>
    <t>Gross Margin</t>
  </si>
  <si>
    <t>Operating Margin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</si>
  <si>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</si>
  <si>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</si>
  <si>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</si>
  <si>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</si>
  <si>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</si>
  <si>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</si>
  <si>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</si>
  <si>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</si>
  <si>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</si>
  <si>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</si>
  <si>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</si>
  <si>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Xyrem Growth</t>
  </si>
  <si>
    <t>Revenue Growth</t>
  </si>
  <si>
    <t>Tax Rate</t>
  </si>
  <si>
    <t>Maturity</t>
  </si>
  <si>
    <t>ROIC</t>
  </si>
  <si>
    <t>Discount</t>
  </si>
  <si>
    <t>NPV</t>
  </si>
  <si>
    <t>Net Cash</t>
  </si>
  <si>
    <t>Share</t>
  </si>
  <si>
    <t>IP</t>
  </si>
  <si>
    <t>sodium oxybate</t>
  </si>
  <si>
    <t>Indication</t>
  </si>
  <si>
    <t>Narcolepsy</t>
  </si>
  <si>
    <t>Approved</t>
  </si>
  <si>
    <t>Economics</t>
  </si>
  <si>
    <t>100%?</t>
  </si>
  <si>
    <t>Vyxeos</t>
  </si>
  <si>
    <t>JZP-110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</si>
</sst>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14" fontId="0" fillId="0" borderId="0" xfId="0" applyNumberForma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49</xdr:row>
      <xdr:rowOff>104775</xdr:rowOff>
    </xdr:to>
    <xdr:cxnSp macro="">
      <xdr:nvCxnSpPr>
        <xdr:cNvPr id="3" name="Straight Connector 2"/>
        <xdr:cNvCxnSpPr/>
      </xdr:nvCxnSpPr>
      <xdr:spPr>
        <a:xfrm>
          <a:off x="7134225" y="57150"/>
          <a:ext cx="0" cy="814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0</xdr:row>
      <xdr:rowOff>0</xdr:rowOff>
    </xdr:from>
    <xdr:to>
      <xdr:col>25</xdr:col>
      <xdr:colOff>47625</xdr:colOff>
      <xdr:row>49</xdr:row>
      <xdr:rowOff>47625</xdr:rowOff>
    </xdr:to>
    <xdr:cxnSp macro="">
      <xdr:nvCxnSpPr>
        <xdr:cNvPr id="4" name="Straight Connector 3"/>
        <xdr:cNvCxnSpPr/>
      </xdr:nvCxnSpPr>
      <xdr:spPr>
        <a:xfrm>
          <a:off x="15611475" y="0"/>
          <a:ext cx="0" cy="830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B6" sqref="B6"/>
    </sheetView>
  </sheetViews>
  <sheetFormatPr defaultRowHeight="12.75" x14ac:dyDescent="0.2"/>
  <cols>
    <col min="3" max="3" width="15.7109375" customWidth="1"/>
    <col min="4" max="4" width="12.42578125" customWidth="1"/>
    <col min="5" max="5" width="9.42578125" customWidth="1"/>
    <col min="6" max="6" width="10.28515625" bestFit="1" customWidth="1"/>
  </cols>
  <sheetData>
    <row r="2" spans="2:14" x14ac:dyDescent="0.2">
      <c r="B2" s="10" t="s">
        <v>7</v>
      </c>
      <c r="C2" s="11" t="s">
        <v>8</v>
      </c>
      <c r="D2" s="11" t="s">
        <v>57</v>
      </c>
      <c r="E2" s="11" t="s">
        <v>59</v>
      </c>
      <c r="F2" s="11" t="s">
        <v>60</v>
      </c>
      <c r="G2" s="11"/>
      <c r="H2" s="11"/>
      <c r="I2" s="12" t="s">
        <v>55</v>
      </c>
      <c r="L2" t="s">
        <v>0</v>
      </c>
      <c r="M2" s="1">
        <v>122.43</v>
      </c>
    </row>
    <row r="3" spans="2:14" x14ac:dyDescent="0.2">
      <c r="B3" s="4" t="s">
        <v>9</v>
      </c>
      <c r="C3" s="5" t="s">
        <v>56</v>
      </c>
      <c r="D3" s="5" t="s">
        <v>58</v>
      </c>
      <c r="E3" s="25">
        <v>37454</v>
      </c>
      <c r="F3" s="26" t="s">
        <v>61</v>
      </c>
      <c r="G3" s="5"/>
      <c r="H3" s="5"/>
      <c r="I3" s="6"/>
      <c r="L3" t="s">
        <v>1</v>
      </c>
      <c r="M3" s="2">
        <v>60.531999999999996</v>
      </c>
      <c r="N3" s="3" t="s">
        <v>6</v>
      </c>
    </row>
    <row r="4" spans="2:14" x14ac:dyDescent="0.2">
      <c r="B4" s="4" t="s">
        <v>23</v>
      </c>
      <c r="C4" s="5"/>
      <c r="D4" s="5"/>
      <c r="E4" s="5"/>
      <c r="F4" s="5"/>
      <c r="G4" s="5"/>
      <c r="H4" s="5"/>
      <c r="I4" s="6"/>
      <c r="L4" t="s">
        <v>2</v>
      </c>
      <c r="M4" s="2">
        <f>+M2*M3</f>
        <v>7410.9327599999997</v>
      </c>
      <c r="N4" s="3"/>
    </row>
    <row r="5" spans="2:14" x14ac:dyDescent="0.2">
      <c r="B5" s="4" t="s">
        <v>24</v>
      </c>
      <c r="C5" s="5"/>
      <c r="D5" s="5"/>
      <c r="E5" s="5"/>
      <c r="F5" s="5"/>
      <c r="G5" s="5"/>
      <c r="H5" s="5"/>
      <c r="I5" s="6"/>
      <c r="L5" t="s">
        <v>3</v>
      </c>
      <c r="M5" s="2">
        <f>867.966+48.409</f>
        <v>916.375</v>
      </c>
      <c r="N5" s="3" t="s">
        <v>6</v>
      </c>
    </row>
    <row r="6" spans="2:14" x14ac:dyDescent="0.2">
      <c r="B6" s="4"/>
      <c r="C6" s="5"/>
      <c r="D6" s="5"/>
      <c r="E6" s="5"/>
      <c r="F6" s="5"/>
      <c r="G6" s="5"/>
      <c r="H6" s="5"/>
      <c r="I6" s="6"/>
      <c r="L6" t="s">
        <v>4</v>
      </c>
      <c r="M6" s="2">
        <f>1141.652+37.5</f>
        <v>1179.152</v>
      </c>
      <c r="N6" s="3" t="s">
        <v>6</v>
      </c>
    </row>
    <row r="7" spans="2:14" x14ac:dyDescent="0.2">
      <c r="B7" s="4"/>
      <c r="C7" s="5"/>
      <c r="D7" s="5"/>
      <c r="E7" s="5"/>
      <c r="F7" s="5"/>
      <c r="G7" s="5"/>
      <c r="H7" s="5"/>
      <c r="I7" s="6"/>
      <c r="L7" t="s">
        <v>5</v>
      </c>
      <c r="M7" s="2">
        <f>+M4-M5+M6</f>
        <v>7673.7097599999997</v>
      </c>
    </row>
    <row r="8" spans="2:14" x14ac:dyDescent="0.2">
      <c r="B8" s="4"/>
      <c r="C8" s="5"/>
      <c r="D8" s="5"/>
      <c r="E8" s="5"/>
      <c r="F8" s="5"/>
      <c r="G8" s="5"/>
      <c r="H8" s="5"/>
      <c r="I8" s="6"/>
      <c r="M8">
        <v>810</v>
      </c>
    </row>
    <row r="9" spans="2:14" x14ac:dyDescent="0.2">
      <c r="B9" s="10"/>
      <c r="C9" s="11"/>
      <c r="D9" s="11"/>
      <c r="E9" s="11"/>
      <c r="F9" s="11"/>
      <c r="G9" s="11"/>
      <c r="H9" s="11"/>
      <c r="I9" s="12"/>
    </row>
    <row r="10" spans="2:14" x14ac:dyDescent="0.2">
      <c r="B10" s="4" t="s">
        <v>62</v>
      </c>
      <c r="C10" s="5"/>
      <c r="D10" s="5"/>
      <c r="E10" s="5"/>
      <c r="F10" s="5"/>
      <c r="G10" s="5"/>
      <c r="H10" s="5"/>
      <c r="I10" s="6"/>
    </row>
    <row r="11" spans="2:14" x14ac:dyDescent="0.2">
      <c r="B11" s="4" t="s">
        <v>63</v>
      </c>
      <c r="C11" s="5"/>
      <c r="D11" s="5"/>
      <c r="E11" s="5"/>
      <c r="F11" s="5"/>
      <c r="G11" s="5"/>
      <c r="H11" s="5"/>
      <c r="I11" s="6"/>
    </row>
    <row r="12" spans="2:14" x14ac:dyDescent="0.2">
      <c r="B12" s="4"/>
      <c r="C12" s="5"/>
      <c r="D12" s="5"/>
      <c r="E12" s="5"/>
      <c r="F12" s="5"/>
      <c r="G12" s="5"/>
      <c r="H12" s="5"/>
      <c r="I12" s="6"/>
    </row>
    <row r="13" spans="2:14" x14ac:dyDescent="0.2">
      <c r="B13" s="4"/>
      <c r="C13" s="5"/>
      <c r="D13" s="5"/>
      <c r="E13" s="5"/>
      <c r="F13" s="5"/>
      <c r="G13" s="5"/>
      <c r="H13" s="5"/>
      <c r="I13" s="6"/>
    </row>
    <row r="14" spans="2:14" x14ac:dyDescent="0.2">
      <c r="B14" s="4"/>
      <c r="C14" s="5"/>
      <c r="D14" s="5"/>
      <c r="E14" s="5"/>
      <c r="F14" s="5"/>
      <c r="G14" s="5"/>
      <c r="H14" s="5"/>
      <c r="I14" s="6"/>
    </row>
    <row r="15" spans="2:14" x14ac:dyDescent="0.2">
      <c r="B15" s="4"/>
      <c r="C15" s="5"/>
      <c r="D15" s="5"/>
      <c r="E15" s="5"/>
      <c r="F15" s="5"/>
      <c r="G15" s="5"/>
      <c r="H15" s="5"/>
      <c r="I15" s="6"/>
    </row>
    <row r="16" spans="2:14" x14ac:dyDescent="0.2">
      <c r="B16" s="4"/>
      <c r="C16" s="5"/>
      <c r="D16" s="5"/>
      <c r="E16" s="5"/>
      <c r="F16" s="5"/>
      <c r="G16" s="5"/>
      <c r="H16" s="5"/>
      <c r="I16" s="6"/>
    </row>
    <row r="17" spans="2:9" x14ac:dyDescent="0.2">
      <c r="B17" s="4"/>
      <c r="C17" s="5"/>
      <c r="D17" s="5"/>
      <c r="E17" s="5"/>
      <c r="F17" s="5"/>
      <c r="G17" s="5"/>
      <c r="H17" s="5"/>
      <c r="I17" s="6"/>
    </row>
    <row r="18" spans="2:9" x14ac:dyDescent="0.2">
      <c r="B18" s="4"/>
      <c r="C18" s="5"/>
      <c r="D18" s="5"/>
      <c r="E18" s="5"/>
      <c r="F18" s="5"/>
      <c r="G18" s="5"/>
      <c r="H18" s="5"/>
      <c r="I18" s="6"/>
    </row>
    <row r="19" spans="2:9" x14ac:dyDescent="0.2">
      <c r="B19" s="7"/>
      <c r="C19" s="8"/>
      <c r="D19" s="8"/>
      <c r="E19" s="8"/>
      <c r="F19" s="8"/>
      <c r="G19" s="8"/>
      <c r="H19" s="8"/>
      <c r="I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2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O3" sqref="AO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38" max="38" width="9.7109375" bestFit="1" customWidth="1"/>
  </cols>
  <sheetData>
    <row r="1" spans="1:64" x14ac:dyDescent="0.2">
      <c r="A1" s="13" t="s">
        <v>10</v>
      </c>
    </row>
    <row r="2" spans="1:64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6</v>
      </c>
      <c r="M2" s="3" t="s">
        <v>21</v>
      </c>
      <c r="N2" s="3" t="s">
        <v>22</v>
      </c>
      <c r="O2" s="3" t="s">
        <v>29</v>
      </c>
      <c r="P2" s="3" t="s">
        <v>30</v>
      </c>
      <c r="Q2" s="3" t="s">
        <v>31</v>
      </c>
      <c r="R2" s="3" t="s">
        <v>32</v>
      </c>
      <c r="T2">
        <v>2010</v>
      </c>
      <c r="U2">
        <f>+T2+1</f>
        <v>2011</v>
      </c>
      <c r="V2">
        <f t="shared" ref="V2:BL2" si="0">+U2+1</f>
        <v>2012</v>
      </c>
      <c r="W2">
        <f t="shared" si="0"/>
        <v>2013</v>
      </c>
      <c r="X2">
        <f t="shared" si="0"/>
        <v>2014</v>
      </c>
      <c r="Y2">
        <f t="shared" si="0"/>
        <v>2015</v>
      </c>
      <c r="Z2">
        <f t="shared" si="0"/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  <c r="AS2">
        <f t="shared" si="0"/>
        <v>2035</v>
      </c>
      <c r="AT2">
        <f t="shared" si="0"/>
        <v>2036</v>
      </c>
      <c r="AU2">
        <f t="shared" si="0"/>
        <v>2037</v>
      </c>
      <c r="AV2">
        <f t="shared" si="0"/>
        <v>2038</v>
      </c>
      <c r="AW2">
        <f t="shared" si="0"/>
        <v>2039</v>
      </c>
      <c r="AX2">
        <f t="shared" si="0"/>
        <v>2040</v>
      </c>
      <c r="AY2">
        <f t="shared" si="0"/>
        <v>2041</v>
      </c>
      <c r="AZ2">
        <f t="shared" si="0"/>
        <v>2042</v>
      </c>
      <c r="BA2">
        <f t="shared" si="0"/>
        <v>2043</v>
      </c>
      <c r="BB2">
        <f t="shared" si="0"/>
        <v>2044</v>
      </c>
      <c r="BC2">
        <f t="shared" si="0"/>
        <v>2045</v>
      </c>
      <c r="BD2">
        <f t="shared" si="0"/>
        <v>2046</v>
      </c>
      <c r="BE2">
        <f t="shared" si="0"/>
        <v>2047</v>
      </c>
      <c r="BF2">
        <f t="shared" si="0"/>
        <v>2048</v>
      </c>
      <c r="BG2">
        <f t="shared" si="0"/>
        <v>2049</v>
      </c>
      <c r="BH2">
        <f t="shared" si="0"/>
        <v>2050</v>
      </c>
      <c r="BI2">
        <f t="shared" si="0"/>
        <v>2051</v>
      </c>
      <c r="BJ2">
        <f t="shared" si="0"/>
        <v>2052</v>
      </c>
      <c r="BK2">
        <f t="shared" si="0"/>
        <v>2053</v>
      </c>
      <c r="BL2">
        <f t="shared" si="0"/>
        <v>2054</v>
      </c>
    </row>
    <row r="3" spans="1:64" s="16" customFormat="1" x14ac:dyDescent="0.2">
      <c r="B3" s="16" t="s">
        <v>9</v>
      </c>
      <c r="C3" s="17"/>
      <c r="D3" s="17"/>
      <c r="E3" s="17">
        <v>204.33699999999999</v>
      </c>
      <c r="F3" s="17">
        <v>222.50299999999999</v>
      </c>
      <c r="G3" s="17">
        <v>212.69</v>
      </c>
      <c r="H3" s="17">
        <v>247.846</v>
      </c>
      <c r="I3" s="17">
        <v>242.899</v>
      </c>
      <c r="J3" s="17">
        <v>251.75200000000001</v>
      </c>
      <c r="K3" s="17">
        <v>249.53700000000001</v>
      </c>
      <c r="L3" s="17">
        <v>280.96800000000002</v>
      </c>
      <c r="M3" s="17">
        <f>+I3*1.1</f>
        <v>267.18890000000005</v>
      </c>
      <c r="N3" s="17">
        <f t="shared" ref="N3" si="1">+J3*1.1</f>
        <v>276.92720000000003</v>
      </c>
      <c r="O3" s="17">
        <f>+K3*1.05</f>
        <v>262.01384999999999</v>
      </c>
      <c r="P3" s="17">
        <f t="shared" ref="P3:R3" si="2">+L3*1.05</f>
        <v>295.01640000000003</v>
      </c>
      <c r="Q3" s="17">
        <f t="shared" si="2"/>
        <v>280.54834500000004</v>
      </c>
      <c r="R3" s="17">
        <f t="shared" si="2"/>
        <v>290.77356000000003</v>
      </c>
      <c r="W3" s="16">
        <v>569.11300000000006</v>
      </c>
      <c r="X3" s="16">
        <v>778.58399999999995</v>
      </c>
      <c r="Y3" s="16">
        <f>SUM(G3:J3)</f>
        <v>955.1869999999999</v>
      </c>
      <c r="Z3" s="16">
        <f>SUM(K3:N3)</f>
        <v>1074.6211000000001</v>
      </c>
      <c r="AA3" s="16">
        <f>SUM(O3:R3)</f>
        <v>1128.352155</v>
      </c>
      <c r="AB3" s="16">
        <f>+AA3*1.01</f>
        <v>1139.63567655</v>
      </c>
      <c r="AC3" s="16">
        <f t="shared" ref="AC3:AI3" si="3">+AB3*1.01</f>
        <v>1151.0320333155</v>
      </c>
      <c r="AD3" s="16">
        <f t="shared" si="3"/>
        <v>1162.5423536486551</v>
      </c>
      <c r="AE3" s="16">
        <f t="shared" si="3"/>
        <v>1174.1677771851416</v>
      </c>
      <c r="AF3" s="16">
        <f t="shared" si="3"/>
        <v>1185.9094549569932</v>
      </c>
      <c r="AG3" s="16">
        <f t="shared" si="3"/>
        <v>1197.7685495065632</v>
      </c>
      <c r="AH3" s="16">
        <f t="shared" si="3"/>
        <v>1209.7462350016287</v>
      </c>
      <c r="AI3" s="16">
        <f t="shared" si="3"/>
        <v>1221.843697351645</v>
      </c>
    </row>
    <row r="4" spans="1:64" s="16" customFormat="1" x14ac:dyDescent="0.2">
      <c r="B4" s="16" t="s">
        <v>23</v>
      </c>
      <c r="C4" s="17"/>
      <c r="D4" s="17"/>
      <c r="E4" s="17">
        <v>52.121000000000002</v>
      </c>
      <c r="F4" s="17">
        <v>52.755000000000003</v>
      </c>
      <c r="G4" s="17">
        <v>50.353000000000002</v>
      </c>
      <c r="H4" s="17">
        <v>46.151000000000003</v>
      </c>
      <c r="I4" s="17">
        <v>56.317</v>
      </c>
      <c r="J4" s="17">
        <v>50.44</v>
      </c>
      <c r="K4" s="17">
        <v>51.173000000000002</v>
      </c>
      <c r="L4" s="17">
        <v>49.747999999999998</v>
      </c>
      <c r="M4" s="17">
        <f>+I4</f>
        <v>56.317</v>
      </c>
      <c r="N4" s="17">
        <f t="shared" ref="N4:R4" si="4">+J4</f>
        <v>50.44</v>
      </c>
      <c r="O4" s="17">
        <f t="shared" si="4"/>
        <v>51.173000000000002</v>
      </c>
      <c r="P4" s="17">
        <f t="shared" si="4"/>
        <v>49.747999999999998</v>
      </c>
      <c r="Q4" s="17">
        <f t="shared" si="4"/>
        <v>56.317</v>
      </c>
      <c r="R4" s="17">
        <f t="shared" si="4"/>
        <v>50.44</v>
      </c>
      <c r="W4" s="16">
        <v>174.251</v>
      </c>
      <c r="X4" s="16">
        <v>199.66499999999999</v>
      </c>
      <c r="Y4" s="16">
        <f t="shared" ref="Y4:Y10" si="5">SUM(G4:J4)</f>
        <v>203.261</v>
      </c>
      <c r="Z4" s="16">
        <f t="shared" ref="Z4:Z10" si="6">SUM(K4:N4)</f>
        <v>207.678</v>
      </c>
      <c r="AA4" s="16">
        <f t="shared" ref="AA4:AA10" si="7">SUM(O4:R4)</f>
        <v>207.678</v>
      </c>
      <c r="AB4" s="16">
        <f>+AA4*0.99</f>
        <v>205.60121999999998</v>
      </c>
      <c r="AC4" s="16">
        <f t="shared" ref="AC4:AI4" si="8">+AB4*0.99</f>
        <v>203.54520779999999</v>
      </c>
      <c r="AD4" s="16">
        <f t="shared" si="8"/>
        <v>201.50975572199999</v>
      </c>
      <c r="AE4" s="16">
        <f t="shared" si="8"/>
        <v>199.49465816477999</v>
      </c>
      <c r="AF4" s="16">
        <f t="shared" si="8"/>
        <v>197.49971158313218</v>
      </c>
      <c r="AG4" s="16">
        <f t="shared" si="8"/>
        <v>195.52471446730087</v>
      </c>
      <c r="AH4" s="16">
        <f t="shared" si="8"/>
        <v>193.56946732262784</v>
      </c>
      <c r="AI4" s="16">
        <f t="shared" si="8"/>
        <v>191.63377264940155</v>
      </c>
    </row>
    <row r="5" spans="1:64" s="16" customFormat="1" x14ac:dyDescent="0.2">
      <c r="B5" s="16" t="s">
        <v>24</v>
      </c>
      <c r="C5" s="17"/>
      <c r="D5" s="17"/>
      <c r="E5" s="17">
        <v>18.891999999999999</v>
      </c>
      <c r="F5" s="17">
        <v>19.192</v>
      </c>
      <c r="G5" s="17">
        <v>17.363</v>
      </c>
      <c r="H5" s="17">
        <v>15.257</v>
      </c>
      <c r="I5" s="17">
        <v>19.638999999999999</v>
      </c>
      <c r="J5" s="17">
        <v>18.472000000000001</v>
      </c>
      <c r="K5" s="17">
        <v>17.896999999999998</v>
      </c>
      <c r="L5" s="17">
        <v>33.246000000000002</v>
      </c>
      <c r="M5" s="17">
        <f>+L5+5</f>
        <v>38.246000000000002</v>
      </c>
      <c r="N5" s="17">
        <f t="shared" ref="N5:R5" si="9">+M5+5</f>
        <v>43.246000000000002</v>
      </c>
      <c r="O5" s="17">
        <f t="shared" si="9"/>
        <v>48.246000000000002</v>
      </c>
      <c r="P5" s="17">
        <f t="shared" si="9"/>
        <v>53.246000000000002</v>
      </c>
      <c r="Q5" s="17">
        <f t="shared" si="9"/>
        <v>58.246000000000002</v>
      </c>
      <c r="R5" s="17">
        <f t="shared" si="9"/>
        <v>63.246000000000002</v>
      </c>
      <c r="W5" s="16">
        <v>0</v>
      </c>
      <c r="X5" s="16">
        <v>70.537000000000006</v>
      </c>
      <c r="Y5" s="16">
        <f t="shared" si="5"/>
        <v>70.730999999999995</v>
      </c>
      <c r="Z5" s="16">
        <f t="shared" si="6"/>
        <v>132.63500000000002</v>
      </c>
      <c r="AA5" s="16">
        <f t="shared" si="7"/>
        <v>222.98400000000001</v>
      </c>
      <c r="AB5" s="16">
        <f>+AA5*1.2</f>
        <v>267.58080000000001</v>
      </c>
      <c r="AC5" s="16">
        <f t="shared" ref="AC5:AD5" si="10">+AB5*1.2</f>
        <v>321.09696000000002</v>
      </c>
      <c r="AD5" s="16">
        <f t="shared" si="10"/>
        <v>385.31635199999999</v>
      </c>
      <c r="AE5" s="16">
        <f>+AD5*1.01</f>
        <v>389.16951552</v>
      </c>
      <c r="AF5" s="16">
        <f t="shared" ref="AF5:AI5" si="11">+AE5*1.01</f>
        <v>393.06121067520002</v>
      </c>
      <c r="AG5" s="16">
        <f t="shared" si="11"/>
        <v>396.99182278195201</v>
      </c>
      <c r="AH5" s="16">
        <f t="shared" si="11"/>
        <v>400.96174100977152</v>
      </c>
      <c r="AI5" s="16">
        <f t="shared" si="11"/>
        <v>404.97135841986926</v>
      </c>
    </row>
    <row r="6" spans="1:64" s="16" customFormat="1" x14ac:dyDescent="0.2">
      <c r="B6" s="16" t="s">
        <v>25</v>
      </c>
      <c r="C6" s="17"/>
      <c r="D6" s="17"/>
      <c r="E6" s="17">
        <v>6.282</v>
      </c>
      <c r="F6" s="17">
        <v>9.9990000000000006</v>
      </c>
      <c r="G6" s="17">
        <v>6.7640000000000002</v>
      </c>
      <c r="H6" s="17">
        <v>7.1379999999999999</v>
      </c>
      <c r="I6" s="17">
        <v>6.0419999999999998</v>
      </c>
      <c r="J6" s="17">
        <v>6.4960000000000004</v>
      </c>
      <c r="K6" s="17">
        <v>6.2089999999999996</v>
      </c>
      <c r="L6" s="17">
        <v>8.0730000000000004</v>
      </c>
      <c r="M6" s="17">
        <f>+I6</f>
        <v>6.0419999999999998</v>
      </c>
      <c r="N6" s="17">
        <f t="shared" ref="N6:N10" si="12">+J6</f>
        <v>6.4960000000000004</v>
      </c>
      <c r="O6" s="17">
        <f t="shared" ref="O6:O10" si="13">+K6</f>
        <v>6.2089999999999996</v>
      </c>
      <c r="P6" s="17">
        <f t="shared" ref="P6:P10" si="14">+L6</f>
        <v>8.0730000000000004</v>
      </c>
      <c r="Q6" s="17">
        <f t="shared" ref="Q6:Q10" si="15">+M6</f>
        <v>6.0419999999999998</v>
      </c>
      <c r="R6" s="17">
        <f t="shared" ref="R6:R10" si="16">+N6</f>
        <v>6.4960000000000004</v>
      </c>
      <c r="W6" s="16">
        <v>27.103000000000002</v>
      </c>
      <c r="X6" s="16">
        <v>26.420999999999999</v>
      </c>
      <c r="Y6" s="16">
        <f t="shared" si="5"/>
        <v>26.440000000000005</v>
      </c>
      <c r="Z6" s="16">
        <f t="shared" si="6"/>
        <v>26.82</v>
      </c>
      <c r="AA6" s="16">
        <f t="shared" si="7"/>
        <v>26.82</v>
      </c>
      <c r="AB6" s="16">
        <f>+AA6</f>
        <v>26.82</v>
      </c>
      <c r="AC6" s="16">
        <f t="shared" ref="AC6:AI6" si="17">+AB6</f>
        <v>26.82</v>
      </c>
      <c r="AD6" s="16">
        <f t="shared" si="17"/>
        <v>26.82</v>
      </c>
      <c r="AE6" s="16">
        <f t="shared" si="17"/>
        <v>26.82</v>
      </c>
      <c r="AF6" s="16">
        <f t="shared" si="17"/>
        <v>26.82</v>
      </c>
      <c r="AG6" s="16">
        <f t="shared" si="17"/>
        <v>26.82</v>
      </c>
      <c r="AH6" s="16">
        <f t="shared" si="17"/>
        <v>26.82</v>
      </c>
      <c r="AI6" s="16">
        <f t="shared" si="17"/>
        <v>26.82</v>
      </c>
    </row>
    <row r="7" spans="1:64" s="16" customFormat="1" x14ac:dyDescent="0.2">
      <c r="B7" s="16" t="s">
        <v>26</v>
      </c>
      <c r="C7" s="17"/>
      <c r="D7" s="17"/>
      <c r="E7" s="17">
        <v>10.833</v>
      </c>
      <c r="F7" s="17">
        <v>8.4480000000000004</v>
      </c>
      <c r="G7" s="17">
        <v>9.093</v>
      </c>
      <c r="H7" s="17">
        <v>9.3719999999999999</v>
      </c>
      <c r="I7" s="17">
        <v>9.91</v>
      </c>
      <c r="J7" s="17">
        <v>8.76</v>
      </c>
      <c r="K7" s="17">
        <v>7.0019999999999998</v>
      </c>
      <c r="L7" s="17">
        <v>3.867</v>
      </c>
      <c r="M7" s="17">
        <f t="shared" ref="M7:M10" si="18">+I7</f>
        <v>9.91</v>
      </c>
      <c r="N7" s="17">
        <f t="shared" si="12"/>
        <v>8.76</v>
      </c>
      <c r="O7" s="17">
        <f t="shared" si="13"/>
        <v>7.0019999999999998</v>
      </c>
      <c r="P7" s="17">
        <f t="shared" si="14"/>
        <v>3.867</v>
      </c>
      <c r="Q7" s="17">
        <f t="shared" si="15"/>
        <v>9.91</v>
      </c>
      <c r="R7" s="17">
        <f t="shared" si="16"/>
        <v>8.76</v>
      </c>
      <c r="W7" s="16">
        <v>49.225999999999999</v>
      </c>
      <c r="X7" s="16">
        <v>40.878999999999998</v>
      </c>
      <c r="Y7" s="16">
        <f t="shared" si="5"/>
        <v>37.134999999999998</v>
      </c>
      <c r="Z7" s="16">
        <f t="shared" si="6"/>
        <v>29.539000000000001</v>
      </c>
      <c r="AA7" s="16">
        <f t="shared" si="7"/>
        <v>29.539000000000001</v>
      </c>
      <c r="AB7" s="16">
        <f t="shared" ref="AB7:AI7" si="19">+AA7</f>
        <v>29.539000000000001</v>
      </c>
      <c r="AC7" s="16">
        <f t="shared" si="19"/>
        <v>29.539000000000001</v>
      </c>
      <c r="AD7" s="16">
        <f t="shared" si="19"/>
        <v>29.539000000000001</v>
      </c>
      <c r="AE7" s="16">
        <f t="shared" si="19"/>
        <v>29.539000000000001</v>
      </c>
      <c r="AF7" s="16">
        <f t="shared" si="19"/>
        <v>29.539000000000001</v>
      </c>
      <c r="AG7" s="16">
        <f t="shared" si="19"/>
        <v>29.539000000000001</v>
      </c>
      <c r="AH7" s="16">
        <f t="shared" si="19"/>
        <v>29.539000000000001</v>
      </c>
      <c r="AI7" s="16">
        <f t="shared" si="19"/>
        <v>29.539000000000001</v>
      </c>
    </row>
    <row r="8" spans="1:64" s="16" customFormat="1" x14ac:dyDescent="0.2">
      <c r="B8" s="16" t="s">
        <v>62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AA8" s="16">
        <v>100</v>
      </c>
      <c r="AB8" s="16">
        <v>300</v>
      </c>
      <c r="AC8" s="16">
        <v>500</v>
      </c>
      <c r="AD8" s="16">
        <v>700</v>
      </c>
      <c r="AE8" s="16">
        <v>800</v>
      </c>
      <c r="AF8" s="16">
        <v>900</v>
      </c>
      <c r="AG8" s="16">
        <f>+AF8*1.1</f>
        <v>990.00000000000011</v>
      </c>
      <c r="AH8" s="16">
        <f t="shared" ref="AH8" si="20">+AG8*1.1</f>
        <v>1089.0000000000002</v>
      </c>
      <c r="AI8" s="16">
        <f>+AH8*0.1</f>
        <v>108.90000000000003</v>
      </c>
    </row>
    <row r="9" spans="1:64" s="16" customFormat="1" x14ac:dyDescent="0.2">
      <c r="B9" s="16" t="s">
        <v>27</v>
      </c>
      <c r="C9" s="17"/>
      <c r="D9" s="17"/>
      <c r="E9" s="17">
        <v>11.942</v>
      </c>
      <c r="F9" s="17">
        <v>11.326000000000001</v>
      </c>
      <c r="G9" s="17">
        <v>10.772</v>
      </c>
      <c r="H9" s="17">
        <v>6.3419999999999996</v>
      </c>
      <c r="I9" s="17">
        <v>3.9470000000000001</v>
      </c>
      <c r="J9" s="17">
        <v>3.004</v>
      </c>
      <c r="K9" s="17">
        <v>2.0979999999999999</v>
      </c>
      <c r="L9" s="17">
        <v>3.2080000000000002</v>
      </c>
      <c r="M9" s="17">
        <f t="shared" si="18"/>
        <v>3.9470000000000001</v>
      </c>
      <c r="N9" s="17">
        <f t="shared" si="12"/>
        <v>3.004</v>
      </c>
      <c r="O9" s="17">
        <f t="shared" si="13"/>
        <v>2.0979999999999999</v>
      </c>
      <c r="P9" s="17">
        <f t="shared" si="14"/>
        <v>3.2080000000000002</v>
      </c>
      <c r="Q9" s="17">
        <f t="shared" si="15"/>
        <v>3.9470000000000001</v>
      </c>
      <c r="R9" s="17">
        <f t="shared" si="16"/>
        <v>3.004</v>
      </c>
      <c r="W9" s="16">
        <v>45.704999999999998</v>
      </c>
      <c r="X9" s="16">
        <v>46.63</v>
      </c>
      <c r="Y9" s="16">
        <f t="shared" si="5"/>
        <v>24.065000000000001</v>
      </c>
      <c r="Z9" s="16">
        <f t="shared" si="6"/>
        <v>12.257</v>
      </c>
      <c r="AA9" s="16">
        <f t="shared" si="7"/>
        <v>12.257</v>
      </c>
      <c r="AB9" s="16">
        <f t="shared" ref="AB9:AI9" si="21">+AA9</f>
        <v>12.257</v>
      </c>
      <c r="AC9" s="16">
        <f t="shared" si="21"/>
        <v>12.257</v>
      </c>
      <c r="AD9" s="16">
        <f t="shared" si="21"/>
        <v>12.257</v>
      </c>
      <c r="AE9" s="16">
        <f t="shared" si="21"/>
        <v>12.257</v>
      </c>
      <c r="AF9" s="16">
        <f t="shared" si="21"/>
        <v>12.257</v>
      </c>
      <c r="AG9" s="16">
        <f t="shared" si="21"/>
        <v>12.257</v>
      </c>
      <c r="AH9" s="16">
        <f t="shared" si="21"/>
        <v>12.257</v>
      </c>
      <c r="AI9" s="16">
        <f t="shared" si="21"/>
        <v>12.257</v>
      </c>
    </row>
    <row r="10" spans="1:64" s="16" customFormat="1" x14ac:dyDescent="0.2">
      <c r="B10" s="16" t="s">
        <v>28</v>
      </c>
      <c r="C10" s="17"/>
      <c r="D10" s="17"/>
      <c r="E10" s="17">
        <v>2.177</v>
      </c>
      <c r="F10" s="17">
        <v>3.919</v>
      </c>
      <c r="G10" s="17">
        <v>2.2679999999999998</v>
      </c>
      <c r="H10" s="17">
        <v>1.641</v>
      </c>
      <c r="I10" s="17">
        <v>2.1179999999999999</v>
      </c>
      <c r="J10" s="17">
        <v>1.9570000000000001</v>
      </c>
      <c r="K10" s="17">
        <v>2.0939999999999999</v>
      </c>
      <c r="L10" s="17">
        <v>2.0510000000000002</v>
      </c>
      <c r="M10" s="17">
        <f t="shared" si="18"/>
        <v>2.1179999999999999</v>
      </c>
      <c r="N10" s="17">
        <f t="shared" si="12"/>
        <v>1.9570000000000001</v>
      </c>
      <c r="O10" s="17">
        <f t="shared" si="13"/>
        <v>2.0939999999999999</v>
      </c>
      <c r="P10" s="17">
        <f t="shared" si="14"/>
        <v>2.0510000000000002</v>
      </c>
      <c r="Q10" s="17">
        <f t="shared" si="15"/>
        <v>2.1179999999999999</v>
      </c>
      <c r="R10" s="17">
        <f t="shared" si="16"/>
        <v>1.9570000000000001</v>
      </c>
      <c r="W10" s="16">
        <v>7.0250000000000004</v>
      </c>
      <c r="X10" s="16">
        <v>10.159000000000001</v>
      </c>
      <c r="Y10" s="16">
        <f t="shared" si="5"/>
        <v>7.9839999999999991</v>
      </c>
      <c r="Z10" s="16">
        <f t="shared" si="6"/>
        <v>8.2200000000000006</v>
      </c>
      <c r="AA10" s="16">
        <f t="shared" si="7"/>
        <v>8.2200000000000006</v>
      </c>
      <c r="AB10" s="16">
        <f t="shared" ref="AB10:AI10" si="22">+AA10</f>
        <v>8.2200000000000006</v>
      </c>
      <c r="AC10" s="16">
        <f t="shared" si="22"/>
        <v>8.2200000000000006</v>
      </c>
      <c r="AD10" s="16">
        <f t="shared" si="22"/>
        <v>8.2200000000000006</v>
      </c>
      <c r="AE10" s="16">
        <f t="shared" si="22"/>
        <v>8.2200000000000006</v>
      </c>
      <c r="AF10" s="16">
        <f t="shared" si="22"/>
        <v>8.2200000000000006</v>
      </c>
      <c r="AG10" s="16">
        <f t="shared" si="22"/>
        <v>8.2200000000000006</v>
      </c>
      <c r="AH10" s="16">
        <f t="shared" si="22"/>
        <v>8.2200000000000006</v>
      </c>
      <c r="AI10" s="16">
        <f t="shared" si="22"/>
        <v>8.2200000000000006</v>
      </c>
    </row>
    <row r="11" spans="1:64" s="18" customFormat="1" x14ac:dyDescent="0.2">
      <c r="B11" s="18" t="s">
        <v>11</v>
      </c>
      <c r="C11" s="19"/>
      <c r="D11" s="19"/>
      <c r="E11" s="19">
        <f>SUM(E3:E10)</f>
        <v>306.584</v>
      </c>
      <c r="F11" s="19">
        <f>SUM(F3:F10)</f>
        <v>328.142</v>
      </c>
      <c r="G11" s="19">
        <f>SUM(G3:G10)</f>
        <v>309.303</v>
      </c>
      <c r="H11" s="19">
        <f>SUM(H3:H10)</f>
        <v>333.74700000000001</v>
      </c>
      <c r="I11" s="19">
        <f t="shared" ref="I11" si="23">SUM(I3:I10)</f>
        <v>340.87200000000001</v>
      </c>
      <c r="J11" s="19">
        <f>SUM(J3:J10)</f>
        <v>340.88099999999997</v>
      </c>
      <c r="K11" s="19">
        <f>SUM(K3:K10)</f>
        <v>336.01000000000005</v>
      </c>
      <c r="L11" s="19">
        <f>SUM(L3:L10)</f>
        <v>381.161</v>
      </c>
      <c r="M11" s="19">
        <f t="shared" ref="M11:R11" si="24">SUM(M3:M10)</f>
        <v>383.76890000000003</v>
      </c>
      <c r="N11" s="19">
        <f t="shared" si="24"/>
        <v>390.83019999999999</v>
      </c>
      <c r="O11" s="19">
        <f t="shared" si="24"/>
        <v>378.83584999999999</v>
      </c>
      <c r="P11" s="19">
        <f t="shared" si="24"/>
        <v>415.20940000000002</v>
      </c>
      <c r="Q11" s="19">
        <f t="shared" si="24"/>
        <v>417.12834500000002</v>
      </c>
      <c r="R11" s="19">
        <f t="shared" si="24"/>
        <v>424.67655999999999</v>
      </c>
      <c r="W11" s="18">
        <f t="shared" ref="W11:X11" si="25">SUM(W3:W10)</f>
        <v>872.423</v>
      </c>
      <c r="X11" s="18">
        <f t="shared" si="25"/>
        <v>1172.875</v>
      </c>
      <c r="Y11" s="18">
        <f>SUM(Y3:Y10)</f>
        <v>1324.8029999999999</v>
      </c>
      <c r="Z11" s="18">
        <f t="shared" ref="Z11:AA11" si="26">SUM(Z3:Z10)</f>
        <v>1491.7701000000002</v>
      </c>
      <c r="AA11" s="18">
        <f t="shared" si="26"/>
        <v>1735.8501549999999</v>
      </c>
      <c r="AB11" s="18">
        <f t="shared" ref="AB11" si="27">SUM(AB3:AB10)</f>
        <v>1989.6536965499999</v>
      </c>
      <c r="AC11" s="18">
        <f t="shared" ref="AC11" si="28">SUM(AC3:AC10)</f>
        <v>2252.5102011155</v>
      </c>
      <c r="AD11" s="18">
        <f t="shared" ref="AD11" si="29">SUM(AD3:AD10)</f>
        <v>2526.2044613706548</v>
      </c>
      <c r="AE11" s="18">
        <f t="shared" ref="AE11" si="30">SUM(AE3:AE10)</f>
        <v>2639.6679508699217</v>
      </c>
      <c r="AF11" s="18">
        <f t="shared" ref="AF11" si="31">SUM(AF3:AF10)</f>
        <v>2753.3063772153255</v>
      </c>
      <c r="AG11" s="18">
        <f t="shared" ref="AG11" si="32">SUM(AG3:AG10)</f>
        <v>2857.1210867558157</v>
      </c>
      <c r="AH11" s="18">
        <f t="shared" ref="AH11" si="33">SUM(AH3:AH10)</f>
        <v>2970.113443334028</v>
      </c>
      <c r="AI11" s="18">
        <f t="shared" ref="AI11" si="34">SUM(AI3:AI10)</f>
        <v>2004.1848284209161</v>
      </c>
    </row>
    <row r="12" spans="1:64" s="16" customFormat="1" x14ac:dyDescent="0.2">
      <c r="B12" s="16" t="s">
        <v>35</v>
      </c>
      <c r="C12" s="17"/>
      <c r="D12" s="17"/>
      <c r="E12" s="17">
        <v>26.994</v>
      </c>
      <c r="F12" s="17">
        <v>28.808</v>
      </c>
      <c r="G12" s="17">
        <v>28.297999999999998</v>
      </c>
      <c r="H12" s="17">
        <v>21.812999999999999</v>
      </c>
      <c r="I12" s="17">
        <v>28.385000000000002</v>
      </c>
      <c r="J12" s="17">
        <v>24.03</v>
      </c>
      <c r="K12" s="17">
        <v>23.439</v>
      </c>
      <c r="L12" s="17">
        <v>23.98</v>
      </c>
      <c r="M12" s="17">
        <f>+M11-M13</f>
        <v>23.026134000000013</v>
      </c>
      <c r="N12" s="17">
        <f t="shared" ref="N12:R12" si="35">+N11-N13</f>
        <v>23.449812000000009</v>
      </c>
      <c r="O12" s="17">
        <f t="shared" si="35"/>
        <v>22.730151000000035</v>
      </c>
      <c r="P12" s="17">
        <f t="shared" si="35"/>
        <v>24.912564000000032</v>
      </c>
      <c r="Q12" s="17">
        <f t="shared" si="35"/>
        <v>25.027700700000025</v>
      </c>
      <c r="R12" s="17">
        <f t="shared" si="35"/>
        <v>25.48059360000002</v>
      </c>
      <c r="Y12" s="16">
        <f t="shared" ref="Y12" si="36">SUM(G12:J12)</f>
        <v>102.526</v>
      </c>
      <c r="Z12" s="16">
        <f t="shared" ref="Z12" si="37">SUM(K12:N12)</f>
        <v>93.894946000000019</v>
      </c>
      <c r="AA12" s="16">
        <f t="shared" ref="AA12" si="38">SUM(O12:R12)</f>
        <v>98.151009300000112</v>
      </c>
      <c r="AB12" s="16">
        <f>+AB11-AB13</f>
        <v>119.37922179300017</v>
      </c>
      <c r="AC12" s="16">
        <f t="shared" ref="AC12:AI12" si="39">+AC11-AC13</f>
        <v>135.15061206693008</v>
      </c>
      <c r="AD12" s="16">
        <f t="shared" si="39"/>
        <v>151.57226768223927</v>
      </c>
      <c r="AE12" s="16">
        <f t="shared" si="39"/>
        <v>158.38007705219525</v>
      </c>
      <c r="AF12" s="16">
        <f t="shared" si="39"/>
        <v>165.19838263291967</v>
      </c>
      <c r="AG12" s="16">
        <f t="shared" si="39"/>
        <v>171.42726520534916</v>
      </c>
      <c r="AH12" s="16">
        <f t="shared" si="39"/>
        <v>178.206806600042</v>
      </c>
      <c r="AI12" s="16">
        <f t="shared" si="39"/>
        <v>120.25108970525503</v>
      </c>
    </row>
    <row r="13" spans="1:64" s="16" customFormat="1" x14ac:dyDescent="0.2">
      <c r="B13" s="16" t="s">
        <v>36</v>
      </c>
      <c r="C13" s="17"/>
      <c r="D13" s="17"/>
      <c r="E13" s="17">
        <f>+E11-E12</f>
        <v>279.59000000000003</v>
      </c>
      <c r="F13" s="17">
        <f>+F11-F12</f>
        <v>299.334</v>
      </c>
      <c r="G13" s="17">
        <f>+G11-G12</f>
        <v>281.005</v>
      </c>
      <c r="H13" s="17">
        <f>+H11-H12</f>
        <v>311.93400000000003</v>
      </c>
      <c r="I13" s="17">
        <f>+I11-I12</f>
        <v>312.48700000000002</v>
      </c>
      <c r="J13" s="17">
        <f>+J11-J12</f>
        <v>316.851</v>
      </c>
      <c r="K13" s="17">
        <f>+K11-K12</f>
        <v>312.57100000000003</v>
      </c>
      <c r="L13" s="17">
        <f>+L11-L12</f>
        <v>357.18099999999998</v>
      </c>
      <c r="M13" s="17">
        <f>+M11*0.94</f>
        <v>360.74276600000002</v>
      </c>
      <c r="N13" s="17">
        <f t="shared" ref="N13:R13" si="40">+N11*0.94</f>
        <v>367.38038799999998</v>
      </c>
      <c r="O13" s="17">
        <f t="shared" si="40"/>
        <v>356.10569899999996</v>
      </c>
      <c r="P13" s="17">
        <f t="shared" si="40"/>
        <v>390.29683599999998</v>
      </c>
      <c r="Q13" s="17">
        <f t="shared" si="40"/>
        <v>392.1006443</v>
      </c>
      <c r="R13" s="17">
        <f t="shared" si="40"/>
        <v>399.19596639999997</v>
      </c>
      <c r="Y13" s="16">
        <f>+Y11-Y12</f>
        <v>1222.2769999999998</v>
      </c>
      <c r="Z13" s="16">
        <f t="shared" ref="Z13:AA13" si="41">+Z11-Z12</f>
        <v>1397.8751540000001</v>
      </c>
      <c r="AA13" s="16">
        <f t="shared" si="41"/>
        <v>1637.6991456999997</v>
      </c>
      <c r="AB13" s="16">
        <f>+AB11*0.94</f>
        <v>1870.2744747569998</v>
      </c>
      <c r="AC13" s="16">
        <f t="shared" ref="AC13:AI13" si="42">+AC11*0.94</f>
        <v>2117.3595890485699</v>
      </c>
      <c r="AD13" s="16">
        <f t="shared" si="42"/>
        <v>2374.6321936884156</v>
      </c>
      <c r="AE13" s="16">
        <f t="shared" si="42"/>
        <v>2481.2878738177264</v>
      </c>
      <c r="AF13" s="16">
        <f t="shared" si="42"/>
        <v>2588.1079945824058</v>
      </c>
      <c r="AG13" s="16">
        <f t="shared" si="42"/>
        <v>2685.6938215504665</v>
      </c>
      <c r="AH13" s="16">
        <f t="shared" si="42"/>
        <v>2791.906636733986</v>
      </c>
      <c r="AI13" s="16">
        <f t="shared" si="42"/>
        <v>1883.9337387156611</v>
      </c>
    </row>
    <row r="14" spans="1:64" s="16" customFormat="1" x14ac:dyDescent="0.2">
      <c r="B14" s="16" t="s">
        <v>37</v>
      </c>
      <c r="C14" s="17"/>
      <c r="D14" s="17"/>
      <c r="E14" s="17">
        <v>93.501000000000005</v>
      </c>
      <c r="F14" s="17">
        <v>105.694</v>
      </c>
      <c r="G14" s="17">
        <v>112.38800000000001</v>
      </c>
      <c r="H14" s="17">
        <v>107.13200000000001</v>
      </c>
      <c r="I14" s="17">
        <v>104.044</v>
      </c>
      <c r="J14" s="17">
        <v>125.55500000000001</v>
      </c>
      <c r="K14" s="17">
        <v>128.76499999999999</v>
      </c>
      <c r="L14" s="17">
        <v>122.61799999999999</v>
      </c>
      <c r="M14" s="17">
        <f>+I14*1.02</f>
        <v>106.12488</v>
      </c>
      <c r="N14" s="17">
        <f t="shared" ref="N14:R14" si="43">+J14*1.02</f>
        <v>128.06610000000001</v>
      </c>
      <c r="O14" s="17">
        <f t="shared" si="43"/>
        <v>131.34029999999998</v>
      </c>
      <c r="P14" s="17">
        <f t="shared" si="43"/>
        <v>125.07035999999999</v>
      </c>
      <c r="Q14" s="17">
        <f t="shared" si="43"/>
        <v>108.24737760000001</v>
      </c>
      <c r="R14" s="17">
        <f t="shared" si="43"/>
        <v>130.627422</v>
      </c>
      <c r="Y14" s="16">
        <f t="shared" ref="Y14:Y15" si="44">SUM(G14:J14)</f>
        <v>449.11900000000003</v>
      </c>
      <c r="Z14" s="16">
        <f t="shared" ref="Z14:Z15" si="45">SUM(K14:N14)</f>
        <v>485.57398000000001</v>
      </c>
      <c r="AA14" s="16">
        <f t="shared" ref="AA14" si="46">SUM(O14:R14)</f>
        <v>495.28545959999997</v>
      </c>
      <c r="AB14" s="16">
        <f>+AB11*0.28</f>
        <v>557.10303503400007</v>
      </c>
      <c r="AC14" s="16">
        <f t="shared" ref="AC14:AI14" si="47">+AC11*0.28</f>
        <v>630.70285631234003</v>
      </c>
      <c r="AD14" s="16">
        <f t="shared" si="47"/>
        <v>707.33724918378346</v>
      </c>
      <c r="AE14" s="16">
        <f t="shared" si="47"/>
        <v>739.10702624357816</v>
      </c>
      <c r="AF14" s="16">
        <f t="shared" si="47"/>
        <v>770.92578562029121</v>
      </c>
      <c r="AG14" s="16">
        <f t="shared" si="47"/>
        <v>799.9939042916285</v>
      </c>
      <c r="AH14" s="16">
        <f t="shared" si="47"/>
        <v>831.63176413352789</v>
      </c>
      <c r="AI14" s="16">
        <f t="shared" si="47"/>
        <v>561.1717519578566</v>
      </c>
    </row>
    <row r="15" spans="1:64" s="16" customFormat="1" x14ac:dyDescent="0.2">
      <c r="B15" s="16" t="s">
        <v>38</v>
      </c>
      <c r="C15" s="17"/>
      <c r="D15" s="17"/>
      <c r="E15" s="17">
        <v>22.422999999999998</v>
      </c>
      <c r="F15" s="17">
        <v>24.559000000000001</v>
      </c>
      <c r="G15" s="17">
        <v>27.181000000000001</v>
      </c>
      <c r="H15" s="17">
        <v>27.832999999999998</v>
      </c>
      <c r="I15" s="17">
        <v>50.783999999999999</v>
      </c>
      <c r="J15" s="17">
        <v>29.454999999999998</v>
      </c>
      <c r="K15" s="17">
        <v>31.251999999999999</v>
      </c>
      <c r="L15" s="17">
        <v>39.091000000000001</v>
      </c>
      <c r="M15" s="17"/>
      <c r="N15" s="17"/>
      <c r="Y15" s="16">
        <f t="shared" si="44"/>
        <v>135.25299999999999</v>
      </c>
      <c r="Z15" s="16">
        <f t="shared" si="45"/>
        <v>70.343000000000004</v>
      </c>
    </row>
    <row r="16" spans="1:64" s="16" customFormat="1" x14ac:dyDescent="0.2">
      <c r="B16" s="16" t="s">
        <v>39</v>
      </c>
      <c r="C16" s="17"/>
      <c r="D16" s="17"/>
      <c r="E16" s="17">
        <f>+E14+E15</f>
        <v>115.92400000000001</v>
      </c>
      <c r="F16" s="17">
        <f>+F14+F15</f>
        <v>130.25300000000001</v>
      </c>
      <c r="G16" s="17">
        <f>+G14+G15</f>
        <v>139.56900000000002</v>
      </c>
      <c r="H16" s="17">
        <f>+H14+H15</f>
        <v>134.965</v>
      </c>
      <c r="I16" s="17">
        <f>+I14+I15</f>
        <v>154.828</v>
      </c>
      <c r="J16" s="17">
        <f>+J14+J15</f>
        <v>155.01</v>
      </c>
      <c r="K16" s="17">
        <f>+K14+K15</f>
        <v>160.017</v>
      </c>
      <c r="L16" s="17">
        <f>+L14+L15</f>
        <v>161.709</v>
      </c>
      <c r="M16" s="17">
        <f t="shared" ref="M16:R16" si="48">+M14+M15</f>
        <v>106.12488</v>
      </c>
      <c r="N16" s="17">
        <f t="shared" si="48"/>
        <v>128.06610000000001</v>
      </c>
      <c r="O16" s="17">
        <f t="shared" si="48"/>
        <v>131.34029999999998</v>
      </c>
      <c r="P16" s="17">
        <f t="shared" si="48"/>
        <v>125.07035999999999</v>
      </c>
      <c r="Q16" s="17">
        <f t="shared" si="48"/>
        <v>108.24737760000001</v>
      </c>
      <c r="R16" s="17">
        <f t="shared" si="48"/>
        <v>130.627422</v>
      </c>
      <c r="Y16" s="17">
        <f t="shared" ref="Y16:AA16" si="49">+Y14+Y15</f>
        <v>584.37200000000007</v>
      </c>
      <c r="Z16" s="17">
        <f t="shared" si="49"/>
        <v>555.91697999999997</v>
      </c>
      <c r="AA16" s="17">
        <f t="shared" si="49"/>
        <v>495.28545959999997</v>
      </c>
      <c r="AB16" s="17">
        <f t="shared" ref="AB16" si="50">+AB14+AB15</f>
        <v>557.10303503400007</v>
      </c>
      <c r="AC16" s="17">
        <f t="shared" ref="AC16" si="51">+AC14+AC15</f>
        <v>630.70285631234003</v>
      </c>
      <c r="AD16" s="17">
        <f t="shared" ref="AD16" si="52">+AD14+AD15</f>
        <v>707.33724918378346</v>
      </c>
      <c r="AE16" s="17">
        <f t="shared" ref="AE16" si="53">+AE14+AE15</f>
        <v>739.10702624357816</v>
      </c>
      <c r="AF16" s="17">
        <f t="shared" ref="AF16" si="54">+AF14+AF15</f>
        <v>770.92578562029121</v>
      </c>
      <c r="AG16" s="17">
        <f t="shared" ref="AG16" si="55">+AG14+AG15</f>
        <v>799.9939042916285</v>
      </c>
      <c r="AH16" s="17">
        <f t="shared" ref="AH16" si="56">+AH14+AH15</f>
        <v>831.63176413352789</v>
      </c>
      <c r="AI16" s="17">
        <f t="shared" ref="AI16" si="57">+AI14+AI15</f>
        <v>561.1717519578566</v>
      </c>
      <c r="AJ16" s="17"/>
    </row>
    <row r="17" spans="2:113" s="16" customFormat="1" x14ac:dyDescent="0.2">
      <c r="B17" s="16" t="s">
        <v>40</v>
      </c>
      <c r="C17" s="17"/>
      <c r="D17" s="17"/>
      <c r="E17" s="17">
        <f>+E13-E16</f>
        <v>163.66600000000003</v>
      </c>
      <c r="F17" s="17">
        <f>+F13-F16</f>
        <v>169.08099999999999</v>
      </c>
      <c r="G17" s="17">
        <f>+G13-G16</f>
        <v>141.43599999999998</v>
      </c>
      <c r="H17" s="17">
        <f>+H13-H16</f>
        <v>176.96900000000002</v>
      </c>
      <c r="I17" s="17">
        <f>+I13-I16</f>
        <v>157.65900000000002</v>
      </c>
      <c r="J17" s="17">
        <f>+J13-J16</f>
        <v>161.84100000000001</v>
      </c>
      <c r="K17" s="17">
        <f>+K13-K16</f>
        <v>152.55400000000003</v>
      </c>
      <c r="L17" s="17">
        <f>+L13-L16</f>
        <v>195.47199999999998</v>
      </c>
      <c r="M17" s="17">
        <f t="shared" ref="M17:R17" si="58">+M13-M16</f>
        <v>254.617886</v>
      </c>
      <c r="N17" s="17">
        <f t="shared" si="58"/>
        <v>239.31428799999998</v>
      </c>
      <c r="O17" s="17">
        <f t="shared" si="58"/>
        <v>224.76539899999997</v>
      </c>
      <c r="P17" s="17">
        <f t="shared" si="58"/>
        <v>265.22647599999999</v>
      </c>
      <c r="Q17" s="17">
        <f t="shared" si="58"/>
        <v>283.85326670000001</v>
      </c>
      <c r="R17" s="17">
        <f t="shared" si="58"/>
        <v>268.56854439999995</v>
      </c>
      <c r="Y17" s="17">
        <f t="shared" ref="Y17:AA17" si="59">+Y13-Y16</f>
        <v>637.90499999999975</v>
      </c>
      <c r="Z17" s="17">
        <f t="shared" si="59"/>
        <v>841.9581740000001</v>
      </c>
      <c r="AA17" s="17">
        <f t="shared" si="59"/>
        <v>1142.4136860999997</v>
      </c>
      <c r="AB17" s="17">
        <f t="shared" ref="AB17" si="60">+AB13-AB16</f>
        <v>1313.1714397229998</v>
      </c>
      <c r="AC17" s="17">
        <f t="shared" ref="AC17" si="61">+AC13-AC16</f>
        <v>1486.65673273623</v>
      </c>
      <c r="AD17" s="17">
        <f t="shared" ref="AD17" si="62">+AD13-AD16</f>
        <v>1667.294944504632</v>
      </c>
      <c r="AE17" s="17">
        <f t="shared" ref="AE17" si="63">+AE13-AE16</f>
        <v>1742.1808475741482</v>
      </c>
      <c r="AF17" s="17">
        <f t="shared" ref="AF17" si="64">+AF13-AF16</f>
        <v>1817.1822089621146</v>
      </c>
      <c r="AG17" s="17">
        <f t="shared" ref="AG17" si="65">+AG13-AG16</f>
        <v>1885.699917258838</v>
      </c>
      <c r="AH17" s="17">
        <f t="shared" ref="AH17" si="66">+AH13-AH16</f>
        <v>1960.2748726004581</v>
      </c>
      <c r="AI17" s="17">
        <f t="shared" ref="AI17" si="67">+AI13-AI16</f>
        <v>1322.7619867578046</v>
      </c>
      <c r="AJ17" s="17"/>
    </row>
    <row r="18" spans="2:113" s="16" customFormat="1" x14ac:dyDescent="0.2">
      <c r="B18" s="16" t="s">
        <v>41</v>
      </c>
      <c r="C18" s="17"/>
      <c r="D18" s="17"/>
      <c r="E18" s="17">
        <v>-14.53</v>
      </c>
      <c r="F18" s="17">
        <v>-16.678000000000001</v>
      </c>
      <c r="G18" s="17">
        <v>-16.245000000000001</v>
      </c>
      <c r="H18" s="17">
        <v>-15.811999999999999</v>
      </c>
      <c r="I18" s="17">
        <v>-12.65</v>
      </c>
      <c r="J18" s="17">
        <v>-12.21</v>
      </c>
      <c r="K18" s="17">
        <v>-12.192</v>
      </c>
      <c r="L18" s="17">
        <v>-12.121</v>
      </c>
      <c r="M18" s="17">
        <f>+L18+1</f>
        <v>-11.121</v>
      </c>
      <c r="N18" s="17">
        <f t="shared" ref="N18:R18" si="68">+M18+1</f>
        <v>-10.121</v>
      </c>
      <c r="O18" s="17">
        <f t="shared" si="68"/>
        <v>-9.1210000000000004</v>
      </c>
      <c r="P18" s="17">
        <f t="shared" si="68"/>
        <v>-8.1210000000000004</v>
      </c>
      <c r="Q18" s="17">
        <f t="shared" si="68"/>
        <v>-7.1210000000000004</v>
      </c>
      <c r="R18" s="17">
        <f t="shared" si="68"/>
        <v>-6.1210000000000004</v>
      </c>
      <c r="Y18" s="16">
        <f t="shared" ref="Y18" si="69">SUM(G18:J18)</f>
        <v>-56.917000000000002</v>
      </c>
      <c r="Z18" s="16">
        <f t="shared" ref="Z18" si="70">SUM(K18:N18)</f>
        <v>-45.555000000000007</v>
      </c>
      <c r="AA18" s="16">
        <f t="shared" ref="AA18" si="71">SUM(O18:R18)</f>
        <v>-30.484000000000002</v>
      </c>
      <c r="AB18" s="16">
        <f>+AA32*$AL$26</f>
        <v>35.630876642399997</v>
      </c>
      <c r="AC18" s="16">
        <f t="shared" ref="AC18:AI18" si="72">+AB32*$AL$26</f>
        <v>65.9789287606215</v>
      </c>
      <c r="AD18" s="16">
        <f t="shared" si="72"/>
        <v>100.91323114430065</v>
      </c>
      <c r="AE18" s="16">
        <f t="shared" si="72"/>
        <v>140.69791509640163</v>
      </c>
      <c r="AF18" s="16">
        <f t="shared" si="72"/>
        <v>183.062687256489</v>
      </c>
      <c r="AG18" s="16">
        <f t="shared" si="72"/>
        <v>228.0681974214076</v>
      </c>
      <c r="AH18" s="16">
        <f t="shared" si="72"/>
        <v>275.62798000171313</v>
      </c>
      <c r="AI18" s="16">
        <f t="shared" si="72"/>
        <v>325.93579418526195</v>
      </c>
    </row>
    <row r="19" spans="2:113" s="16" customFormat="1" x14ac:dyDescent="0.2">
      <c r="B19" s="16" t="s">
        <v>42</v>
      </c>
      <c r="C19" s="17"/>
      <c r="D19" s="17"/>
      <c r="E19" s="17">
        <f>+E17+E18</f>
        <v>149.13600000000002</v>
      </c>
      <c r="F19" s="17">
        <f>+F17+F18</f>
        <v>152.40299999999999</v>
      </c>
      <c r="G19" s="17">
        <f>+G17+G18</f>
        <v>125.19099999999997</v>
      </c>
      <c r="H19" s="17">
        <f>+H17+H18</f>
        <v>161.15700000000001</v>
      </c>
      <c r="I19" s="17">
        <f>+I17+I18</f>
        <v>145.00900000000001</v>
      </c>
      <c r="J19" s="17">
        <f>+J17+J18</f>
        <v>149.631</v>
      </c>
      <c r="K19" s="17">
        <f>+K17+K18</f>
        <v>140.36200000000002</v>
      </c>
      <c r="L19" s="17">
        <f>+L17+L18</f>
        <v>183.35099999999997</v>
      </c>
      <c r="M19" s="17">
        <f t="shared" ref="M19:R19" si="73">+M17+M18</f>
        <v>243.49688599999999</v>
      </c>
      <c r="N19" s="17">
        <f t="shared" si="73"/>
        <v>229.19328799999997</v>
      </c>
      <c r="O19" s="17">
        <f t="shared" si="73"/>
        <v>215.64439899999996</v>
      </c>
      <c r="P19" s="17">
        <f t="shared" si="73"/>
        <v>257.10547600000001</v>
      </c>
      <c r="Q19" s="17">
        <f t="shared" si="73"/>
        <v>276.73226670000003</v>
      </c>
      <c r="R19" s="17">
        <f t="shared" si="73"/>
        <v>262.44754439999997</v>
      </c>
      <c r="Y19" s="16">
        <f>+Y17+Y18</f>
        <v>580.98799999999972</v>
      </c>
      <c r="Z19" s="16">
        <f t="shared" ref="Z19:AA19" si="74">+Z17+Z18</f>
        <v>796.40317400000004</v>
      </c>
      <c r="AA19" s="16">
        <f t="shared" si="74"/>
        <v>1111.9296860999998</v>
      </c>
      <c r="AB19" s="16">
        <f t="shared" ref="AB19" si="75">+AB17+AB18</f>
        <v>1348.8023163653997</v>
      </c>
      <c r="AC19" s="16">
        <f t="shared" ref="AC19" si="76">+AC17+AC18</f>
        <v>1552.6356614968515</v>
      </c>
      <c r="AD19" s="16">
        <f t="shared" ref="AD19" si="77">+AD17+AD18</f>
        <v>1768.2081756489326</v>
      </c>
      <c r="AE19" s="16">
        <f t="shared" ref="AE19" si="78">+AE17+AE18</f>
        <v>1882.8787626705498</v>
      </c>
      <c r="AF19" s="16">
        <f t="shared" ref="AF19" si="79">+AF17+AF18</f>
        <v>2000.2448962186036</v>
      </c>
      <c r="AG19" s="16">
        <f t="shared" ref="AG19" si="80">+AG17+AG18</f>
        <v>2113.7681146802456</v>
      </c>
      <c r="AH19" s="16">
        <f t="shared" ref="AH19" si="81">+AH17+AH18</f>
        <v>2235.9028526021712</v>
      </c>
      <c r="AI19" s="16">
        <f t="shared" ref="AI19" si="82">+AI17+AI18</f>
        <v>1648.6977809430666</v>
      </c>
    </row>
    <row r="20" spans="2:113" s="16" customFormat="1" x14ac:dyDescent="0.2">
      <c r="B20" s="16" t="s">
        <v>43</v>
      </c>
      <c r="C20" s="17"/>
      <c r="D20" s="17"/>
      <c r="E20" s="17">
        <v>24.221</v>
      </c>
      <c r="F20" s="17">
        <v>33.633000000000003</v>
      </c>
      <c r="G20" s="17">
        <v>32.058999999999997</v>
      </c>
      <c r="H20" s="17">
        <v>30.646999999999998</v>
      </c>
      <c r="I20" s="17">
        <v>29.945</v>
      </c>
      <c r="J20" s="17">
        <v>13.747999999999999</v>
      </c>
      <c r="K20" s="17">
        <v>34.03</v>
      </c>
      <c r="L20" s="17">
        <v>45.332000000000001</v>
      </c>
      <c r="M20" s="17">
        <f>+M19*0.2</f>
        <v>48.699377200000001</v>
      </c>
      <c r="N20" s="17">
        <f t="shared" ref="N20:R20" si="83">+N19*0.2</f>
        <v>45.838657599999998</v>
      </c>
      <c r="O20" s="17">
        <f t="shared" si="83"/>
        <v>43.128879799999993</v>
      </c>
      <c r="P20" s="17">
        <f t="shared" si="83"/>
        <v>51.421095200000003</v>
      </c>
      <c r="Q20" s="17">
        <f t="shared" si="83"/>
        <v>55.346453340000011</v>
      </c>
      <c r="R20" s="17">
        <f t="shared" si="83"/>
        <v>52.489508879999995</v>
      </c>
      <c r="Y20" s="16">
        <f t="shared" ref="Y20" si="84">SUM(G20:J20)</f>
        <v>106.399</v>
      </c>
      <c r="Z20" s="16">
        <f t="shared" ref="Z20" si="85">SUM(K20:N20)</f>
        <v>173.90003479999999</v>
      </c>
      <c r="AA20" s="16">
        <f t="shared" ref="AA20" si="86">SUM(O20:R20)</f>
        <v>202.38593721999999</v>
      </c>
      <c r="AB20" s="16">
        <f>+AB19*0.25</f>
        <v>337.20057909134994</v>
      </c>
      <c r="AC20" s="16">
        <f t="shared" ref="AC20:AI20" si="87">+AC19*0.25</f>
        <v>388.15891537421288</v>
      </c>
      <c r="AD20" s="16">
        <f t="shared" si="87"/>
        <v>442.05204391223316</v>
      </c>
      <c r="AE20" s="16">
        <f t="shared" si="87"/>
        <v>470.71969066763745</v>
      </c>
      <c r="AF20" s="16">
        <f t="shared" si="87"/>
        <v>500.06122405465089</v>
      </c>
      <c r="AG20" s="16">
        <f t="shared" si="87"/>
        <v>528.4420286700614</v>
      </c>
      <c r="AH20" s="16">
        <f t="shared" si="87"/>
        <v>558.97571315054279</v>
      </c>
      <c r="AI20" s="16">
        <f t="shared" si="87"/>
        <v>412.17444523576665</v>
      </c>
    </row>
    <row r="21" spans="2:113" s="16" customFormat="1" x14ac:dyDescent="0.2">
      <c r="B21" s="16" t="s">
        <v>44</v>
      </c>
      <c r="C21" s="17"/>
      <c r="D21" s="17"/>
      <c r="E21" s="17">
        <f>+E19-E20</f>
        <v>124.91500000000002</v>
      </c>
      <c r="F21" s="17">
        <f>+F19-F20</f>
        <v>118.76999999999998</v>
      </c>
      <c r="G21" s="17">
        <f>+G19-G20</f>
        <v>93.131999999999977</v>
      </c>
      <c r="H21" s="17">
        <f>+H19-H20</f>
        <v>130.51000000000002</v>
      </c>
      <c r="I21" s="17">
        <f>+I19-I20</f>
        <v>115.06400000000002</v>
      </c>
      <c r="J21" s="17">
        <f>+J19-J20</f>
        <v>135.88300000000001</v>
      </c>
      <c r="K21" s="17">
        <f>+K19-K20</f>
        <v>106.33200000000002</v>
      </c>
      <c r="L21" s="17">
        <f>+L19-L20</f>
        <v>138.01899999999998</v>
      </c>
      <c r="M21" s="17">
        <f t="shared" ref="M21:R21" si="88">+M19-M20</f>
        <v>194.7975088</v>
      </c>
      <c r="N21" s="17">
        <f t="shared" si="88"/>
        <v>183.35463039999996</v>
      </c>
      <c r="O21" s="17">
        <f t="shared" si="88"/>
        <v>172.51551919999997</v>
      </c>
      <c r="P21" s="17">
        <f t="shared" si="88"/>
        <v>205.68438080000001</v>
      </c>
      <c r="Q21" s="17">
        <f t="shared" si="88"/>
        <v>221.38581336000001</v>
      </c>
      <c r="R21" s="17">
        <f t="shared" si="88"/>
        <v>209.95803551999998</v>
      </c>
      <c r="Y21" s="16">
        <f>+Y19-Y20</f>
        <v>474.58899999999971</v>
      </c>
      <c r="Z21" s="16">
        <f t="shared" ref="Z21:AA21" si="89">+Z19-Z20</f>
        <v>622.50313920000008</v>
      </c>
      <c r="AA21" s="16">
        <f t="shared" si="89"/>
        <v>909.54374887999984</v>
      </c>
      <c r="AB21" s="16">
        <f t="shared" ref="AB21" si="90">+AB19-AB20</f>
        <v>1011.6017372740498</v>
      </c>
      <c r="AC21" s="16">
        <f t="shared" ref="AC21" si="91">+AC19-AC20</f>
        <v>1164.4767461226386</v>
      </c>
      <c r="AD21" s="16">
        <f t="shared" ref="AD21" si="92">+AD19-AD20</f>
        <v>1326.1561317366995</v>
      </c>
      <c r="AE21" s="16">
        <f t="shared" ref="AE21" si="93">+AE19-AE20</f>
        <v>1412.1590720029124</v>
      </c>
      <c r="AF21" s="16">
        <f t="shared" ref="AF21" si="94">+AF19-AF20</f>
        <v>1500.1836721639527</v>
      </c>
      <c r="AG21" s="16">
        <f t="shared" ref="AG21" si="95">+AG19-AG20</f>
        <v>1585.3260860101841</v>
      </c>
      <c r="AH21" s="16">
        <f t="shared" ref="AH21" si="96">+AH19-AH20</f>
        <v>1676.9271394516284</v>
      </c>
      <c r="AI21" s="16">
        <f t="shared" ref="AI21" si="97">+AI19-AI20</f>
        <v>1236.5233357073</v>
      </c>
      <c r="AJ21" s="16">
        <f>+AI21*(1+$AL$25)</f>
        <v>1224.158102350227</v>
      </c>
      <c r="AK21" s="16">
        <f t="shared" ref="AK21:CV21" si="98">+AJ21*(1+$AL$25)</f>
        <v>1211.9165213267247</v>
      </c>
      <c r="AL21" s="16">
        <f t="shared" si="98"/>
        <v>1199.7973561134575</v>
      </c>
      <c r="AM21" s="16">
        <f t="shared" si="98"/>
        <v>1187.7993825523229</v>
      </c>
      <c r="AN21" s="16">
        <f t="shared" si="98"/>
        <v>1175.9213887267997</v>
      </c>
      <c r="AO21" s="16">
        <f t="shared" si="98"/>
        <v>1164.1621748395316</v>
      </c>
      <c r="AP21" s="16">
        <f t="shared" si="98"/>
        <v>1152.5205530911362</v>
      </c>
      <c r="AQ21" s="16">
        <f t="shared" si="98"/>
        <v>1140.9953475602249</v>
      </c>
      <c r="AR21" s="16">
        <f t="shared" si="98"/>
        <v>1129.5853940846227</v>
      </c>
      <c r="AS21" s="16">
        <f t="shared" si="98"/>
        <v>1118.2895401437765</v>
      </c>
      <c r="AT21" s="16">
        <f t="shared" si="98"/>
        <v>1107.1066447423389</v>
      </c>
      <c r="AU21" s="16">
        <f t="shared" si="98"/>
        <v>1096.0355782949155</v>
      </c>
      <c r="AV21" s="16">
        <f t="shared" si="98"/>
        <v>1085.0752225119663</v>
      </c>
      <c r="AW21" s="16">
        <f t="shared" si="98"/>
        <v>1074.2244702868466</v>
      </c>
      <c r="AX21" s="16">
        <f t="shared" si="98"/>
        <v>1063.4822255839781</v>
      </c>
      <c r="AY21" s="16">
        <f t="shared" si="98"/>
        <v>1052.8474033281384</v>
      </c>
      <c r="AZ21" s="16">
        <f t="shared" si="98"/>
        <v>1042.3189292948571</v>
      </c>
      <c r="BA21" s="16">
        <f t="shared" si="98"/>
        <v>1031.8957400019085</v>
      </c>
      <c r="BB21" s="16">
        <f t="shared" si="98"/>
        <v>1021.5767826018894</v>
      </c>
      <c r="BC21" s="16">
        <f t="shared" si="98"/>
        <v>1011.3610147758704</v>
      </c>
      <c r="BD21" s="16">
        <f t="shared" si="98"/>
        <v>1001.2474046281118</v>
      </c>
      <c r="BE21" s="16">
        <f t="shared" si="98"/>
        <v>991.23493058183067</v>
      </c>
      <c r="BF21" s="16">
        <f t="shared" si="98"/>
        <v>981.32258127601233</v>
      </c>
      <c r="BG21" s="16">
        <f t="shared" si="98"/>
        <v>971.50935546325218</v>
      </c>
      <c r="BH21" s="16">
        <f t="shared" si="98"/>
        <v>961.79426190861966</v>
      </c>
      <c r="BI21" s="16">
        <f t="shared" si="98"/>
        <v>952.17631928953347</v>
      </c>
      <c r="BJ21" s="16">
        <f t="shared" si="98"/>
        <v>942.65455609663809</v>
      </c>
      <c r="BK21" s="16">
        <f t="shared" si="98"/>
        <v>933.22801053567173</v>
      </c>
      <c r="BL21" s="16">
        <f t="shared" si="98"/>
        <v>923.89573043031498</v>
      </c>
      <c r="BM21" s="16">
        <f t="shared" si="98"/>
        <v>914.65677312601179</v>
      </c>
      <c r="BN21" s="16">
        <f t="shared" si="98"/>
        <v>905.51020539475167</v>
      </c>
      <c r="BO21" s="16">
        <f t="shared" si="98"/>
        <v>896.45510334080416</v>
      </c>
      <c r="BP21" s="16">
        <f t="shared" si="98"/>
        <v>887.49055230739611</v>
      </c>
      <c r="BQ21" s="16">
        <f t="shared" si="98"/>
        <v>878.61564678432217</v>
      </c>
      <c r="BR21" s="16">
        <f t="shared" si="98"/>
        <v>869.82949031647888</v>
      </c>
      <c r="BS21" s="16">
        <f t="shared" si="98"/>
        <v>861.13119541331412</v>
      </c>
      <c r="BT21" s="16">
        <f t="shared" si="98"/>
        <v>852.51988345918096</v>
      </c>
      <c r="BU21" s="16">
        <f t="shared" si="98"/>
        <v>843.99468462458913</v>
      </c>
      <c r="BV21" s="16">
        <f t="shared" si="98"/>
        <v>835.55473777834322</v>
      </c>
      <c r="BW21" s="16">
        <f t="shared" si="98"/>
        <v>827.19919040055981</v>
      </c>
      <c r="BX21" s="16">
        <f t="shared" si="98"/>
        <v>818.92719849655418</v>
      </c>
      <c r="BY21" s="16">
        <f t="shared" si="98"/>
        <v>810.73792651158863</v>
      </c>
      <c r="BZ21" s="16">
        <f t="shared" si="98"/>
        <v>802.6305472464727</v>
      </c>
      <c r="CA21" s="16">
        <f t="shared" si="98"/>
        <v>794.60424177400796</v>
      </c>
      <c r="CB21" s="16">
        <f t="shared" si="98"/>
        <v>786.65819935626791</v>
      </c>
      <c r="CC21" s="16">
        <f t="shared" si="98"/>
        <v>778.79161736270521</v>
      </c>
      <c r="CD21" s="16">
        <f t="shared" si="98"/>
        <v>771.00370118907813</v>
      </c>
      <c r="CE21" s="16">
        <f t="shared" si="98"/>
        <v>763.29366417718734</v>
      </c>
      <c r="CF21" s="16">
        <f t="shared" si="98"/>
        <v>755.6607275354155</v>
      </c>
      <c r="CG21" s="16">
        <f t="shared" si="98"/>
        <v>748.10412026006134</v>
      </c>
      <c r="CH21" s="16">
        <f t="shared" si="98"/>
        <v>740.6230790574607</v>
      </c>
      <c r="CI21" s="16">
        <f t="shared" si="98"/>
        <v>733.21684826688613</v>
      </c>
      <c r="CJ21" s="16">
        <f t="shared" si="98"/>
        <v>725.88467978421727</v>
      </c>
      <c r="CK21" s="16">
        <f t="shared" si="98"/>
        <v>718.62583298637514</v>
      </c>
      <c r="CL21" s="16">
        <f t="shared" si="98"/>
        <v>711.43957465651135</v>
      </c>
      <c r="CM21" s="16">
        <f t="shared" si="98"/>
        <v>704.3251789099462</v>
      </c>
      <c r="CN21" s="16">
        <f t="shared" si="98"/>
        <v>697.28192712084672</v>
      </c>
      <c r="CO21" s="16">
        <f t="shared" si="98"/>
        <v>690.30910784963828</v>
      </c>
      <c r="CP21" s="16">
        <f t="shared" si="98"/>
        <v>683.40601677114194</v>
      </c>
      <c r="CQ21" s="16">
        <f t="shared" si="98"/>
        <v>676.57195660343052</v>
      </c>
      <c r="CR21" s="16">
        <f t="shared" si="98"/>
        <v>669.80623703739616</v>
      </c>
      <c r="CS21" s="16">
        <f t="shared" si="98"/>
        <v>663.10817466702224</v>
      </c>
      <c r="CT21" s="16">
        <f t="shared" si="98"/>
        <v>656.47709292035199</v>
      </c>
      <c r="CU21" s="16">
        <f t="shared" si="98"/>
        <v>649.91232199114847</v>
      </c>
      <c r="CV21" s="16">
        <f t="shared" si="98"/>
        <v>643.41319877123703</v>
      </c>
      <c r="CW21" s="16">
        <f t="shared" ref="CW21:DI21" si="99">+CV21*(1+$AL$25)</f>
        <v>636.97906678352467</v>
      </c>
      <c r="CX21" s="16">
        <f t="shared" si="99"/>
        <v>630.60927611568945</v>
      </c>
      <c r="CY21" s="16">
        <f t="shared" si="99"/>
        <v>624.30318335453251</v>
      </c>
      <c r="CZ21" s="16">
        <f t="shared" si="99"/>
        <v>618.06015152098723</v>
      </c>
      <c r="DA21" s="16">
        <f t="shared" si="99"/>
        <v>611.87955000577733</v>
      </c>
      <c r="DB21" s="16">
        <f t="shared" si="99"/>
        <v>605.76075450571955</v>
      </c>
      <c r="DC21" s="16">
        <f t="shared" si="99"/>
        <v>599.70314696066237</v>
      </c>
      <c r="DD21" s="16">
        <f t="shared" si="99"/>
        <v>593.7061154910557</v>
      </c>
      <c r="DE21" s="16">
        <f t="shared" si="99"/>
        <v>587.76905433614513</v>
      </c>
      <c r="DF21" s="16">
        <f t="shared" si="99"/>
        <v>581.89136379278364</v>
      </c>
      <c r="DG21" s="16">
        <f t="shared" si="99"/>
        <v>576.0724501548558</v>
      </c>
      <c r="DH21" s="16">
        <f t="shared" si="99"/>
        <v>570.31172565330724</v>
      </c>
      <c r="DI21" s="16">
        <f t="shared" si="99"/>
        <v>564.60860839677412</v>
      </c>
    </row>
    <row r="22" spans="2:113" x14ac:dyDescent="0.2">
      <c r="B22" s="16" t="s">
        <v>45</v>
      </c>
      <c r="E22" s="21">
        <f>E21/E23</f>
        <v>1.9929004467134654</v>
      </c>
      <c r="F22" s="21">
        <f>F21/F23</f>
        <v>1.8896773372366829</v>
      </c>
      <c r="G22" s="21">
        <f>G21/G23</f>
        <v>1.4791309319611203</v>
      </c>
      <c r="H22" s="21">
        <f>H21/H23</f>
        <v>2.0686321128546523</v>
      </c>
      <c r="I22" s="21">
        <f>I21/I23</f>
        <v>1.8219590208062832</v>
      </c>
      <c r="J22" s="21">
        <f>J21/J23</f>
        <v>2.1593408339689808</v>
      </c>
      <c r="K22" s="21">
        <f>K21/K23</f>
        <v>1.7020200403367804</v>
      </c>
      <c r="L22" s="21">
        <f>L21/L23</f>
        <v>2.2321252405673344</v>
      </c>
      <c r="M22" s="21">
        <f t="shared" ref="M22:R22" si="100">M21/M23</f>
        <v>3.1503810069056977</v>
      </c>
      <c r="N22" s="21">
        <f t="shared" si="100"/>
        <v>2.9653199812397903</v>
      </c>
      <c r="O22" s="21">
        <f t="shared" si="100"/>
        <v>2.7900234373231116</v>
      </c>
      <c r="P22" s="21">
        <f t="shared" si="100"/>
        <v>3.3264499668461829</v>
      </c>
      <c r="Q22" s="21">
        <f t="shared" si="100"/>
        <v>3.5803828596380578</v>
      </c>
      <c r="R22" s="21">
        <f t="shared" si="100"/>
        <v>3.3955660491970305</v>
      </c>
      <c r="Y22" s="1">
        <f t="shared" ref="Y22:Z22" si="101">Y21/Y23</f>
        <v>7.5290954088269775</v>
      </c>
      <c r="Z22" s="1">
        <f t="shared" si="101"/>
        <v>10.041466437071779</v>
      </c>
      <c r="AA22" s="1">
        <f>AA21/AA23</f>
        <v>14.709681705238301</v>
      </c>
      <c r="AB22" s="1">
        <f>AB21/AB23</f>
        <v>16.360224108066078</v>
      </c>
      <c r="AC22" s="1">
        <f t="shared" ref="AC22:AI22" si="102">AC21/AC23</f>
        <v>18.832609547048317</v>
      </c>
      <c r="AD22" s="1">
        <f t="shared" si="102"/>
        <v>21.447384596197818</v>
      </c>
      <c r="AE22" s="1">
        <f t="shared" si="102"/>
        <v>22.83827522525047</v>
      </c>
      <c r="AF22" s="1">
        <f t="shared" si="102"/>
        <v>24.261861338831249</v>
      </c>
      <c r="AG22" s="1">
        <f t="shared" si="102"/>
        <v>25.638835023534103</v>
      </c>
      <c r="AH22" s="1">
        <f t="shared" si="102"/>
        <v>27.120261663701072</v>
      </c>
      <c r="AI22" s="1">
        <f t="shared" si="102"/>
        <v>19.997789783890479</v>
      </c>
    </row>
    <row r="23" spans="2:113" s="16" customFormat="1" x14ac:dyDescent="0.2">
      <c r="B23" s="16" t="s">
        <v>1</v>
      </c>
      <c r="C23" s="17"/>
      <c r="D23" s="17"/>
      <c r="E23" s="17">
        <v>62.68</v>
      </c>
      <c r="F23" s="17">
        <v>62.851999999999997</v>
      </c>
      <c r="G23" s="17">
        <v>62.963999999999999</v>
      </c>
      <c r="H23" s="17">
        <v>63.09</v>
      </c>
      <c r="I23" s="17">
        <v>63.154000000000003</v>
      </c>
      <c r="J23" s="17">
        <v>62.927999999999997</v>
      </c>
      <c r="K23" s="17">
        <v>62.473999999999997</v>
      </c>
      <c r="L23" s="17">
        <v>61.832999999999998</v>
      </c>
      <c r="M23" s="17">
        <f>+L23</f>
        <v>61.832999999999998</v>
      </c>
      <c r="N23" s="17">
        <f t="shared" ref="N23:R23" si="103">+M23</f>
        <v>61.832999999999998</v>
      </c>
      <c r="O23" s="17">
        <f t="shared" si="103"/>
        <v>61.832999999999998</v>
      </c>
      <c r="P23" s="17">
        <f t="shared" si="103"/>
        <v>61.832999999999998</v>
      </c>
      <c r="Q23" s="17">
        <f t="shared" si="103"/>
        <v>61.832999999999998</v>
      </c>
      <c r="R23" s="17">
        <f t="shared" si="103"/>
        <v>61.832999999999998</v>
      </c>
      <c r="Y23" s="16">
        <f>AVERAGE(G23:J23)</f>
        <v>63.033999999999999</v>
      </c>
      <c r="Z23" s="16">
        <f>AVERAGE(K23:N23)</f>
        <v>61.993249999999996</v>
      </c>
      <c r="AA23" s="16">
        <f>AVERAGE(O23:R23)</f>
        <v>61.832999999999998</v>
      </c>
      <c r="AB23" s="16">
        <f>+AA23</f>
        <v>61.832999999999998</v>
      </c>
      <c r="AC23" s="16">
        <f t="shared" ref="AC23:AI23" si="104">+AB23</f>
        <v>61.832999999999998</v>
      </c>
      <c r="AD23" s="16">
        <f t="shared" si="104"/>
        <v>61.832999999999998</v>
      </c>
      <c r="AE23" s="16">
        <f t="shared" si="104"/>
        <v>61.832999999999998</v>
      </c>
      <c r="AF23" s="16">
        <f t="shared" si="104"/>
        <v>61.832999999999998</v>
      </c>
      <c r="AG23" s="16">
        <f t="shared" si="104"/>
        <v>61.832999999999998</v>
      </c>
      <c r="AH23" s="16">
        <f t="shared" si="104"/>
        <v>61.832999999999998</v>
      </c>
      <c r="AI23" s="16">
        <f t="shared" si="104"/>
        <v>61.832999999999998</v>
      </c>
    </row>
    <row r="25" spans="2:113" x14ac:dyDescent="0.2">
      <c r="B25" s="16" t="s">
        <v>46</v>
      </c>
      <c r="I25" s="20">
        <f>I3/E3-1</f>
        <v>0.18871765759505132</v>
      </c>
      <c r="J25" s="20">
        <f>J3/F3-1</f>
        <v>0.13145440735630531</v>
      </c>
      <c r="K25" s="20">
        <f>K3/G3-1</f>
        <v>0.17324274766091508</v>
      </c>
      <c r="L25" s="20">
        <f>L3/H3-1</f>
        <v>0.13363943739257444</v>
      </c>
      <c r="M25" s="20">
        <f t="shared" ref="M25:R25" si="105">M3/I3-1</f>
        <v>0.10000000000000009</v>
      </c>
      <c r="N25" s="20">
        <f t="shared" si="105"/>
        <v>0.10000000000000009</v>
      </c>
      <c r="O25" s="20">
        <f t="shared" si="105"/>
        <v>5.0000000000000044E-2</v>
      </c>
      <c r="P25" s="20">
        <f t="shared" si="105"/>
        <v>5.0000000000000044E-2</v>
      </c>
      <c r="Q25" s="20">
        <f t="shared" si="105"/>
        <v>5.0000000000000044E-2</v>
      </c>
      <c r="R25" s="20">
        <f t="shared" si="105"/>
        <v>5.0000000000000044E-2</v>
      </c>
      <c r="Z25" s="23">
        <f>Z3/Y3-1</f>
        <v>0.12503740105340655</v>
      </c>
      <c r="AA25" s="23">
        <f t="shared" ref="AA25:AI25" si="106">AA3/Z3-1</f>
        <v>5.0000000000000044E-2</v>
      </c>
      <c r="AB25" s="23">
        <f t="shared" si="106"/>
        <v>1.0000000000000009E-2</v>
      </c>
      <c r="AC25" s="23">
        <f t="shared" si="106"/>
        <v>1.0000000000000009E-2</v>
      </c>
      <c r="AD25" s="23">
        <f t="shared" si="106"/>
        <v>1.0000000000000009E-2</v>
      </c>
      <c r="AE25" s="23">
        <f t="shared" si="106"/>
        <v>1.0000000000000009E-2</v>
      </c>
      <c r="AF25" s="23">
        <f t="shared" si="106"/>
        <v>1.0000000000000009E-2</v>
      </c>
      <c r="AG25" s="23">
        <f t="shared" si="106"/>
        <v>1.0000000000000009E-2</v>
      </c>
      <c r="AH25" s="23">
        <f t="shared" si="106"/>
        <v>1.0000000000000009E-2</v>
      </c>
      <c r="AI25" s="23">
        <f t="shared" si="106"/>
        <v>1.0000000000000009E-2</v>
      </c>
      <c r="AK25" t="s">
        <v>49</v>
      </c>
      <c r="AL25" s="23">
        <v>-0.01</v>
      </c>
    </row>
    <row r="26" spans="2:113" s="14" customFormat="1" x14ac:dyDescent="0.2">
      <c r="B26" s="18" t="s">
        <v>47</v>
      </c>
      <c r="C26" s="15"/>
      <c r="D26" s="15"/>
      <c r="E26" s="15"/>
      <c r="F26" s="15"/>
      <c r="G26" s="15"/>
      <c r="H26" s="15"/>
      <c r="I26" s="22">
        <f>I11/E11-1</f>
        <v>0.1118388435143387</v>
      </c>
      <c r="J26" s="22">
        <f>J11/F11-1</f>
        <v>3.8821607718609652E-2</v>
      </c>
      <c r="K26" s="22">
        <f>K11/G11-1</f>
        <v>8.6345751576932805E-2</v>
      </c>
      <c r="L26" s="22">
        <f>L11/H11-1</f>
        <v>0.1420656964706799</v>
      </c>
      <c r="M26" s="22">
        <f t="shared" ref="M26:R26" si="107">M11/I11-1</f>
        <v>0.12584459855899</v>
      </c>
      <c r="N26" s="22">
        <f t="shared" si="107"/>
        <v>0.14652972738286985</v>
      </c>
      <c r="O26" s="22">
        <f t="shared" si="107"/>
        <v>0.12745409362816562</v>
      </c>
      <c r="P26" s="22">
        <f t="shared" si="107"/>
        <v>8.932813168188769E-2</v>
      </c>
      <c r="Q26" s="22">
        <f t="shared" si="107"/>
        <v>8.6925868667315109E-2</v>
      </c>
      <c r="R26" s="22">
        <f t="shared" si="107"/>
        <v>8.6601188956227038E-2</v>
      </c>
      <c r="Z26" s="24">
        <f>Z11/Y11-1</f>
        <v>0.12603164395008193</v>
      </c>
      <c r="AA26" s="24">
        <f t="shared" ref="AA26:AI26" si="108">AA11/Z11-1</f>
        <v>0.1636177417686544</v>
      </c>
      <c r="AB26" s="24">
        <f t="shared" si="108"/>
        <v>0.14621281728663971</v>
      </c>
      <c r="AC26" s="24">
        <f t="shared" si="108"/>
        <v>0.13211168607948465</v>
      </c>
      <c r="AD26" s="24">
        <f t="shared" si="108"/>
        <v>0.12150633551830947</v>
      </c>
      <c r="AE26" s="24">
        <f t="shared" si="108"/>
        <v>4.4914610529071863E-2</v>
      </c>
      <c r="AF26" s="24">
        <f t="shared" si="108"/>
        <v>4.305027316331711E-2</v>
      </c>
      <c r="AG26" s="24">
        <f t="shared" si="108"/>
        <v>3.7705469467399944E-2</v>
      </c>
      <c r="AH26" s="24">
        <f t="shared" si="108"/>
        <v>3.954762614086893E-2</v>
      </c>
      <c r="AI26" s="24">
        <f t="shared" si="108"/>
        <v>-0.32521606778387302</v>
      </c>
      <c r="AK26" s="14" t="s">
        <v>50</v>
      </c>
      <c r="AL26" s="24">
        <v>0.03</v>
      </c>
    </row>
    <row r="27" spans="2:113" x14ac:dyDescent="0.2">
      <c r="AK27" t="s">
        <v>51</v>
      </c>
      <c r="AL27" s="23">
        <v>0.06</v>
      </c>
    </row>
    <row r="28" spans="2:113" x14ac:dyDescent="0.2">
      <c r="B28" t="s">
        <v>33</v>
      </c>
      <c r="E28" s="20">
        <f t="shared" ref="E28:J28" si="109">+E13/E11</f>
        <v>0.91195235237324856</v>
      </c>
      <c r="F28" s="20">
        <f t="shared" si="109"/>
        <v>0.91220873889962273</v>
      </c>
      <c r="G28" s="20">
        <f t="shared" si="109"/>
        <v>0.9085104250524566</v>
      </c>
      <c r="H28" s="20">
        <f t="shared" si="109"/>
        <v>0.93464210914255408</v>
      </c>
      <c r="I28" s="20">
        <f t="shared" si="109"/>
        <v>0.91672827336947593</v>
      </c>
      <c r="J28" s="20">
        <f>+J13/J11</f>
        <v>0.92950619131016399</v>
      </c>
      <c r="K28" s="20">
        <f>+K13/K11</f>
        <v>0.93024314752537118</v>
      </c>
      <c r="L28" s="20">
        <f>+L13/L11</f>
        <v>0.93708695275749609</v>
      </c>
      <c r="M28" s="20">
        <f t="shared" ref="M28:R28" si="110">+M13/M11</f>
        <v>0.94</v>
      </c>
      <c r="N28" s="20">
        <f t="shared" si="110"/>
        <v>0.94</v>
      </c>
      <c r="O28" s="20">
        <f t="shared" si="110"/>
        <v>0.94</v>
      </c>
      <c r="P28" s="20">
        <f t="shared" si="110"/>
        <v>0.94</v>
      </c>
      <c r="Q28" s="20">
        <f t="shared" si="110"/>
        <v>0.94</v>
      </c>
      <c r="R28" s="20">
        <f t="shared" si="110"/>
        <v>0.94</v>
      </c>
      <c r="Y28" s="20">
        <f t="shared" ref="Y28:AA28" si="111">+Y13/Y11</f>
        <v>0.92261038056224198</v>
      </c>
      <c r="Z28" s="20">
        <f t="shared" si="111"/>
        <v>0.93705803193132764</v>
      </c>
      <c r="AA28" s="20">
        <f t="shared" si="111"/>
        <v>0.94345651955194243</v>
      </c>
      <c r="AB28" s="20">
        <f t="shared" ref="AB28:AI28" si="112">+AB13/AB11</f>
        <v>0.94</v>
      </c>
      <c r="AC28" s="20">
        <f t="shared" si="112"/>
        <v>0.94</v>
      </c>
      <c r="AD28" s="20">
        <f t="shared" si="112"/>
        <v>0.94000000000000006</v>
      </c>
      <c r="AE28" s="20">
        <f t="shared" si="112"/>
        <v>0.94000000000000006</v>
      </c>
      <c r="AF28" s="20">
        <f t="shared" si="112"/>
        <v>0.94</v>
      </c>
      <c r="AG28" s="20">
        <f t="shared" si="112"/>
        <v>0.94</v>
      </c>
      <c r="AH28" s="20">
        <f t="shared" si="112"/>
        <v>0.94</v>
      </c>
      <c r="AI28" s="20">
        <f t="shared" si="112"/>
        <v>0.94</v>
      </c>
      <c r="AK28" t="s">
        <v>52</v>
      </c>
      <c r="AL28" s="2">
        <f>NPV(AL27,AA21:DI21)</f>
        <v>19038.617947394938</v>
      </c>
    </row>
    <row r="29" spans="2:113" x14ac:dyDescent="0.2">
      <c r="B29" t="s">
        <v>34</v>
      </c>
      <c r="E29" s="20">
        <f t="shared" ref="E29:J29" si="113">+E17/E11</f>
        <v>0.53383738225086774</v>
      </c>
      <c r="F29" s="20">
        <f t="shared" si="113"/>
        <v>0.51526778041213861</v>
      </c>
      <c r="G29" s="20">
        <f t="shared" si="113"/>
        <v>0.45727328865222766</v>
      </c>
      <c r="H29" s="20">
        <f t="shared" si="113"/>
        <v>0.53024896103935026</v>
      </c>
      <c r="I29" s="20">
        <f t="shared" si="113"/>
        <v>0.46251672181933401</v>
      </c>
      <c r="J29" s="20">
        <f>+J17/J11</f>
        <v>0.47477272127223291</v>
      </c>
      <c r="K29" s="20">
        <f>+K17/K11</f>
        <v>0.45401624951638347</v>
      </c>
      <c r="L29" s="20">
        <f>+L17/L11</f>
        <v>0.51283315974089683</v>
      </c>
      <c r="M29" s="20">
        <f t="shared" ref="M29:R29" si="114">+M17/M11</f>
        <v>0.66346670092339421</v>
      </c>
      <c r="N29" s="20">
        <f t="shared" si="114"/>
        <v>0.61232291670398031</v>
      </c>
      <c r="O29" s="20">
        <f t="shared" si="114"/>
        <v>0.5933055147763866</v>
      </c>
      <c r="P29" s="20">
        <f t="shared" si="114"/>
        <v>0.63877762883017575</v>
      </c>
      <c r="Q29" s="20">
        <f t="shared" si="114"/>
        <v>0.68049383385825768</v>
      </c>
      <c r="R29" s="20">
        <f t="shared" si="114"/>
        <v>0.63240727107707562</v>
      </c>
      <c r="Y29" s="20">
        <f t="shared" ref="Y29:AA29" si="115">+Y17/Y11</f>
        <v>0.48150932629228632</v>
      </c>
      <c r="Z29" s="20">
        <f t="shared" si="115"/>
        <v>0.56440209788358142</v>
      </c>
      <c r="AA29" s="20">
        <f t="shared" si="115"/>
        <v>0.65812920706856737</v>
      </c>
      <c r="AB29" s="20">
        <f t="shared" ref="AB29:AI29" si="116">+AB17/AB11</f>
        <v>0.65999999999999992</v>
      </c>
      <c r="AC29" s="20">
        <f t="shared" si="116"/>
        <v>0.66</v>
      </c>
      <c r="AD29" s="20">
        <f t="shared" si="116"/>
        <v>0.65999999999999992</v>
      </c>
      <c r="AE29" s="20">
        <f t="shared" si="116"/>
        <v>0.65999999999999992</v>
      </c>
      <c r="AF29" s="20">
        <f t="shared" si="116"/>
        <v>0.65999999999999992</v>
      </c>
      <c r="AG29" s="20">
        <f t="shared" si="116"/>
        <v>0.65999999999999992</v>
      </c>
      <c r="AH29" s="20">
        <f t="shared" si="116"/>
        <v>0.65999999999999992</v>
      </c>
      <c r="AI29" s="20">
        <f t="shared" si="116"/>
        <v>0.66</v>
      </c>
      <c r="AK29" t="s">
        <v>54</v>
      </c>
      <c r="AL29" s="1">
        <f>AL28/Main!$M$3</f>
        <v>314.52154145567533</v>
      </c>
    </row>
    <row r="30" spans="2:113" x14ac:dyDescent="0.2">
      <c r="B30" t="s">
        <v>48</v>
      </c>
      <c r="E30" s="20">
        <f t="shared" ref="E30:J30" si="117">+E20/E19</f>
        <v>0.16240880806780386</v>
      </c>
      <c r="F30" s="20">
        <f t="shared" si="117"/>
        <v>0.22068463219227971</v>
      </c>
      <c r="G30" s="20">
        <f t="shared" si="117"/>
        <v>0.25608070867714139</v>
      </c>
      <c r="H30" s="20">
        <f t="shared" si="117"/>
        <v>0.19016859335927075</v>
      </c>
      <c r="I30" s="20">
        <f t="shared" si="117"/>
        <v>0.20650442386334639</v>
      </c>
      <c r="J30" s="20">
        <f>+J20/J19</f>
        <v>9.1879356550447433E-2</v>
      </c>
      <c r="K30" s="20">
        <f>+K20/K19</f>
        <v>0.24244453627050053</v>
      </c>
      <c r="L30" s="20">
        <f t="shared" ref="L30:R30" si="118">+L20/L19</f>
        <v>0.247241629442981</v>
      </c>
      <c r="M30" s="20">
        <f t="shared" si="118"/>
        <v>0.2</v>
      </c>
      <c r="N30" s="20">
        <f t="shared" si="118"/>
        <v>0.2</v>
      </c>
      <c r="O30" s="20">
        <f t="shared" si="118"/>
        <v>0.2</v>
      </c>
      <c r="P30" s="20">
        <f t="shared" si="118"/>
        <v>0.2</v>
      </c>
      <c r="Q30" s="20">
        <f t="shared" si="118"/>
        <v>0.2</v>
      </c>
      <c r="R30" s="20">
        <f t="shared" si="118"/>
        <v>0.2</v>
      </c>
      <c r="Y30" s="20">
        <f t="shared" ref="Y30:AA30" si="119">+Y20/Y19</f>
        <v>0.18313459142013269</v>
      </c>
      <c r="Z30" s="20">
        <f t="shared" si="119"/>
        <v>0.21835678269157674</v>
      </c>
      <c r="AA30" s="20">
        <f t="shared" si="119"/>
        <v>0.18201325115246425</v>
      </c>
      <c r="AB30" s="20">
        <f t="shared" ref="AB30:AI30" si="120">+AB20/AB19</f>
        <v>0.25</v>
      </c>
      <c r="AC30" s="20">
        <f t="shared" si="120"/>
        <v>0.25</v>
      </c>
      <c r="AD30" s="20">
        <f t="shared" si="120"/>
        <v>0.25</v>
      </c>
      <c r="AE30" s="20">
        <f t="shared" si="120"/>
        <v>0.25</v>
      </c>
      <c r="AF30" s="20">
        <f t="shared" si="120"/>
        <v>0.25</v>
      </c>
      <c r="AG30" s="20">
        <f t="shared" si="120"/>
        <v>0.25</v>
      </c>
      <c r="AH30" s="20">
        <f t="shared" si="120"/>
        <v>0.25</v>
      </c>
      <c r="AI30" s="20">
        <f t="shared" si="120"/>
        <v>0.25</v>
      </c>
    </row>
    <row r="32" spans="2:113" x14ac:dyDescent="0.2">
      <c r="B32" t="s">
        <v>53</v>
      </c>
      <c r="M32" s="17">
        <f>M21</f>
        <v>194.7975088</v>
      </c>
      <c r="N32" s="17">
        <f>M32+N21</f>
        <v>378.15213919999997</v>
      </c>
      <c r="O32" s="17">
        <f t="shared" ref="O32:R32" si="121">N32+O21</f>
        <v>550.66765839999994</v>
      </c>
      <c r="P32" s="17">
        <f t="shared" si="121"/>
        <v>756.35203919999992</v>
      </c>
      <c r="Q32" s="17">
        <f t="shared" si="121"/>
        <v>977.73785255999996</v>
      </c>
      <c r="R32" s="17">
        <f t="shared" si="121"/>
        <v>1187.69588808</v>
      </c>
      <c r="AA32" s="16">
        <f>+R32</f>
        <v>1187.69588808</v>
      </c>
      <c r="AB32" s="16">
        <f>+AA32+AB21</f>
        <v>2199.2976253540501</v>
      </c>
      <c r="AC32" s="16">
        <f t="shared" ref="AC32:AI32" si="122">+AB32+AC21</f>
        <v>3363.7743714766884</v>
      </c>
      <c r="AD32" s="16">
        <f t="shared" si="122"/>
        <v>4689.930503213388</v>
      </c>
      <c r="AE32" s="16">
        <f t="shared" si="122"/>
        <v>6102.0895752163005</v>
      </c>
      <c r="AF32" s="16">
        <f t="shared" si="122"/>
        <v>7602.2732473802535</v>
      </c>
      <c r="AG32" s="16">
        <f t="shared" si="122"/>
        <v>9187.5993333904371</v>
      </c>
      <c r="AH32" s="16">
        <f t="shared" si="122"/>
        <v>10864.526472842066</v>
      </c>
      <c r="AI32" s="16">
        <f t="shared" si="122"/>
        <v>12101.049808549365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2016-09-01T18:23:32Z</dcterms:created>
  <dcterms:modified xsi:type="dcterms:W3CDTF">2016-09-01T19:00:09Z</dcterms:modified>
</cp:coreProperties>
</file>