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1600" windowHeight="12225" activeTab="1"/>
  </bookViews>
  <sheets>
    <sheet name="Main" sheetId="1" r:id="rId1"/>
    <sheet name="Model" sheetId="2" r:id="rId2"/>
    <sheet name="Xarelto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2" i="2" l="1"/>
  <c r="I52" i="2"/>
  <c r="H52" i="2"/>
  <c r="G52" i="2"/>
  <c r="F52" i="2"/>
  <c r="J4" i="2"/>
  <c r="F4" i="2"/>
  <c r="Z98" i="2"/>
  <c r="Z86" i="2"/>
  <c r="Z75" i="2" s="1"/>
  <c r="Z81" i="2"/>
  <c r="Z76" i="2"/>
  <c r="Z84" i="2"/>
  <c r="AP19" i="2"/>
  <c r="AP59" i="2"/>
  <c r="AC59" i="2"/>
  <c r="AC54" i="2"/>
  <c r="AC4" i="2"/>
  <c r="AE11" i="2"/>
  <c r="AF11" i="2" s="1"/>
  <c r="AG11" i="2" s="1"/>
  <c r="AH11" i="2" s="1"/>
  <c r="AD11" i="2"/>
  <c r="AD6" i="2"/>
  <c r="AD13" i="2"/>
  <c r="AG51" i="2"/>
  <c r="AF51" i="2"/>
  <c r="AE51" i="2"/>
  <c r="AG50" i="2"/>
  <c r="AF50" i="2"/>
  <c r="AE50" i="2"/>
  <c r="AG49" i="2"/>
  <c r="AF49" i="2"/>
  <c r="AE49" i="2"/>
  <c r="AG48" i="2"/>
  <c r="AF48" i="2"/>
  <c r="AE48" i="2"/>
  <c r="AG47" i="2"/>
  <c r="AF47" i="2"/>
  <c r="AE47" i="2"/>
  <c r="AG46" i="2"/>
  <c r="AF46" i="2"/>
  <c r="AE46" i="2"/>
  <c r="AG44" i="2"/>
  <c r="AF44" i="2"/>
  <c r="AE44" i="2"/>
  <c r="AG43" i="2"/>
  <c r="AF43" i="2"/>
  <c r="AE43" i="2"/>
  <c r="AG42" i="2"/>
  <c r="AF42" i="2"/>
  <c r="AE42" i="2"/>
  <c r="AD15" i="2"/>
  <c r="AE15" i="2" s="1"/>
  <c r="AF15" i="2" s="1"/>
  <c r="AG15" i="2" s="1"/>
  <c r="AH15" i="2" s="1"/>
  <c r="AG56" i="2"/>
  <c r="AG57" i="2" s="1"/>
  <c r="AF56" i="2"/>
  <c r="AE56" i="2"/>
  <c r="AG55" i="2"/>
  <c r="AF55" i="2"/>
  <c r="AE55" i="2"/>
  <c r="AF57" i="2"/>
  <c r="AE57" i="2"/>
  <c r="W70" i="2"/>
  <c r="V70" i="2"/>
  <c r="U70" i="2"/>
  <c r="T70" i="2"/>
  <c r="S70" i="2"/>
  <c r="R70" i="2"/>
  <c r="Q70" i="2"/>
  <c r="P70" i="2"/>
  <c r="O70" i="2"/>
  <c r="W69" i="2"/>
  <c r="V69" i="2"/>
  <c r="U69" i="2"/>
  <c r="T69" i="2"/>
  <c r="S69" i="2"/>
  <c r="R69" i="2"/>
  <c r="Q69" i="2"/>
  <c r="P69" i="2"/>
  <c r="O69" i="2"/>
  <c r="AA70" i="2"/>
  <c r="Z70" i="2"/>
  <c r="Y70" i="2"/>
  <c r="X70" i="2"/>
  <c r="AA69" i="2"/>
  <c r="Z69" i="2"/>
  <c r="Y69" i="2"/>
  <c r="X69" i="2"/>
  <c r="AC70" i="2"/>
  <c r="AB70" i="2"/>
  <c r="AC69" i="2"/>
  <c r="AB69" i="2"/>
  <c r="AG68" i="2"/>
  <c r="AF68" i="2"/>
  <c r="AE68" i="2"/>
  <c r="AG3" i="2"/>
  <c r="AF3" i="2"/>
  <c r="AE3" i="2"/>
  <c r="Z96" i="2" l="1"/>
  <c r="AN68" i="2"/>
  <c r="AM68" i="2"/>
  <c r="AL64" i="2"/>
  <c r="AM64" i="2"/>
  <c r="AM61" i="2"/>
  <c r="AL61" i="2"/>
  <c r="AM59" i="2"/>
  <c r="AL59" i="2"/>
  <c r="AM56" i="2"/>
  <c r="AL56" i="2"/>
  <c r="AM55" i="2"/>
  <c r="AL55" i="2"/>
  <c r="AM53" i="2"/>
  <c r="AL53" i="2"/>
  <c r="AM51" i="2"/>
  <c r="AL51" i="2"/>
  <c r="AM50" i="2"/>
  <c r="AL50" i="2"/>
  <c r="AM49" i="2"/>
  <c r="AL49" i="2"/>
  <c r="AM48" i="2"/>
  <c r="AL48" i="2"/>
  <c r="AM47" i="2"/>
  <c r="AL47" i="2"/>
  <c r="AM46" i="2"/>
  <c r="AL46" i="2"/>
  <c r="AM45" i="2"/>
  <c r="AL45" i="2"/>
  <c r="AM44" i="2"/>
  <c r="AL44" i="2"/>
  <c r="AM43" i="2"/>
  <c r="AL43" i="2"/>
  <c r="AM42" i="2"/>
  <c r="AL42" i="2"/>
  <c r="AM38" i="2"/>
  <c r="AL38" i="2"/>
  <c r="AM37" i="2"/>
  <c r="AL37" i="2"/>
  <c r="AM36" i="2"/>
  <c r="AL36" i="2"/>
  <c r="AM31" i="2"/>
  <c r="AL31" i="2"/>
  <c r="AM22" i="2"/>
  <c r="AL22" i="2"/>
  <c r="AM21" i="2"/>
  <c r="AL21" i="2"/>
  <c r="AM20" i="2"/>
  <c r="AL20" i="2"/>
  <c r="AM19" i="2"/>
  <c r="AL19" i="2"/>
  <c r="AM18" i="2"/>
  <c r="AL18" i="2"/>
  <c r="AM17" i="2"/>
  <c r="AL17" i="2"/>
  <c r="AM16" i="2"/>
  <c r="AL16" i="2"/>
  <c r="AM15" i="2"/>
  <c r="AL15" i="2"/>
  <c r="AM14" i="2"/>
  <c r="AL14" i="2"/>
  <c r="AM13" i="2"/>
  <c r="AL13" i="2"/>
  <c r="AM12" i="2"/>
  <c r="AL12" i="2"/>
  <c r="AM11" i="2"/>
  <c r="AL11" i="2"/>
  <c r="AM10" i="2"/>
  <c r="AL10" i="2"/>
  <c r="AM9" i="2"/>
  <c r="AL9" i="2"/>
  <c r="AM8" i="2"/>
  <c r="AL8" i="2"/>
  <c r="AM7" i="2"/>
  <c r="AL7" i="2"/>
  <c r="AM6" i="2"/>
  <c r="AL6" i="2"/>
  <c r="AM5" i="2"/>
  <c r="AL5" i="2"/>
  <c r="AM4" i="2"/>
  <c r="AL4" i="2"/>
  <c r="AL3" i="2"/>
  <c r="AM3" i="2"/>
  <c r="AB127" i="2"/>
  <c r="AB126" i="2"/>
  <c r="AB125" i="2"/>
  <c r="AB124" i="2"/>
  <c r="AB123" i="2"/>
  <c r="AB122" i="2"/>
  <c r="AB121" i="2"/>
  <c r="AB120" i="2"/>
  <c r="AB118" i="2"/>
  <c r="AB117" i="2"/>
  <c r="AB116" i="2"/>
  <c r="AB115" i="2"/>
  <c r="AB114" i="2"/>
  <c r="AB113" i="2"/>
  <c r="AB111" i="2"/>
  <c r="AB110" i="2"/>
  <c r="AB109" i="2"/>
  <c r="AB108" i="2"/>
  <c r="AB107" i="2"/>
  <c r="AB106" i="2"/>
  <c r="AB105" i="2"/>
  <c r="AB104" i="2"/>
  <c r="AB103" i="2"/>
  <c r="AB102" i="2"/>
  <c r="AB101" i="2"/>
  <c r="AB100" i="2"/>
  <c r="AB99" i="2"/>
  <c r="AB130" i="2"/>
  <c r="AA125" i="2"/>
  <c r="AA123" i="2"/>
  <c r="AA122" i="2"/>
  <c r="AA118" i="2"/>
  <c r="AA116" i="2"/>
  <c r="AA111" i="2"/>
  <c r="AA127" i="2" s="1"/>
  <c r="O68" i="2"/>
  <c r="O66" i="2"/>
  <c r="K59" i="2"/>
  <c r="K57" i="2"/>
  <c r="K54" i="2"/>
  <c r="K72" i="2" s="1"/>
  <c r="O59" i="2"/>
  <c r="O57" i="2"/>
  <c r="O54" i="2"/>
  <c r="O58" i="2" s="1"/>
  <c r="K52" i="2"/>
  <c r="K4" i="2"/>
  <c r="O4" i="2"/>
  <c r="L59" i="2"/>
  <c r="L57" i="2"/>
  <c r="P68" i="2"/>
  <c r="P59" i="2"/>
  <c r="P57" i="2"/>
  <c r="P58" i="2" s="1"/>
  <c r="P54" i="2"/>
  <c r="L4" i="2"/>
  <c r="P4" i="2"/>
  <c r="L52" i="2"/>
  <c r="L54" i="2" s="1"/>
  <c r="L72" i="2" s="1"/>
  <c r="R73" i="2"/>
  <c r="Q73" i="2"/>
  <c r="N73" i="2"/>
  <c r="R72" i="2"/>
  <c r="Q72" i="2"/>
  <c r="N72" i="2"/>
  <c r="N60" i="2"/>
  <c r="N62" i="2" s="1"/>
  <c r="N63" i="2" s="1"/>
  <c r="N59" i="2"/>
  <c r="N54" i="2"/>
  <c r="R60" i="2"/>
  <c r="R62" i="2" s="1"/>
  <c r="R63" i="2" s="1"/>
  <c r="R59" i="2"/>
  <c r="R54" i="2"/>
  <c r="N4" i="2"/>
  <c r="R4" i="2"/>
  <c r="Q68" i="2"/>
  <c r="Q66" i="2"/>
  <c r="R68" i="2"/>
  <c r="S68" i="2"/>
  <c r="T68" i="2"/>
  <c r="U68" i="2"/>
  <c r="U66" i="2"/>
  <c r="V68" i="2"/>
  <c r="M73" i="2"/>
  <c r="M72" i="2"/>
  <c r="M59" i="2"/>
  <c r="M57" i="2"/>
  <c r="M54" i="2"/>
  <c r="Q63" i="2"/>
  <c r="Q62" i="2"/>
  <c r="Q60" i="2"/>
  <c r="Q59" i="2"/>
  <c r="N57" i="2"/>
  <c r="R57" i="2"/>
  <c r="R58" i="2" s="1"/>
  <c r="Q57" i="2"/>
  <c r="Q58" i="2" s="1"/>
  <c r="Q54" i="2"/>
  <c r="M4" i="2"/>
  <c r="M52" i="2" s="1"/>
  <c r="Q4" i="2"/>
  <c r="Q52" i="2"/>
  <c r="P52" i="2"/>
  <c r="O52" i="2"/>
  <c r="S66" i="2" s="1"/>
  <c r="N52" i="2"/>
  <c r="AB96" i="2"/>
  <c r="AB86" i="2"/>
  <c r="AB84" i="2"/>
  <c r="AB81" i="2"/>
  <c r="AB76" i="2"/>
  <c r="AM52" i="2" l="1"/>
  <c r="AL52" i="2"/>
  <c r="AL54" i="2" s="1"/>
  <c r="AL58" i="2" s="1"/>
  <c r="AL60" i="2" s="1"/>
  <c r="AL62" i="2" s="1"/>
  <c r="AL63" i="2" s="1"/>
  <c r="AM69" i="2"/>
  <c r="AL57" i="2"/>
  <c r="AM57" i="2"/>
  <c r="AM54" i="2"/>
  <c r="AM72" i="2" s="1"/>
  <c r="AA130" i="2"/>
  <c r="P66" i="2"/>
  <c r="K58" i="2"/>
  <c r="K60" i="2" s="1"/>
  <c r="O60" i="2"/>
  <c r="O62" i="2"/>
  <c r="O63" i="2" s="1"/>
  <c r="O73" i="2"/>
  <c r="L58" i="2"/>
  <c r="L60" i="2" s="1"/>
  <c r="P60" i="2"/>
  <c r="P62" i="2"/>
  <c r="P63" i="2" s="1"/>
  <c r="P73" i="2"/>
  <c r="P72" i="2"/>
  <c r="O72" i="2"/>
  <c r="T66" i="2"/>
  <c r="N58" i="2"/>
  <c r="M58" i="2"/>
  <c r="M60" i="2" s="1"/>
  <c r="M62" i="2" s="1"/>
  <c r="M63" i="2" s="1"/>
  <c r="AB75" i="2"/>
  <c r="R52" i="2"/>
  <c r="AB59" i="2"/>
  <c r="AB4" i="2"/>
  <c r="K62" i="2" l="1"/>
  <c r="K63" i="2" s="1"/>
  <c r="K73" i="2"/>
  <c r="AM66" i="2"/>
  <c r="AM58" i="2"/>
  <c r="AM60" i="2" s="1"/>
  <c r="AM73" i="2" s="1"/>
  <c r="L62" i="2"/>
  <c r="L63" i="2" s="1"/>
  <c r="L73" i="2"/>
  <c r="V66" i="2"/>
  <c r="R66" i="2"/>
  <c r="AO64" i="2"/>
  <c r="AN64" i="2"/>
  <c r="AO56" i="2"/>
  <c r="AN56" i="2"/>
  <c r="AN51" i="2"/>
  <c r="AN50" i="2"/>
  <c r="AN49" i="2"/>
  <c r="AN48" i="2"/>
  <c r="AN47" i="2"/>
  <c r="AN46" i="2"/>
  <c r="AN45" i="2"/>
  <c r="AN44" i="2"/>
  <c r="AN43" i="2"/>
  <c r="AN42" i="2"/>
  <c r="AN41" i="2"/>
  <c r="AN40" i="2"/>
  <c r="AN39" i="2"/>
  <c r="AN37" i="2"/>
  <c r="AN36" i="2"/>
  <c r="AN35" i="2"/>
  <c r="AN34" i="2"/>
  <c r="AN33" i="2"/>
  <c r="AN32" i="2"/>
  <c r="AN31" i="2"/>
  <c r="AN20" i="2"/>
  <c r="AN19" i="2"/>
  <c r="AN18" i="2"/>
  <c r="AN17" i="2"/>
  <c r="AN16" i="2"/>
  <c r="AN15" i="2"/>
  <c r="AN14" i="2"/>
  <c r="AN12" i="2"/>
  <c r="AN13" i="2"/>
  <c r="AN11" i="2"/>
  <c r="AN10" i="2"/>
  <c r="AN9" i="2"/>
  <c r="AN8" i="2"/>
  <c r="AN7" i="2"/>
  <c r="AN6" i="2"/>
  <c r="AN5" i="2"/>
  <c r="AN69" i="2" s="1"/>
  <c r="AN3" i="2"/>
  <c r="W68" i="2"/>
  <c r="S59" i="2"/>
  <c r="S57" i="2"/>
  <c r="S4" i="2"/>
  <c r="AM62" i="2" l="1"/>
  <c r="AM63" i="2" s="1"/>
  <c r="BH74" i="2"/>
  <c r="BD30" i="2"/>
  <c r="BD29" i="2"/>
  <c r="AY28" i="2"/>
  <c r="AZ28" i="2" s="1"/>
  <c r="BA28" i="2" s="1"/>
  <c r="BB28" i="2" s="1"/>
  <c r="BC28" i="2" s="1"/>
  <c r="BD28" i="2" s="1"/>
  <c r="AO51" i="2"/>
  <c r="AO50" i="2"/>
  <c r="AO49" i="2"/>
  <c r="AO48" i="2"/>
  <c r="AO47" i="2"/>
  <c r="AO46" i="2"/>
  <c r="AO45" i="2"/>
  <c r="AO44" i="2"/>
  <c r="AO43" i="2"/>
  <c r="AO42" i="2"/>
  <c r="AO41" i="2"/>
  <c r="AO40" i="2"/>
  <c r="AO39" i="2"/>
  <c r="AO37" i="2"/>
  <c r="AO36" i="2"/>
  <c r="AO35" i="2"/>
  <c r="AO34" i="2"/>
  <c r="AO33" i="2"/>
  <c r="AO32" i="2"/>
  <c r="AO19" i="2"/>
  <c r="AO18" i="2"/>
  <c r="AO17" i="2"/>
  <c r="AO16" i="2"/>
  <c r="AO15" i="2"/>
  <c r="AO14" i="2"/>
  <c r="AO12" i="2"/>
  <c r="AO13" i="2"/>
  <c r="AO11" i="2"/>
  <c r="AO10" i="2"/>
  <c r="AO9" i="2"/>
  <c r="AO8" i="2"/>
  <c r="AO7" i="2"/>
  <c r="AO6" i="2"/>
  <c r="AO5" i="2"/>
  <c r="AO69" i="2" s="1"/>
  <c r="AO3" i="2"/>
  <c r="AO68" i="2" s="1"/>
  <c r="AK2" i="2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AD64" i="2"/>
  <c r="AE64" i="2" s="1"/>
  <c r="AF64" i="2" s="1"/>
  <c r="AG64" i="2" s="1"/>
  <c r="AH64" i="2" s="1"/>
  <c r="AD56" i="2"/>
  <c r="AH56" i="2" s="1"/>
  <c r="AD55" i="2"/>
  <c r="AH55" i="2" s="1"/>
  <c r="AD34" i="2"/>
  <c r="AE34" i="2" s="1"/>
  <c r="AF34" i="2" s="1"/>
  <c r="AG34" i="2" s="1"/>
  <c r="AH34" i="2" s="1"/>
  <c r="AD33" i="2"/>
  <c r="AE33" i="2" s="1"/>
  <c r="AF33" i="2" s="1"/>
  <c r="AG33" i="2" s="1"/>
  <c r="AH33" i="2" s="1"/>
  <c r="AD32" i="2"/>
  <c r="AE32" i="2" s="1"/>
  <c r="AF32" i="2" s="1"/>
  <c r="AG32" i="2" s="1"/>
  <c r="AH32" i="2" s="1"/>
  <c r="AD40" i="2"/>
  <c r="AE40" i="2" s="1"/>
  <c r="AF40" i="2" s="1"/>
  <c r="AG40" i="2" s="1"/>
  <c r="AH40" i="2" s="1"/>
  <c r="AD39" i="2"/>
  <c r="AD41" i="2"/>
  <c r="AE41" i="2" s="1"/>
  <c r="AF41" i="2" s="1"/>
  <c r="AG41" i="2" s="1"/>
  <c r="AH41" i="2" s="1"/>
  <c r="AD42" i="2"/>
  <c r="AH42" i="2" s="1"/>
  <c r="AD44" i="2"/>
  <c r="AH44" i="2" s="1"/>
  <c r="AD43" i="2"/>
  <c r="AH43" i="2" s="1"/>
  <c r="T59" i="2"/>
  <c r="T57" i="2"/>
  <c r="X59" i="2"/>
  <c r="X57" i="2"/>
  <c r="T4" i="2"/>
  <c r="X4" i="2"/>
  <c r="X52" i="2" s="1"/>
  <c r="AD8" i="2"/>
  <c r="AE8" i="2" s="1"/>
  <c r="AF8" i="2" s="1"/>
  <c r="AG8" i="2" s="1"/>
  <c r="AH8" i="2" s="1"/>
  <c r="AD4" i="2"/>
  <c r="AE4" i="2" s="1"/>
  <c r="AF4" i="2" s="1"/>
  <c r="AG4" i="2" s="1"/>
  <c r="AH4" i="2" s="1"/>
  <c r="AD7" i="2"/>
  <c r="AE7" i="2" s="1"/>
  <c r="AF7" i="2" s="1"/>
  <c r="AG7" i="2" s="1"/>
  <c r="AH7" i="2" s="1"/>
  <c r="AD9" i="2"/>
  <c r="AE9" i="2" s="1"/>
  <c r="AF9" i="2" s="1"/>
  <c r="AG9" i="2" s="1"/>
  <c r="AH9" i="2" s="1"/>
  <c r="AE13" i="2"/>
  <c r="AF13" i="2" s="1"/>
  <c r="AG13" i="2" s="1"/>
  <c r="AH13" i="2" s="1"/>
  <c r="AD12" i="2"/>
  <c r="AE12" i="2" s="1"/>
  <c r="AF12" i="2" s="1"/>
  <c r="AG12" i="2" s="1"/>
  <c r="AH12" i="2" s="1"/>
  <c r="AD17" i="2"/>
  <c r="AE17" i="2" s="1"/>
  <c r="AF17" i="2" s="1"/>
  <c r="AG17" i="2" s="1"/>
  <c r="AH17" i="2" s="1"/>
  <c r="AD19" i="2"/>
  <c r="AE19" i="2" s="1"/>
  <c r="AF19" i="2" s="1"/>
  <c r="AG19" i="2" s="1"/>
  <c r="AH19" i="2" s="1"/>
  <c r="AD10" i="2"/>
  <c r="AD45" i="2"/>
  <c r="AE45" i="2" s="1"/>
  <c r="AF45" i="2" s="1"/>
  <c r="AG45" i="2" s="1"/>
  <c r="AH45" i="2" s="1"/>
  <c r="AD46" i="2"/>
  <c r="AH46" i="2" s="1"/>
  <c r="AP46" i="2"/>
  <c r="AQ46" i="2" s="1"/>
  <c r="AR46" i="2" s="1"/>
  <c r="AS46" i="2" s="1"/>
  <c r="AT46" i="2" s="1"/>
  <c r="AU46" i="2" s="1"/>
  <c r="AV46" i="2" s="1"/>
  <c r="AW46" i="2" s="1"/>
  <c r="AX46" i="2" s="1"/>
  <c r="AY46" i="2" s="1"/>
  <c r="AZ46" i="2" s="1"/>
  <c r="BA46" i="2" s="1"/>
  <c r="BB46" i="2" s="1"/>
  <c r="BC46" i="2" s="1"/>
  <c r="BD46" i="2" s="1"/>
  <c r="AD47" i="2"/>
  <c r="AH47" i="2" s="1"/>
  <c r="AD51" i="2"/>
  <c r="AH51" i="2" s="1"/>
  <c r="AD50" i="2"/>
  <c r="AH50" i="2" s="1"/>
  <c r="AD49" i="2"/>
  <c r="AH49" i="2" s="1"/>
  <c r="AD48" i="2"/>
  <c r="AH48" i="2" s="1"/>
  <c r="AD3" i="2"/>
  <c r="AB68" i="2"/>
  <c r="X68" i="2"/>
  <c r="Z68" i="2"/>
  <c r="Y68" i="2"/>
  <c r="AA68" i="2"/>
  <c r="U61" i="2"/>
  <c r="U53" i="2"/>
  <c r="U55" i="2"/>
  <c r="U59" i="2"/>
  <c r="Y61" i="2"/>
  <c r="Y55" i="2"/>
  <c r="AO55" i="2" s="1"/>
  <c r="AO57" i="2" s="1"/>
  <c r="Y59" i="2"/>
  <c r="Y53" i="2"/>
  <c r="U57" i="2"/>
  <c r="Y57" i="2"/>
  <c r="U4" i="2"/>
  <c r="U52" i="2" s="1"/>
  <c r="U54" i="2" s="1"/>
  <c r="U72" i="2" s="1"/>
  <c r="Y4" i="2"/>
  <c r="Y52" i="2" s="1"/>
  <c r="Y66" i="2" s="1"/>
  <c r="AD16" i="2"/>
  <c r="AE16" i="2" s="1"/>
  <c r="AF16" i="2" s="1"/>
  <c r="AG16" i="2" s="1"/>
  <c r="AH16" i="2" s="1"/>
  <c r="AD5" i="2"/>
  <c r="S52" i="2"/>
  <c r="S54" i="2" s="1"/>
  <c r="S72" i="2" s="1"/>
  <c r="V61" i="2"/>
  <c r="V59" i="2"/>
  <c r="V53" i="2"/>
  <c r="V55" i="2"/>
  <c r="V57" i="2" s="1"/>
  <c r="Z55" i="2"/>
  <c r="Z53" i="2"/>
  <c r="Z61" i="2"/>
  <c r="Z57" i="2"/>
  <c r="Z59" i="2"/>
  <c r="V4" i="2"/>
  <c r="V52" i="2" s="1"/>
  <c r="V54" i="2" s="1"/>
  <c r="V72" i="2" s="1"/>
  <c r="Z4" i="2"/>
  <c r="Z52" i="2" s="1"/>
  <c r="AD14" i="2"/>
  <c r="AE14" i="2" s="1"/>
  <c r="AF14" i="2" s="1"/>
  <c r="AG14" i="2" s="1"/>
  <c r="AH14" i="2" s="1"/>
  <c r="AA86" i="2"/>
  <c r="AA96" i="2" s="1"/>
  <c r="AA81" i="2"/>
  <c r="AA76" i="2"/>
  <c r="W59" i="2"/>
  <c r="W57" i="2"/>
  <c r="AA59" i="2"/>
  <c r="AA57" i="2"/>
  <c r="W4" i="2"/>
  <c r="W52" i="2" s="1"/>
  <c r="AA52" i="2"/>
  <c r="AA54" i="2" s="1"/>
  <c r="AA4" i="2"/>
  <c r="L4" i="1"/>
  <c r="L7" i="1" s="1"/>
  <c r="AE39" i="2" l="1"/>
  <c r="AF39" i="2" s="1"/>
  <c r="AG39" i="2" s="1"/>
  <c r="AH39" i="2" s="1"/>
  <c r="AP39" i="2"/>
  <c r="AH57" i="2"/>
  <c r="AE6" i="2"/>
  <c r="AD70" i="2"/>
  <c r="AE5" i="2"/>
  <c r="AD69" i="2"/>
  <c r="AP10" i="2"/>
  <c r="AQ10" i="2" s="1"/>
  <c r="AR10" i="2" s="1"/>
  <c r="AS10" i="2" s="1"/>
  <c r="AT10" i="2" s="1"/>
  <c r="AU10" i="2" s="1"/>
  <c r="AV10" i="2" s="1"/>
  <c r="AW10" i="2" s="1"/>
  <c r="AX10" i="2" s="1"/>
  <c r="AY10" i="2" s="1"/>
  <c r="AZ10" i="2" s="1"/>
  <c r="BA10" i="2" s="1"/>
  <c r="BB10" i="2" s="1"/>
  <c r="BC10" i="2" s="1"/>
  <c r="BD10" i="2" s="1"/>
  <c r="AE10" i="2"/>
  <c r="AD68" i="2"/>
  <c r="AH3" i="2"/>
  <c r="AH68" i="2" s="1"/>
  <c r="AP33" i="2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AP34" i="2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AP47" i="2"/>
  <c r="AQ47" i="2" s="1"/>
  <c r="AR47" i="2" s="1"/>
  <c r="AS47" i="2" s="1"/>
  <c r="AT47" i="2" s="1"/>
  <c r="AU47" i="2" s="1"/>
  <c r="AV47" i="2" s="1"/>
  <c r="AW47" i="2" s="1"/>
  <c r="AX47" i="2" s="1"/>
  <c r="AY47" i="2" s="1"/>
  <c r="AZ47" i="2" s="1"/>
  <c r="BA47" i="2" s="1"/>
  <c r="BB47" i="2" s="1"/>
  <c r="BC47" i="2" s="1"/>
  <c r="BD47" i="2" s="1"/>
  <c r="AP15" i="2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AC68" i="2"/>
  <c r="AP3" i="2"/>
  <c r="AP68" i="2" s="1"/>
  <c r="AN4" i="2"/>
  <c r="AN52" i="2" s="1"/>
  <c r="AN66" i="2" s="1"/>
  <c r="AQ39" i="2"/>
  <c r="AR39" i="2" s="1"/>
  <c r="AS39" i="2" s="1"/>
  <c r="AT39" i="2" s="1"/>
  <c r="AU39" i="2" s="1"/>
  <c r="AV39" i="2" s="1"/>
  <c r="AW39" i="2" s="1"/>
  <c r="AX39" i="2" s="1"/>
  <c r="AY39" i="2" s="1"/>
  <c r="AZ39" i="2" s="1"/>
  <c r="BA39" i="2" s="1"/>
  <c r="BB39" i="2" s="1"/>
  <c r="BC39" i="2" s="1"/>
  <c r="BD39" i="2" s="1"/>
  <c r="AP40" i="2"/>
  <c r="AQ40" i="2" s="1"/>
  <c r="AR40" i="2" s="1"/>
  <c r="AS40" i="2" s="1"/>
  <c r="AT40" i="2" s="1"/>
  <c r="AU40" i="2" s="1"/>
  <c r="AV40" i="2" s="1"/>
  <c r="AW40" i="2" s="1"/>
  <c r="AX40" i="2" s="1"/>
  <c r="AY40" i="2" s="1"/>
  <c r="AZ40" i="2" s="1"/>
  <c r="BA40" i="2" s="1"/>
  <c r="BB40" i="2" s="1"/>
  <c r="BC40" i="2" s="1"/>
  <c r="BD40" i="2" s="1"/>
  <c r="AN59" i="2"/>
  <c r="AP49" i="2"/>
  <c r="AQ49" i="2" s="1"/>
  <c r="AR49" i="2" s="1"/>
  <c r="AS49" i="2" s="1"/>
  <c r="AT49" i="2" s="1"/>
  <c r="AU49" i="2" s="1"/>
  <c r="AV49" i="2" s="1"/>
  <c r="AW49" i="2" s="1"/>
  <c r="AX49" i="2" s="1"/>
  <c r="AY49" i="2" s="1"/>
  <c r="AZ49" i="2" s="1"/>
  <c r="BA49" i="2" s="1"/>
  <c r="BB49" i="2" s="1"/>
  <c r="BC49" i="2" s="1"/>
  <c r="BD49" i="2" s="1"/>
  <c r="AP43" i="2"/>
  <c r="AQ43" i="2" s="1"/>
  <c r="AR43" i="2" s="1"/>
  <c r="AS43" i="2" s="1"/>
  <c r="AT43" i="2" s="1"/>
  <c r="AU43" i="2" s="1"/>
  <c r="AV43" i="2" s="1"/>
  <c r="AW43" i="2" s="1"/>
  <c r="AX43" i="2" s="1"/>
  <c r="AY43" i="2" s="1"/>
  <c r="AZ43" i="2" s="1"/>
  <c r="BA43" i="2" s="1"/>
  <c r="BB43" i="2" s="1"/>
  <c r="BC43" i="2" s="1"/>
  <c r="BD43" i="2" s="1"/>
  <c r="AB57" i="2"/>
  <c r="AA84" i="2"/>
  <c r="AP44" i="2"/>
  <c r="AQ44" i="2" s="1"/>
  <c r="AR44" i="2" s="1"/>
  <c r="AS44" i="2" s="1"/>
  <c r="AT44" i="2" s="1"/>
  <c r="AU44" i="2" s="1"/>
  <c r="AV44" i="2" s="1"/>
  <c r="AW44" i="2" s="1"/>
  <c r="AX44" i="2" s="1"/>
  <c r="AY44" i="2" s="1"/>
  <c r="AZ44" i="2" s="1"/>
  <c r="BA44" i="2" s="1"/>
  <c r="BB44" i="2" s="1"/>
  <c r="BC44" i="2" s="1"/>
  <c r="BD44" i="2" s="1"/>
  <c r="AD57" i="2"/>
  <c r="AP51" i="2"/>
  <c r="AQ51" i="2" s="1"/>
  <c r="AR51" i="2" s="1"/>
  <c r="AS51" i="2" s="1"/>
  <c r="AT51" i="2" s="1"/>
  <c r="AU51" i="2" s="1"/>
  <c r="AV51" i="2" s="1"/>
  <c r="AW51" i="2" s="1"/>
  <c r="AX51" i="2" s="1"/>
  <c r="AY51" i="2" s="1"/>
  <c r="AZ51" i="2" s="1"/>
  <c r="BA51" i="2" s="1"/>
  <c r="BB51" i="2" s="1"/>
  <c r="BC51" i="2" s="1"/>
  <c r="BD51" i="2" s="1"/>
  <c r="AP42" i="2"/>
  <c r="AQ42" i="2" s="1"/>
  <c r="AR42" i="2" s="1"/>
  <c r="AS42" i="2" s="1"/>
  <c r="AT42" i="2" s="1"/>
  <c r="AU42" i="2" s="1"/>
  <c r="AV42" i="2" s="1"/>
  <c r="AW42" i="2" s="1"/>
  <c r="AX42" i="2" s="1"/>
  <c r="AY42" i="2" s="1"/>
  <c r="AZ42" i="2" s="1"/>
  <c r="BA42" i="2" s="1"/>
  <c r="BB42" i="2" s="1"/>
  <c r="BC42" i="2" s="1"/>
  <c r="BD42" i="2" s="1"/>
  <c r="AD35" i="2"/>
  <c r="AP4" i="2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AP56" i="2"/>
  <c r="AQ56" i="2" s="1"/>
  <c r="Y54" i="2"/>
  <c r="Y72" i="2" s="1"/>
  <c r="AP6" i="2"/>
  <c r="AQ6" i="2" s="1"/>
  <c r="AR6" i="2" s="1"/>
  <c r="AS6" i="2" s="1"/>
  <c r="AT6" i="2" s="1"/>
  <c r="AU6" i="2" s="1"/>
  <c r="AV6" i="2" s="1"/>
  <c r="AW6" i="2" s="1"/>
  <c r="AX6" i="2" s="1"/>
  <c r="AY6" i="2" s="1"/>
  <c r="AZ6" i="2" s="1"/>
  <c r="BA6" i="2" s="1"/>
  <c r="BB6" i="2" s="1"/>
  <c r="BC6" i="2" s="1"/>
  <c r="BD6" i="2" s="1"/>
  <c r="AP41" i="2"/>
  <c r="AQ41" i="2" s="1"/>
  <c r="AR41" i="2" s="1"/>
  <c r="AS41" i="2" s="1"/>
  <c r="AT41" i="2" s="1"/>
  <c r="AU41" i="2" s="1"/>
  <c r="AV41" i="2" s="1"/>
  <c r="AW41" i="2" s="1"/>
  <c r="AX41" i="2" s="1"/>
  <c r="AY41" i="2" s="1"/>
  <c r="AZ41" i="2" s="1"/>
  <c r="BA41" i="2" s="1"/>
  <c r="BB41" i="2" s="1"/>
  <c r="BC41" i="2" s="1"/>
  <c r="BD41" i="2" s="1"/>
  <c r="AP7" i="2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AP64" i="2"/>
  <c r="AQ64" i="2" s="1"/>
  <c r="AR64" i="2" s="1"/>
  <c r="AS64" i="2" s="1"/>
  <c r="AT64" i="2" s="1"/>
  <c r="AU64" i="2" s="1"/>
  <c r="AV64" i="2" s="1"/>
  <c r="AW64" i="2" s="1"/>
  <c r="AX64" i="2" s="1"/>
  <c r="AY64" i="2" s="1"/>
  <c r="AZ64" i="2" s="1"/>
  <c r="BA64" i="2" s="1"/>
  <c r="BB64" i="2" s="1"/>
  <c r="BC64" i="2" s="1"/>
  <c r="BD64" i="2" s="1"/>
  <c r="W54" i="2"/>
  <c r="W72" i="2" s="1"/>
  <c r="W66" i="2"/>
  <c r="AP11" i="2"/>
  <c r="AQ11" i="2" s="1"/>
  <c r="AR11" i="2" s="1"/>
  <c r="AS11" i="2" s="1"/>
  <c r="AT11" i="2" s="1"/>
  <c r="AU11" i="2" s="1"/>
  <c r="AV11" i="2" s="1"/>
  <c r="AP45" i="2"/>
  <c r="AQ45" i="2" s="1"/>
  <c r="AR45" i="2" s="1"/>
  <c r="AS45" i="2" s="1"/>
  <c r="AT45" i="2" s="1"/>
  <c r="AU45" i="2" s="1"/>
  <c r="AV45" i="2" s="1"/>
  <c r="AW45" i="2" s="1"/>
  <c r="AX45" i="2" s="1"/>
  <c r="AY45" i="2" s="1"/>
  <c r="AZ45" i="2" s="1"/>
  <c r="BA45" i="2" s="1"/>
  <c r="BB45" i="2" s="1"/>
  <c r="BC45" i="2" s="1"/>
  <c r="BD45" i="2" s="1"/>
  <c r="AO53" i="2"/>
  <c r="AP48" i="2"/>
  <c r="AQ48" i="2" s="1"/>
  <c r="AR48" i="2" s="1"/>
  <c r="AS48" i="2" s="1"/>
  <c r="AT48" i="2" s="1"/>
  <c r="AU48" i="2" s="1"/>
  <c r="AV48" i="2" s="1"/>
  <c r="AW48" i="2" s="1"/>
  <c r="AX48" i="2" s="1"/>
  <c r="AY48" i="2" s="1"/>
  <c r="AZ48" i="2" s="1"/>
  <c r="BA48" i="2" s="1"/>
  <c r="BB48" i="2" s="1"/>
  <c r="BC48" i="2" s="1"/>
  <c r="BD48" i="2" s="1"/>
  <c r="AP13" i="2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AP12" i="2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AO59" i="2"/>
  <c r="AO61" i="2"/>
  <c r="AP16" i="2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AO4" i="2"/>
  <c r="AO52" i="2" s="1"/>
  <c r="AP17" i="2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S58" i="2"/>
  <c r="S60" i="2" s="1"/>
  <c r="AN55" i="2"/>
  <c r="AN57" i="2" s="1"/>
  <c r="AD18" i="2"/>
  <c r="AE18" i="2" s="1"/>
  <c r="AF18" i="2" s="1"/>
  <c r="AG18" i="2" s="1"/>
  <c r="AH18" i="2" s="1"/>
  <c r="AN53" i="2"/>
  <c r="AP50" i="2"/>
  <c r="AQ50" i="2" s="1"/>
  <c r="AR50" i="2" s="1"/>
  <c r="AS50" i="2" s="1"/>
  <c r="AT50" i="2" s="1"/>
  <c r="AU50" i="2" s="1"/>
  <c r="AV50" i="2" s="1"/>
  <c r="AW50" i="2" s="1"/>
  <c r="AX50" i="2" s="1"/>
  <c r="AY50" i="2" s="1"/>
  <c r="AZ50" i="2" s="1"/>
  <c r="BA50" i="2" s="1"/>
  <c r="BB50" i="2" s="1"/>
  <c r="BC50" i="2" s="1"/>
  <c r="BD50" i="2" s="1"/>
  <c r="AQ19" i="2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T52" i="2"/>
  <c r="T54" i="2" s="1"/>
  <c r="T72" i="2" s="1"/>
  <c r="AN61" i="2"/>
  <c r="AP55" i="2"/>
  <c r="AQ55" i="2" s="1"/>
  <c r="AR55" i="2" s="1"/>
  <c r="AS55" i="2" s="1"/>
  <c r="AP32" i="2"/>
  <c r="AQ32" i="2" s="1"/>
  <c r="AR32" i="2" s="1"/>
  <c r="AS32" i="2" s="1"/>
  <c r="AT32" i="2" s="1"/>
  <c r="AU32" i="2" s="1"/>
  <c r="AV32" i="2" s="1"/>
  <c r="AW32" i="2" s="1"/>
  <c r="AX32" i="2" s="1"/>
  <c r="AY32" i="2" s="1"/>
  <c r="AZ32" i="2" s="1"/>
  <c r="BA32" i="2" s="1"/>
  <c r="BB32" i="2" s="1"/>
  <c r="BC32" i="2" s="1"/>
  <c r="BD32" i="2" s="1"/>
  <c r="AP14" i="2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AP8" i="2"/>
  <c r="AQ8" i="2" s="1"/>
  <c r="AR8" i="2" s="1"/>
  <c r="AS8" i="2" s="1"/>
  <c r="AT8" i="2" s="1"/>
  <c r="AU8" i="2" s="1"/>
  <c r="AV8" i="2" s="1"/>
  <c r="AW8" i="2" s="1"/>
  <c r="AX8" i="2" s="1"/>
  <c r="AY8" i="2" s="1"/>
  <c r="AZ8" i="2" s="1"/>
  <c r="BA8" i="2" s="1"/>
  <c r="BB8" i="2" s="1"/>
  <c r="BC8" i="2" s="1"/>
  <c r="BD8" i="2" s="1"/>
  <c r="AP9" i="2"/>
  <c r="AQ9" i="2" s="1"/>
  <c r="AR9" i="2" s="1"/>
  <c r="AS9" i="2" s="1"/>
  <c r="AT9" i="2" s="1"/>
  <c r="AU9" i="2" s="1"/>
  <c r="AV9" i="2" s="1"/>
  <c r="AW9" i="2" s="1"/>
  <c r="AX9" i="2" s="1"/>
  <c r="AY9" i="2" s="1"/>
  <c r="AZ9" i="2" s="1"/>
  <c r="BA9" i="2" s="1"/>
  <c r="BB9" i="2" s="1"/>
  <c r="BC9" i="2" s="1"/>
  <c r="BD9" i="2" s="1"/>
  <c r="AP5" i="2"/>
  <c r="Z54" i="2"/>
  <c r="Z72" i="2" s="1"/>
  <c r="Z66" i="2"/>
  <c r="X54" i="2"/>
  <c r="X72" i="2" s="1"/>
  <c r="AA66" i="2"/>
  <c r="AB52" i="2"/>
  <c r="AB54" i="2" s="1"/>
  <c r="AA75" i="2"/>
  <c r="U58" i="2"/>
  <c r="U60" i="2" s="1"/>
  <c r="AA58" i="2"/>
  <c r="AA60" i="2" s="1"/>
  <c r="AA72" i="2"/>
  <c r="V58" i="2"/>
  <c r="V60" i="2" s="1"/>
  <c r="AN54" i="2" l="1"/>
  <c r="AN72" i="2" s="1"/>
  <c r="AP35" i="2"/>
  <c r="AQ35" i="2" s="1"/>
  <c r="AR35" i="2" s="1"/>
  <c r="AS35" i="2" s="1"/>
  <c r="AT35" i="2" s="1"/>
  <c r="AU35" i="2" s="1"/>
  <c r="AV35" i="2" s="1"/>
  <c r="AW35" i="2" s="1"/>
  <c r="AX35" i="2" s="1"/>
  <c r="AY35" i="2" s="1"/>
  <c r="AZ35" i="2" s="1"/>
  <c r="BA35" i="2" s="1"/>
  <c r="BB35" i="2" s="1"/>
  <c r="BC35" i="2" s="1"/>
  <c r="BD35" i="2" s="1"/>
  <c r="AE35" i="2"/>
  <c r="AF35" i="2" s="1"/>
  <c r="AG35" i="2" s="1"/>
  <c r="AH35" i="2" s="1"/>
  <c r="AE70" i="2"/>
  <c r="AF6" i="2"/>
  <c r="AF5" i="2"/>
  <c r="AE69" i="2"/>
  <c r="AF10" i="2"/>
  <c r="AE52" i="2"/>
  <c r="AQ3" i="2"/>
  <c r="AQ68" i="2" s="1"/>
  <c r="T58" i="2"/>
  <c r="T60" i="2" s="1"/>
  <c r="X58" i="2"/>
  <c r="X60" i="2" s="1"/>
  <c r="AQ5" i="2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BB5" i="2" s="1"/>
  <c r="BC5" i="2" s="1"/>
  <c r="BD5" i="2" s="1"/>
  <c r="AP69" i="2"/>
  <c r="AD52" i="2"/>
  <c r="AQ57" i="2"/>
  <c r="X66" i="2"/>
  <c r="AR57" i="2"/>
  <c r="AP57" i="2"/>
  <c r="AC52" i="2"/>
  <c r="AC66" i="2" s="1"/>
  <c r="X62" i="2"/>
  <c r="X63" i="2" s="1"/>
  <c r="X73" i="2"/>
  <c r="T62" i="2"/>
  <c r="T63" i="2" s="1"/>
  <c r="T73" i="2"/>
  <c r="AN58" i="2"/>
  <c r="AN60" i="2" s="1"/>
  <c r="AN62" i="2" s="1"/>
  <c r="AN63" i="2" s="1"/>
  <c r="S62" i="2"/>
  <c r="S63" i="2" s="1"/>
  <c r="S73" i="2"/>
  <c r="V62" i="2"/>
  <c r="V63" i="2" s="1"/>
  <c r="V73" i="2"/>
  <c r="AC57" i="2"/>
  <c r="W58" i="2"/>
  <c r="W60" i="2" s="1"/>
  <c r="AP18" i="2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Z58" i="2"/>
  <c r="Z60" i="2" s="1"/>
  <c r="AA62" i="2"/>
  <c r="AA73" i="2"/>
  <c r="Y58" i="2"/>
  <c r="Y60" i="2" s="1"/>
  <c r="U62" i="2"/>
  <c r="U63" i="2" s="1"/>
  <c r="U73" i="2"/>
  <c r="AO54" i="2"/>
  <c r="AO66" i="2"/>
  <c r="AB58" i="2"/>
  <c r="AB60" i="2" s="1"/>
  <c r="AT55" i="2"/>
  <c r="AS57" i="2"/>
  <c r="BB7" i="2"/>
  <c r="AW11" i="2"/>
  <c r="AB66" i="2"/>
  <c r="AR3" i="2" l="1"/>
  <c r="AF70" i="2"/>
  <c r="AG6" i="2"/>
  <c r="AG5" i="2"/>
  <c r="AF69" i="2"/>
  <c r="AE66" i="2"/>
  <c r="AE54" i="2"/>
  <c r="AG10" i="2"/>
  <c r="AF52" i="2"/>
  <c r="AD54" i="2"/>
  <c r="AD58" i="2" s="1"/>
  <c r="AD60" i="2" s="1"/>
  <c r="AD61" i="2" s="1"/>
  <c r="AD66" i="2"/>
  <c r="AA63" i="2"/>
  <c r="AA98" i="2"/>
  <c r="AN73" i="2"/>
  <c r="AQ52" i="2"/>
  <c r="AQ54" i="2" s="1"/>
  <c r="AO58" i="2"/>
  <c r="AO60" i="2" s="1"/>
  <c r="AO72" i="2"/>
  <c r="Z62" i="2"/>
  <c r="Z63" i="2" s="1"/>
  <c r="Z73" i="2"/>
  <c r="Y62" i="2"/>
  <c r="Y63" i="2" s="1"/>
  <c r="Y73" i="2"/>
  <c r="AP52" i="2"/>
  <c r="AP66" i="2" s="1"/>
  <c r="W62" i="2"/>
  <c r="W63" i="2" s="1"/>
  <c r="W73" i="2"/>
  <c r="AR68" i="2"/>
  <c r="AS3" i="2"/>
  <c r="AR52" i="2"/>
  <c r="AR54" i="2" s="1"/>
  <c r="AR58" i="2" s="1"/>
  <c r="AU55" i="2"/>
  <c r="AT57" i="2"/>
  <c r="AB72" i="2"/>
  <c r="AD72" i="2"/>
  <c r="AB73" i="2"/>
  <c r="BC7" i="2"/>
  <c r="AX11" i="2"/>
  <c r="AD73" i="2" l="1"/>
  <c r="AP61" i="2"/>
  <c r="AH6" i="2"/>
  <c r="AH70" i="2" s="1"/>
  <c r="AG70" i="2"/>
  <c r="AH5" i="2"/>
  <c r="AH69" i="2" s="1"/>
  <c r="AG69" i="2"/>
  <c r="AF66" i="2"/>
  <c r="AF54" i="2"/>
  <c r="AH10" i="2"/>
  <c r="AH52" i="2" s="1"/>
  <c r="AG52" i="2"/>
  <c r="AC58" i="2"/>
  <c r="AC60" i="2" s="1"/>
  <c r="AC73" i="2" s="1"/>
  <c r="AD53" i="2"/>
  <c r="AP53" i="2" s="1"/>
  <c r="AP54" i="2" s="1"/>
  <c r="AE53" i="2"/>
  <c r="AE72" i="2"/>
  <c r="AE58" i="2"/>
  <c r="AE60" i="2" s="1"/>
  <c r="AE61" i="2" s="1"/>
  <c r="AC72" i="2"/>
  <c r="AR66" i="2"/>
  <c r="AO62" i="2"/>
  <c r="AO63" i="2" s="1"/>
  <c r="AO73" i="2"/>
  <c r="AQ66" i="2"/>
  <c r="AR53" i="2"/>
  <c r="AQ58" i="2"/>
  <c r="AQ72" i="2"/>
  <c r="AR72" i="2"/>
  <c r="AT3" i="2"/>
  <c r="AS68" i="2"/>
  <c r="AS52" i="2"/>
  <c r="AB62" i="2"/>
  <c r="AB98" i="2" s="1"/>
  <c r="AV55" i="2"/>
  <c r="AU57" i="2"/>
  <c r="AD62" i="2"/>
  <c r="AQ53" i="2"/>
  <c r="BD7" i="2"/>
  <c r="AY11" i="2"/>
  <c r="AC62" i="2" l="1"/>
  <c r="AE62" i="2"/>
  <c r="AE63" i="2" s="1"/>
  <c r="AE73" i="2"/>
  <c r="AG54" i="2"/>
  <c r="AG53" i="2" s="1"/>
  <c r="AG66" i="2"/>
  <c r="AH54" i="2"/>
  <c r="AH53" i="2" s="1"/>
  <c r="AH66" i="2"/>
  <c r="AF53" i="2"/>
  <c r="AF72" i="2"/>
  <c r="AF58" i="2"/>
  <c r="AF60" i="2" s="1"/>
  <c r="AF61" i="2" s="1"/>
  <c r="AD63" i="2"/>
  <c r="AD98" i="2"/>
  <c r="AC63" i="2"/>
  <c r="AC98" i="2"/>
  <c r="AP58" i="2"/>
  <c r="AP60" i="2" s="1"/>
  <c r="AP72" i="2"/>
  <c r="AU3" i="2"/>
  <c r="AT52" i="2"/>
  <c r="AT68" i="2"/>
  <c r="AS66" i="2"/>
  <c r="AS54" i="2"/>
  <c r="AS53" i="2" s="1"/>
  <c r="AW55" i="2"/>
  <c r="AV57" i="2"/>
  <c r="AB63" i="2"/>
  <c r="AC75" i="2"/>
  <c r="AD75" i="2" s="1"/>
  <c r="AP75" i="2" s="1"/>
  <c r="AZ11" i="2"/>
  <c r="AF62" i="2" l="1"/>
  <c r="AF63" i="2" s="1"/>
  <c r="AF73" i="2"/>
  <c r="AH58" i="2"/>
  <c r="AH60" i="2" s="1"/>
  <c r="AH61" i="2" s="1"/>
  <c r="AH72" i="2"/>
  <c r="AG58" i="2"/>
  <c r="AG60" i="2" s="1"/>
  <c r="AG72" i="2"/>
  <c r="AV3" i="2"/>
  <c r="AU52" i="2"/>
  <c r="AU68" i="2"/>
  <c r="AS58" i="2"/>
  <c r="AS72" i="2"/>
  <c r="AT54" i="2"/>
  <c r="AT53" i="2" s="1"/>
  <c r="AT66" i="2"/>
  <c r="AP62" i="2"/>
  <c r="AP63" i="2" s="1"/>
  <c r="AP73" i="2"/>
  <c r="AQ59" i="2"/>
  <c r="AQ60" i="2" s="1"/>
  <c r="AQ61" i="2" s="1"/>
  <c r="AX55" i="2"/>
  <c r="AW57" i="2"/>
  <c r="BA11" i="2"/>
  <c r="AG61" i="2" l="1"/>
  <c r="AG73" i="2" s="1"/>
  <c r="AH62" i="2"/>
  <c r="AH63" i="2" s="1"/>
  <c r="AH73" i="2"/>
  <c r="AT72" i="2"/>
  <c r="AT58" i="2"/>
  <c r="AU54" i="2"/>
  <c r="AU53" i="2" s="1"/>
  <c r="AU66" i="2"/>
  <c r="AQ62" i="2"/>
  <c r="AQ73" i="2"/>
  <c r="AW3" i="2"/>
  <c r="AV68" i="2"/>
  <c r="AV52" i="2"/>
  <c r="AY55" i="2"/>
  <c r="AX57" i="2"/>
  <c r="BB11" i="2"/>
  <c r="AG62" i="2" l="1"/>
  <c r="AG63" i="2" s="1"/>
  <c r="AQ63" i="2"/>
  <c r="AQ75" i="2"/>
  <c r="AR59" i="2" s="1"/>
  <c r="AR60" i="2" s="1"/>
  <c r="AR61" i="2" s="1"/>
  <c r="AX3" i="2"/>
  <c r="AW52" i="2"/>
  <c r="AW68" i="2"/>
  <c r="AV54" i="2"/>
  <c r="AV53" i="2" s="1"/>
  <c r="AV66" i="2"/>
  <c r="AU72" i="2"/>
  <c r="AU58" i="2"/>
  <c r="AZ55" i="2"/>
  <c r="AY57" i="2"/>
  <c r="BC11" i="2"/>
  <c r="AV72" i="2" l="1"/>
  <c r="AV58" i="2"/>
  <c r="AW54" i="2"/>
  <c r="AW53" i="2" s="1"/>
  <c r="AW66" i="2"/>
  <c r="AY3" i="2"/>
  <c r="AX52" i="2"/>
  <c r="AX68" i="2"/>
  <c r="AR62" i="2"/>
  <c r="AR73" i="2"/>
  <c r="BA55" i="2"/>
  <c r="AZ57" i="2"/>
  <c r="BD11" i="2"/>
  <c r="AZ3" i="2" l="1"/>
  <c r="AY68" i="2"/>
  <c r="AY52" i="2"/>
  <c r="AX66" i="2"/>
  <c r="AX54" i="2"/>
  <c r="AW72" i="2"/>
  <c r="AW58" i="2"/>
  <c r="AR63" i="2"/>
  <c r="AR75" i="2"/>
  <c r="AS59" i="2" s="1"/>
  <c r="AS60" i="2" s="1"/>
  <c r="AS61" i="2" s="1"/>
  <c r="BB55" i="2"/>
  <c r="BA57" i="2"/>
  <c r="AX72" i="2" l="1"/>
  <c r="AX58" i="2"/>
  <c r="AX53" i="2"/>
  <c r="AY54" i="2"/>
  <c r="AY53" i="2" s="1"/>
  <c r="AY66" i="2"/>
  <c r="BA3" i="2"/>
  <c r="AZ52" i="2"/>
  <c r="AZ68" i="2"/>
  <c r="AS62" i="2"/>
  <c r="AS63" i="2" s="1"/>
  <c r="AS73" i="2"/>
  <c r="BC55" i="2"/>
  <c r="BB57" i="2"/>
  <c r="BB3" i="2" l="1"/>
  <c r="BA68" i="2"/>
  <c r="BA52" i="2"/>
  <c r="AY58" i="2"/>
  <c r="AY72" i="2"/>
  <c r="AZ66" i="2"/>
  <c r="AZ54" i="2"/>
  <c r="AZ53" i="2" s="1"/>
  <c r="AS75" i="2"/>
  <c r="AT59" i="2" s="1"/>
  <c r="AT60" i="2" s="1"/>
  <c r="BD55" i="2"/>
  <c r="BD57" i="2" s="1"/>
  <c r="BC57" i="2"/>
  <c r="AZ72" i="2" l="1"/>
  <c r="AZ58" i="2"/>
  <c r="BA54" i="2"/>
  <c r="BA53" i="2" s="1"/>
  <c r="BA66" i="2"/>
  <c r="BC3" i="2"/>
  <c r="BB68" i="2"/>
  <c r="BB52" i="2"/>
  <c r="AT61" i="2"/>
  <c r="AT73" i="2" s="1"/>
  <c r="BA72" i="2" l="1"/>
  <c r="BA58" i="2"/>
  <c r="BB54" i="2"/>
  <c r="BB53" i="2" s="1"/>
  <c r="BB66" i="2"/>
  <c r="BD3" i="2"/>
  <c r="BC52" i="2"/>
  <c r="BC68" i="2"/>
  <c r="AT62" i="2"/>
  <c r="AT63" i="2" s="1"/>
  <c r="BC66" i="2" l="1"/>
  <c r="BC54" i="2"/>
  <c r="BC53" i="2" s="1"/>
  <c r="BD68" i="2"/>
  <c r="BD52" i="2"/>
  <c r="BB72" i="2"/>
  <c r="BB58" i="2"/>
  <c r="AT75" i="2"/>
  <c r="AU59" i="2" s="1"/>
  <c r="AU60" i="2" s="1"/>
  <c r="AU61" i="2" s="1"/>
  <c r="BD66" i="2" l="1"/>
  <c r="BD54" i="2"/>
  <c r="BD53" i="2" s="1"/>
  <c r="BC58" i="2"/>
  <c r="BC72" i="2"/>
  <c r="AU62" i="2"/>
  <c r="AU73" i="2"/>
  <c r="BD72" i="2" l="1"/>
  <c r="BD58" i="2"/>
  <c r="AU63" i="2"/>
  <c r="AU75" i="2"/>
  <c r="AV59" i="2" l="1"/>
  <c r="AV60" i="2" s="1"/>
  <c r="AV61" i="2" s="1"/>
  <c r="AV62" i="2" l="1"/>
  <c r="AV73" i="2"/>
  <c r="AV63" i="2" l="1"/>
  <c r="AV75" i="2"/>
  <c r="AW59" i="2" l="1"/>
  <c r="AW60" i="2" s="1"/>
  <c r="AW61" i="2" s="1"/>
  <c r="AW62" i="2" l="1"/>
  <c r="AW73" i="2"/>
  <c r="AW63" i="2" l="1"/>
  <c r="AW75" i="2"/>
  <c r="AX59" i="2" l="1"/>
  <c r="AX60" i="2" s="1"/>
  <c r="AX61" i="2" s="1"/>
  <c r="AX62" i="2" l="1"/>
  <c r="AX73" i="2"/>
  <c r="AX63" i="2" l="1"/>
  <c r="AX75" i="2"/>
  <c r="AY59" i="2" l="1"/>
  <c r="AY60" i="2" s="1"/>
  <c r="AY61" i="2" s="1"/>
  <c r="AY62" i="2" l="1"/>
  <c r="AY73" i="2"/>
  <c r="AY63" i="2" l="1"/>
  <c r="AY75" i="2"/>
  <c r="AZ59" i="2" l="1"/>
  <c r="AZ60" i="2" s="1"/>
  <c r="AZ61" i="2" s="1"/>
  <c r="AZ62" i="2" l="1"/>
  <c r="AZ73" i="2"/>
  <c r="AZ63" i="2" l="1"/>
  <c r="AZ75" i="2"/>
  <c r="BA59" i="2" l="1"/>
  <c r="BA60" i="2" s="1"/>
  <c r="BA61" i="2" s="1"/>
  <c r="BA62" i="2" l="1"/>
  <c r="BA73" i="2"/>
  <c r="BA63" i="2" l="1"/>
  <c r="BA75" i="2"/>
  <c r="BB59" i="2" l="1"/>
  <c r="BB60" i="2" s="1"/>
  <c r="BB61" i="2" s="1"/>
  <c r="BB62" i="2" l="1"/>
  <c r="BB73" i="2"/>
  <c r="BB63" i="2" l="1"/>
  <c r="BB75" i="2"/>
  <c r="BC59" i="2" l="1"/>
  <c r="BC60" i="2" s="1"/>
  <c r="BC61" i="2" l="1"/>
  <c r="BC73" i="2" s="1"/>
  <c r="BC62" i="2" l="1"/>
  <c r="BC63" i="2" s="1"/>
  <c r="BC75" i="2" l="1"/>
  <c r="BD59" i="2" s="1"/>
  <c r="BD60" i="2" s="1"/>
  <c r="BD61" i="2" s="1"/>
  <c r="BD62" i="2" l="1"/>
  <c r="BD73" i="2"/>
  <c r="BE62" i="2" l="1"/>
  <c r="BF62" i="2" s="1"/>
  <c r="BG62" i="2" s="1"/>
  <c r="BH62" i="2" s="1"/>
  <c r="BI62" i="2" s="1"/>
  <c r="BJ62" i="2" s="1"/>
  <c r="BK62" i="2" s="1"/>
  <c r="BL62" i="2" s="1"/>
  <c r="BM62" i="2" s="1"/>
  <c r="BN62" i="2" s="1"/>
  <c r="BO62" i="2" s="1"/>
  <c r="BP62" i="2" s="1"/>
  <c r="BQ62" i="2" s="1"/>
  <c r="BR62" i="2" s="1"/>
  <c r="BS62" i="2" s="1"/>
  <c r="BT62" i="2" s="1"/>
  <c r="BU62" i="2" s="1"/>
  <c r="BV62" i="2" s="1"/>
  <c r="BW62" i="2" s="1"/>
  <c r="BX62" i="2" s="1"/>
  <c r="BY62" i="2" s="1"/>
  <c r="BZ62" i="2" s="1"/>
  <c r="CA62" i="2" s="1"/>
  <c r="CB62" i="2" s="1"/>
  <c r="CC62" i="2" s="1"/>
  <c r="CD62" i="2" s="1"/>
  <c r="CE62" i="2" s="1"/>
  <c r="CF62" i="2" s="1"/>
  <c r="CG62" i="2" s="1"/>
  <c r="CH62" i="2" s="1"/>
  <c r="CI62" i="2" s="1"/>
  <c r="CJ62" i="2" s="1"/>
  <c r="CK62" i="2" s="1"/>
  <c r="CL62" i="2" s="1"/>
  <c r="CM62" i="2" s="1"/>
  <c r="CN62" i="2" s="1"/>
  <c r="CO62" i="2" s="1"/>
  <c r="CP62" i="2" s="1"/>
  <c r="CQ62" i="2" s="1"/>
  <c r="CR62" i="2" s="1"/>
  <c r="CS62" i="2" s="1"/>
  <c r="CT62" i="2" s="1"/>
  <c r="CU62" i="2" s="1"/>
  <c r="CV62" i="2" s="1"/>
  <c r="CW62" i="2" s="1"/>
  <c r="CX62" i="2" s="1"/>
  <c r="CY62" i="2" s="1"/>
  <c r="CZ62" i="2" s="1"/>
  <c r="DA62" i="2" s="1"/>
  <c r="DB62" i="2" s="1"/>
  <c r="DC62" i="2" s="1"/>
  <c r="DD62" i="2" s="1"/>
  <c r="DE62" i="2" s="1"/>
  <c r="DF62" i="2" s="1"/>
  <c r="DG62" i="2" s="1"/>
  <c r="DH62" i="2" s="1"/>
  <c r="DI62" i="2" s="1"/>
  <c r="DJ62" i="2" s="1"/>
  <c r="DK62" i="2" s="1"/>
  <c r="DL62" i="2" s="1"/>
  <c r="DM62" i="2" s="1"/>
  <c r="DN62" i="2" s="1"/>
  <c r="DO62" i="2" s="1"/>
  <c r="BH72" i="2" s="1"/>
  <c r="BD63" i="2"/>
  <c r="BD75" i="2"/>
  <c r="BH73" i="2" l="1"/>
  <c r="BH75" i="2" s="1"/>
</calcChain>
</file>

<file path=xl/comments1.xml><?xml version="1.0" encoding="utf-8"?>
<comments xmlns="http://schemas.openxmlformats.org/spreadsheetml/2006/main">
  <authors>
    <author>Martin Shkreli</author>
  </authors>
  <commentList>
    <comment ref="AX6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COM expiry?</t>
        </r>
      </text>
    </comment>
    <comment ref="AC11" authorId="0" shapeId="0">
      <text>
        <r>
          <rPr>
            <b/>
            <sz val="9"/>
            <color indexed="81"/>
            <rFont val="Tahoma"/>
            <charset val="1"/>
          </rPr>
          <t>Martin Shkreli:</t>
        </r>
        <r>
          <rPr>
            <sz val="9"/>
            <color indexed="81"/>
            <rFont val="Tahoma"/>
            <charset val="1"/>
          </rPr>
          <t xml:space="preserve">
-9% US!?</t>
        </r>
      </text>
    </comment>
    <comment ref="AC47" authorId="0" shapeId="0">
      <text>
        <r>
          <rPr>
            <b/>
            <sz val="9"/>
            <color indexed="81"/>
            <rFont val="Tahoma"/>
            <charset val="1"/>
          </rPr>
          <t>Martin Shkreli:</t>
        </r>
        <r>
          <rPr>
            <sz val="9"/>
            <color indexed="81"/>
            <rFont val="Tahoma"/>
            <charset val="1"/>
          </rPr>
          <t xml:space="preserve">
+12.2 'operational'</t>
        </r>
      </text>
    </comment>
    <comment ref="AP52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Q3: kept 71.5-72.2</t>
        </r>
      </text>
    </comment>
    <comment ref="Y58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5212 adjusted</t>
        </r>
      </text>
    </comment>
    <comment ref="AC58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5831 adjusted</t>
        </r>
      </text>
    </comment>
    <comment ref="AC62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4683 adjusted</t>
        </r>
      </text>
    </comment>
    <comment ref="AP63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Q3: raised to 6.68-6.73</t>
        </r>
      </text>
    </comment>
  </commentList>
</comments>
</file>

<file path=xl/sharedStrings.xml><?xml version="1.0" encoding="utf-8"?>
<sst xmlns="http://schemas.openxmlformats.org/spreadsheetml/2006/main" count="249" uniqueCount="211">
  <si>
    <t>Price</t>
  </si>
  <si>
    <t>Shares</t>
  </si>
  <si>
    <t>MC</t>
  </si>
  <si>
    <t>Cash</t>
  </si>
  <si>
    <t>Debt</t>
  </si>
  <si>
    <t>EV</t>
  </si>
  <si>
    <t>Brand</t>
  </si>
  <si>
    <t>Remicade</t>
  </si>
  <si>
    <t>Generic</t>
  </si>
  <si>
    <t>infliximab</t>
  </si>
  <si>
    <t>Q115</t>
  </si>
  <si>
    <t>Q116</t>
  </si>
  <si>
    <t>Main</t>
  </si>
  <si>
    <t>Q114</t>
  </si>
  <si>
    <t>Q214</t>
  </si>
  <si>
    <t>Q314</t>
  </si>
  <si>
    <t>Q414</t>
  </si>
  <si>
    <t>Q215</t>
  </si>
  <si>
    <t>Q315</t>
  </si>
  <si>
    <t>Q415</t>
  </si>
  <si>
    <t>Q216</t>
  </si>
  <si>
    <t>Q316</t>
  </si>
  <si>
    <t>Q416</t>
  </si>
  <si>
    <t>OTC</t>
  </si>
  <si>
    <t>Skin</t>
  </si>
  <si>
    <t>Baby</t>
  </si>
  <si>
    <t>Oral</t>
  </si>
  <si>
    <t>Women's</t>
  </si>
  <si>
    <t>Wound</t>
  </si>
  <si>
    <t>Stelara</t>
  </si>
  <si>
    <t>Simponi</t>
  </si>
  <si>
    <t>Edurant</t>
  </si>
  <si>
    <t>Prezista</t>
  </si>
  <si>
    <t>Concerta</t>
  </si>
  <si>
    <t>Invega Sustenna</t>
  </si>
  <si>
    <t>Risperdal Consta</t>
  </si>
  <si>
    <t>Imbruvica</t>
  </si>
  <si>
    <t>Velcade</t>
  </si>
  <si>
    <t>Zytiga</t>
  </si>
  <si>
    <t>Xarelto</t>
  </si>
  <si>
    <t>Invokana</t>
  </si>
  <si>
    <t>Procrit</t>
  </si>
  <si>
    <t>Invega</t>
  </si>
  <si>
    <t>Olysio/Sovriad</t>
  </si>
  <si>
    <t>Hips</t>
  </si>
  <si>
    <t>Knees</t>
  </si>
  <si>
    <t>Trauma</t>
  </si>
  <si>
    <t>Spine</t>
  </si>
  <si>
    <t>Surgery Advanced</t>
  </si>
  <si>
    <t>Surgery General</t>
  </si>
  <si>
    <t>Surgery Specialty</t>
  </si>
  <si>
    <t>Vision</t>
  </si>
  <si>
    <t>Cardiovascular</t>
  </si>
  <si>
    <t>Diabetes</t>
  </si>
  <si>
    <t>Diagnostics</t>
  </si>
  <si>
    <t>Other Pharma</t>
  </si>
  <si>
    <t>Revenue</t>
  </si>
  <si>
    <t>EPS</t>
  </si>
  <si>
    <t>Taxes</t>
  </si>
  <si>
    <t>Net Income</t>
  </si>
  <si>
    <t>Pretax Income</t>
  </si>
  <si>
    <t>Interest Income</t>
  </si>
  <si>
    <t>Operating Expenses</t>
  </si>
  <si>
    <t>Operating Income</t>
  </si>
  <si>
    <t>R&amp;D</t>
  </si>
  <si>
    <t>SG&amp;A</t>
  </si>
  <si>
    <t>Gross Profit</t>
  </si>
  <si>
    <t>COGS</t>
  </si>
  <si>
    <t>AR</t>
  </si>
  <si>
    <t>Inventory</t>
  </si>
  <si>
    <t>Prepaids</t>
  </si>
  <si>
    <t>PP&amp;E</t>
  </si>
  <si>
    <t>Goodwill</t>
  </si>
  <si>
    <t>DT</t>
  </si>
  <si>
    <t>OA</t>
  </si>
  <si>
    <t>Assets</t>
  </si>
  <si>
    <t>AP</t>
  </si>
  <si>
    <t>AL</t>
  </si>
  <si>
    <t>Rebates</t>
  </si>
  <si>
    <t>Compensation</t>
  </si>
  <si>
    <t>Pension</t>
  </si>
  <si>
    <t>OL</t>
  </si>
  <si>
    <t>SE</t>
  </si>
  <si>
    <t>L+SE</t>
  </si>
  <si>
    <t>Net Cash</t>
  </si>
  <si>
    <t>Revenue Growth</t>
  </si>
  <si>
    <t>Gross Margin</t>
  </si>
  <si>
    <t>Ortho</t>
  </si>
  <si>
    <t>Surgical Care</t>
  </si>
  <si>
    <t>Surgery/Other</t>
  </si>
  <si>
    <t>Tax Rate</t>
  </si>
  <si>
    <t>rivaroxaban</t>
  </si>
  <si>
    <t>IP</t>
  </si>
  <si>
    <t>Mechanism</t>
  </si>
  <si>
    <t>Factor Xa antagonist</t>
  </si>
  <si>
    <t>Economics</t>
  </si>
  <si>
    <t>Bayer partnership</t>
  </si>
  <si>
    <t>Approved</t>
  </si>
  <si>
    <t>7592339 expires 12/11/2020</t>
  </si>
  <si>
    <t>7585860 expires 12/11/2020</t>
  </si>
  <si>
    <t>7157456 expires 8/28/2024 COM? Filed 12/11/2000 Issued 1/2/2007</t>
  </si>
  <si>
    <t>esketamine</t>
  </si>
  <si>
    <t>TRD</t>
  </si>
  <si>
    <t>Indication</t>
  </si>
  <si>
    <t>VTE</t>
  </si>
  <si>
    <t>apalutamide</t>
  </si>
  <si>
    <t>mHRPC</t>
  </si>
  <si>
    <t>JNJ-872</t>
  </si>
  <si>
    <t>Influenza</t>
  </si>
  <si>
    <t>RSV</t>
  </si>
  <si>
    <t>AL-8176</t>
  </si>
  <si>
    <t>Phase</t>
  </si>
  <si>
    <t>III</t>
  </si>
  <si>
    <t>JNJ-922</t>
  </si>
  <si>
    <t>Insomnia</t>
  </si>
  <si>
    <t>imetelstat</t>
  </si>
  <si>
    <t>GERN</t>
  </si>
  <si>
    <t>Myelofibrosis</t>
  </si>
  <si>
    <t>JNJ-493</t>
  </si>
  <si>
    <t>MOA</t>
  </si>
  <si>
    <t>FGFr</t>
  </si>
  <si>
    <t>Orexin</t>
  </si>
  <si>
    <t>NMDA</t>
  </si>
  <si>
    <t>sirukumab</t>
  </si>
  <si>
    <t>guselkumab</t>
  </si>
  <si>
    <t>Discount</t>
  </si>
  <si>
    <t>ROIC</t>
  </si>
  <si>
    <t>Maturity</t>
  </si>
  <si>
    <t>NPV</t>
  </si>
  <si>
    <t>Share</t>
  </si>
  <si>
    <t>Current</t>
  </si>
  <si>
    <t>Delta</t>
  </si>
  <si>
    <t>Risperdal</t>
  </si>
  <si>
    <t>Bayer</t>
  </si>
  <si>
    <t>Factor Xa</t>
  </si>
  <si>
    <t>TNF mab</t>
  </si>
  <si>
    <t>MRK</t>
  </si>
  <si>
    <t>abiraterone</t>
  </si>
  <si>
    <t>canagliflozin</t>
  </si>
  <si>
    <t>SGLT2</t>
  </si>
  <si>
    <t>T2D</t>
  </si>
  <si>
    <t>Crohn's, RA</t>
  </si>
  <si>
    <t>golimumab</t>
  </si>
  <si>
    <t>ustekinumab</t>
  </si>
  <si>
    <t>Psoriasis</t>
  </si>
  <si>
    <t>100%, BMY?</t>
  </si>
  <si>
    <t>JNJ US MRK ROW</t>
  </si>
  <si>
    <t>Incivo</t>
  </si>
  <si>
    <t>JNJ US, Takeda ROW</t>
  </si>
  <si>
    <t>proteasome</t>
  </si>
  <si>
    <t>bortezomib</t>
  </si>
  <si>
    <t>Multiple Myeloma</t>
  </si>
  <si>
    <t>methylphenidate</t>
  </si>
  <si>
    <t>ADHD</t>
  </si>
  <si>
    <t>HIV</t>
  </si>
  <si>
    <t>Q113</t>
  </si>
  <si>
    <t>Q213</t>
  </si>
  <si>
    <t>Q313</t>
  </si>
  <si>
    <t>Q413</t>
  </si>
  <si>
    <t>Q112</t>
  </si>
  <si>
    <t>Q212</t>
  </si>
  <si>
    <t>Q312</t>
  </si>
  <si>
    <t>Q412</t>
  </si>
  <si>
    <t>9/16/16: Acquires AMO for $4.3bn.</t>
  </si>
  <si>
    <t>Model NI</t>
  </si>
  <si>
    <t>Reported NI</t>
  </si>
  <si>
    <t>Q117</t>
  </si>
  <si>
    <t>Q217</t>
  </si>
  <si>
    <t>Q317</t>
  </si>
  <si>
    <t>Q417</t>
  </si>
  <si>
    <t>Aciphex</t>
  </si>
  <si>
    <t>Intelence</t>
  </si>
  <si>
    <t>Infection</t>
  </si>
  <si>
    <t>D&amp;A</t>
  </si>
  <si>
    <t>SBC</t>
  </si>
  <si>
    <t>Write-downs</t>
  </si>
  <si>
    <t>A/R allowances</t>
  </si>
  <si>
    <t>Deferred Tax</t>
  </si>
  <si>
    <t>A/R</t>
  </si>
  <si>
    <t>Inventories</t>
  </si>
  <si>
    <t>OCA</t>
  </si>
  <si>
    <t>OCL</t>
  </si>
  <si>
    <t>CFFO</t>
  </si>
  <si>
    <t>CIC</t>
  </si>
  <si>
    <t>FX</t>
  </si>
  <si>
    <t>CFFF</t>
  </si>
  <si>
    <t>CFFI</t>
  </si>
  <si>
    <t>CapEx</t>
  </si>
  <si>
    <t>Disposals</t>
  </si>
  <si>
    <t>Acquisitions</t>
  </si>
  <si>
    <t>Investments</t>
  </si>
  <si>
    <t>Other</t>
  </si>
  <si>
    <t>Dividends</t>
  </si>
  <si>
    <t>Buyback</t>
  </si>
  <si>
    <t>ST Debt</t>
  </si>
  <si>
    <t>LT Debt</t>
  </si>
  <si>
    <t>Option Exercise</t>
  </si>
  <si>
    <t>CFFO+SBC-CapEx</t>
  </si>
  <si>
    <t>Gain of Sale</t>
  </si>
  <si>
    <t>Q111</t>
  </si>
  <si>
    <t>Q211</t>
  </si>
  <si>
    <t>Q311</t>
  </si>
  <si>
    <t>Q411</t>
  </si>
  <si>
    <t>Q110</t>
  </si>
  <si>
    <t>Q210</t>
  </si>
  <si>
    <t>Q310</t>
  </si>
  <si>
    <t>Q410</t>
  </si>
  <si>
    <t>Doxil</t>
  </si>
  <si>
    <t>Topamax</t>
  </si>
  <si>
    <t>Levaquin</t>
  </si>
  <si>
    <t>Duragesic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</si>
</sst>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Fill="1" applyBorder="1"/>
    <xf numFmtId="9" fontId="0" fillId="0" borderId="0" xfId="0" applyNumberFormat="1"/>
    <xf numFmtId="3" fontId="0" fillId="0" borderId="0" xfId="0" applyNumberFormat="1" applyFont="1"/>
    <xf numFmtId="0" fontId="0" fillId="0" borderId="0" xfId="0" applyFont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2" borderId="7" xfId="0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Alignment="1">
      <alignment horizontal="right"/>
    </xf>
    <xf numFmtId="3" fontId="0" fillId="0" borderId="0" xfId="0" applyNumberFormat="1" applyFill="1" applyAlignment="1">
      <alignment horizontal="right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/>
    <xf numFmtId="164" fontId="0" fillId="0" borderId="0" xfId="0" applyNumberFormat="1"/>
    <xf numFmtId="0" fontId="0" fillId="0" borderId="0" xfId="0" applyFill="1" applyAlignment="1">
      <alignment horizontal="right"/>
    </xf>
    <xf numFmtId="3" fontId="0" fillId="0" borderId="0" xfId="0" quotePrefix="1" applyNumberForma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66675</xdr:colOff>
      <xdr:row>0</xdr:row>
      <xdr:rowOff>0</xdr:rowOff>
    </xdr:from>
    <xdr:to>
      <xdr:col>42</xdr:col>
      <xdr:colOff>66675</xdr:colOff>
      <xdr:row>110</xdr:row>
      <xdr:rowOff>9525</xdr:rowOff>
    </xdr:to>
    <xdr:cxnSp macro="">
      <xdr:nvCxnSpPr>
        <xdr:cNvPr id="3" name="Straight Connector 2"/>
        <xdr:cNvCxnSpPr/>
      </xdr:nvCxnSpPr>
      <xdr:spPr>
        <a:xfrm>
          <a:off x="13801725" y="0"/>
          <a:ext cx="0" cy="15068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19050</xdr:colOff>
      <xdr:row>0</xdr:row>
      <xdr:rowOff>38100</xdr:rowOff>
    </xdr:from>
    <xdr:to>
      <xdr:col>29</xdr:col>
      <xdr:colOff>19050</xdr:colOff>
      <xdr:row>132</xdr:row>
      <xdr:rowOff>104775</xdr:rowOff>
    </xdr:to>
    <xdr:cxnSp macro="">
      <xdr:nvCxnSpPr>
        <xdr:cNvPr id="5" name="Straight Connector 4"/>
        <xdr:cNvCxnSpPr/>
      </xdr:nvCxnSpPr>
      <xdr:spPr>
        <a:xfrm>
          <a:off x="13144500" y="38100"/>
          <a:ext cx="0" cy="204692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9"/>
  <sheetViews>
    <sheetView workbookViewId="0"/>
  </sheetViews>
  <sheetFormatPr defaultRowHeight="12.75" x14ac:dyDescent="0.2"/>
  <cols>
    <col min="1" max="1" width="5" customWidth="1"/>
    <col min="2" max="2" width="15.28515625" bestFit="1" customWidth="1"/>
    <col min="3" max="3" width="11.5703125" customWidth="1"/>
    <col min="4" max="4" width="12.42578125" customWidth="1"/>
    <col min="5" max="5" width="12.85546875" customWidth="1"/>
    <col min="6" max="6" width="19.5703125" customWidth="1"/>
    <col min="7" max="7" width="12.28515625" customWidth="1"/>
  </cols>
  <sheetData>
    <row r="2" spans="2:13" x14ac:dyDescent="0.2">
      <c r="B2" s="8" t="s">
        <v>6</v>
      </c>
      <c r="C2" s="9" t="s">
        <v>8</v>
      </c>
      <c r="D2" s="9" t="s">
        <v>103</v>
      </c>
      <c r="E2" s="24" t="s">
        <v>97</v>
      </c>
      <c r="F2" s="24" t="s">
        <v>95</v>
      </c>
      <c r="G2" s="10" t="s">
        <v>119</v>
      </c>
      <c r="K2" t="s">
        <v>0</v>
      </c>
      <c r="L2" s="1">
        <v>114.59</v>
      </c>
    </row>
    <row r="3" spans="2:13" x14ac:dyDescent="0.2">
      <c r="B3" s="2" t="s">
        <v>7</v>
      </c>
      <c r="C3" s="3" t="s">
        <v>9</v>
      </c>
      <c r="D3" s="3" t="s">
        <v>141</v>
      </c>
      <c r="E3" s="31">
        <v>36031</v>
      </c>
      <c r="F3" s="30" t="s">
        <v>146</v>
      </c>
      <c r="G3" s="4" t="s">
        <v>135</v>
      </c>
      <c r="K3" t="s">
        <v>1</v>
      </c>
      <c r="L3" s="11">
        <v>2794</v>
      </c>
      <c r="M3" s="12" t="s">
        <v>20</v>
      </c>
    </row>
    <row r="4" spans="2:13" x14ac:dyDescent="0.2">
      <c r="B4" s="2" t="s">
        <v>39</v>
      </c>
      <c r="C4" s="3" t="s">
        <v>91</v>
      </c>
      <c r="D4" s="3" t="s">
        <v>104</v>
      </c>
      <c r="E4" s="25"/>
      <c r="F4" s="27" t="s">
        <v>133</v>
      </c>
      <c r="G4" s="4" t="s">
        <v>134</v>
      </c>
      <c r="K4" t="s">
        <v>2</v>
      </c>
      <c r="L4" s="11">
        <f>+L3*L2</f>
        <v>320164.46000000002</v>
      </c>
      <c r="M4" s="12"/>
    </row>
    <row r="5" spans="2:13" x14ac:dyDescent="0.2">
      <c r="B5" s="2" t="s">
        <v>132</v>
      </c>
      <c r="C5" s="3"/>
      <c r="D5" s="3"/>
      <c r="E5" s="25"/>
      <c r="F5" s="25"/>
      <c r="G5" s="4"/>
      <c r="K5" t="s">
        <v>3</v>
      </c>
      <c r="L5" s="11">
        <v>42584</v>
      </c>
      <c r="M5" s="12" t="s">
        <v>20</v>
      </c>
    </row>
    <row r="6" spans="2:13" x14ac:dyDescent="0.2">
      <c r="B6" s="2" t="s">
        <v>42</v>
      </c>
      <c r="C6" s="3"/>
      <c r="D6" s="3"/>
      <c r="E6" s="25"/>
      <c r="F6" s="25"/>
      <c r="G6" s="4"/>
      <c r="K6" t="s">
        <v>4</v>
      </c>
      <c r="L6" s="11">
        <v>26243</v>
      </c>
      <c r="M6" s="12" t="s">
        <v>20</v>
      </c>
    </row>
    <row r="7" spans="2:13" x14ac:dyDescent="0.2">
      <c r="B7" s="2" t="s">
        <v>35</v>
      </c>
      <c r="C7" s="3"/>
      <c r="D7" s="3"/>
      <c r="E7" s="25"/>
      <c r="F7" s="25"/>
      <c r="G7" s="4"/>
      <c r="K7" t="s">
        <v>5</v>
      </c>
      <c r="L7" s="11">
        <f>+L4-L5+L6</f>
        <v>303823.46000000002</v>
      </c>
    </row>
    <row r="8" spans="2:13" x14ac:dyDescent="0.2">
      <c r="B8" s="2" t="s">
        <v>38</v>
      </c>
      <c r="C8" s="3" t="s">
        <v>137</v>
      </c>
      <c r="D8" s="3"/>
      <c r="E8" s="25"/>
      <c r="F8" s="25"/>
      <c r="G8" s="4"/>
    </row>
    <row r="9" spans="2:13" x14ac:dyDescent="0.2">
      <c r="B9" s="2" t="s">
        <v>32</v>
      </c>
      <c r="C9" s="3"/>
      <c r="D9" s="3"/>
      <c r="E9" s="25"/>
      <c r="F9" s="25"/>
      <c r="G9" s="4"/>
    </row>
    <row r="10" spans="2:13" x14ac:dyDescent="0.2">
      <c r="B10" s="2" t="s">
        <v>30</v>
      </c>
      <c r="C10" s="3" t="s">
        <v>142</v>
      </c>
      <c r="D10" s="3" t="s">
        <v>141</v>
      </c>
      <c r="E10" s="25"/>
      <c r="F10" s="25" t="s">
        <v>136</v>
      </c>
      <c r="G10" s="4" t="s">
        <v>135</v>
      </c>
    </row>
    <row r="11" spans="2:13" x14ac:dyDescent="0.2">
      <c r="B11" s="2" t="s">
        <v>40</v>
      </c>
      <c r="C11" s="3" t="s">
        <v>138</v>
      </c>
      <c r="D11" s="3" t="s">
        <v>140</v>
      </c>
      <c r="E11" s="25"/>
      <c r="F11" s="28">
        <v>1</v>
      </c>
      <c r="G11" s="4" t="s">
        <v>139</v>
      </c>
    </row>
    <row r="12" spans="2:13" x14ac:dyDescent="0.2">
      <c r="B12" s="2" t="s">
        <v>29</v>
      </c>
      <c r="C12" s="20" t="s">
        <v>143</v>
      </c>
      <c r="D12" s="3" t="s">
        <v>144</v>
      </c>
      <c r="E12" s="25"/>
      <c r="F12" s="28" t="s">
        <v>145</v>
      </c>
      <c r="G12" s="4"/>
    </row>
    <row r="13" spans="2:13" x14ac:dyDescent="0.2">
      <c r="B13" s="2" t="s">
        <v>31</v>
      </c>
      <c r="C13" s="3"/>
      <c r="D13" s="20" t="s">
        <v>154</v>
      </c>
      <c r="E13" s="25"/>
      <c r="F13" s="3"/>
      <c r="G13" s="4"/>
    </row>
    <row r="14" spans="2:13" x14ac:dyDescent="0.2">
      <c r="B14" s="2" t="s">
        <v>33</v>
      </c>
      <c r="C14" s="20" t="s">
        <v>152</v>
      </c>
      <c r="D14" s="20" t="s">
        <v>153</v>
      </c>
      <c r="E14" s="25"/>
      <c r="F14" s="3"/>
      <c r="G14" s="4"/>
    </row>
    <row r="15" spans="2:13" x14ac:dyDescent="0.2">
      <c r="B15" s="2" t="s">
        <v>37</v>
      </c>
      <c r="C15" s="20" t="s">
        <v>150</v>
      </c>
      <c r="D15" s="20" t="s">
        <v>151</v>
      </c>
      <c r="E15" s="25"/>
      <c r="F15" s="3" t="s">
        <v>148</v>
      </c>
      <c r="G15" s="4" t="s">
        <v>149</v>
      </c>
    </row>
    <row r="16" spans="2:13" x14ac:dyDescent="0.2">
      <c r="B16" s="2"/>
      <c r="C16" s="3"/>
      <c r="D16" s="3"/>
      <c r="E16" s="25"/>
      <c r="F16" s="3"/>
      <c r="G16" s="4"/>
    </row>
    <row r="17" spans="2:7" x14ac:dyDescent="0.2">
      <c r="B17" s="2"/>
      <c r="C17" s="3"/>
      <c r="D17" s="3"/>
      <c r="E17" s="25"/>
      <c r="F17" s="3"/>
      <c r="G17" s="4"/>
    </row>
    <row r="18" spans="2:7" x14ac:dyDescent="0.2">
      <c r="B18" s="2"/>
      <c r="C18" s="3"/>
      <c r="D18" s="3"/>
      <c r="E18" s="25"/>
      <c r="F18" s="3"/>
      <c r="G18" s="4"/>
    </row>
    <row r="19" spans="2:7" x14ac:dyDescent="0.2">
      <c r="B19" s="8"/>
      <c r="C19" s="9"/>
      <c r="D19" s="9"/>
      <c r="E19" s="24" t="s">
        <v>111</v>
      </c>
      <c r="F19" s="9"/>
      <c r="G19" s="10"/>
    </row>
    <row r="20" spans="2:7" x14ac:dyDescent="0.2">
      <c r="B20" s="2" t="s">
        <v>101</v>
      </c>
      <c r="C20" s="3"/>
      <c r="D20" s="3" t="s">
        <v>102</v>
      </c>
      <c r="E20" s="25" t="s">
        <v>112</v>
      </c>
      <c r="F20" s="3"/>
      <c r="G20" s="4" t="s">
        <v>122</v>
      </c>
    </row>
    <row r="21" spans="2:7" x14ac:dyDescent="0.2">
      <c r="B21" s="2" t="s">
        <v>105</v>
      </c>
      <c r="C21" s="3"/>
      <c r="D21" s="3" t="s">
        <v>106</v>
      </c>
      <c r="E21" s="25"/>
      <c r="F21" s="3"/>
      <c r="G21" s="4"/>
    </row>
    <row r="22" spans="2:7" x14ac:dyDescent="0.2">
      <c r="B22" s="2" t="s">
        <v>107</v>
      </c>
      <c r="C22" s="3"/>
      <c r="D22" s="3" t="s">
        <v>108</v>
      </c>
      <c r="E22" s="25"/>
      <c r="F22" s="3"/>
      <c r="G22" s="4"/>
    </row>
    <row r="23" spans="2:7" x14ac:dyDescent="0.2">
      <c r="B23" s="2" t="s">
        <v>110</v>
      </c>
      <c r="C23" s="3"/>
      <c r="D23" s="20" t="s">
        <v>109</v>
      </c>
      <c r="E23" s="25"/>
      <c r="F23" s="3"/>
      <c r="G23" s="4"/>
    </row>
    <row r="24" spans="2:7" x14ac:dyDescent="0.2">
      <c r="B24" s="2" t="s">
        <v>113</v>
      </c>
      <c r="C24" s="3"/>
      <c r="D24" s="20" t="s">
        <v>114</v>
      </c>
      <c r="E24" s="25"/>
      <c r="F24" s="3"/>
      <c r="G24" s="4" t="s">
        <v>121</v>
      </c>
    </row>
    <row r="25" spans="2:7" x14ac:dyDescent="0.2">
      <c r="B25" s="2" t="s">
        <v>115</v>
      </c>
      <c r="C25" s="3"/>
      <c r="D25" s="20" t="s">
        <v>117</v>
      </c>
      <c r="E25" s="25"/>
      <c r="F25" s="3" t="s">
        <v>116</v>
      </c>
      <c r="G25" s="4"/>
    </row>
    <row r="26" spans="2:7" x14ac:dyDescent="0.2">
      <c r="B26" s="2" t="s">
        <v>118</v>
      </c>
      <c r="C26" s="3"/>
      <c r="D26" s="3"/>
      <c r="E26" s="25"/>
      <c r="F26" s="3"/>
      <c r="G26" s="4" t="s">
        <v>120</v>
      </c>
    </row>
    <row r="27" spans="2:7" x14ac:dyDescent="0.2">
      <c r="B27" s="2" t="s">
        <v>123</v>
      </c>
      <c r="C27" s="3"/>
      <c r="D27" s="3"/>
      <c r="E27" s="25"/>
      <c r="F27" s="3"/>
      <c r="G27" s="4"/>
    </row>
    <row r="28" spans="2:7" x14ac:dyDescent="0.2">
      <c r="B28" s="2" t="s">
        <v>124</v>
      </c>
      <c r="C28" s="3"/>
      <c r="D28" s="3"/>
      <c r="E28" s="25"/>
      <c r="F28" s="3"/>
      <c r="G28" s="4"/>
    </row>
    <row r="29" spans="2:7" x14ac:dyDescent="0.2">
      <c r="B29" s="2"/>
      <c r="C29" s="3"/>
      <c r="D29" s="3"/>
      <c r="E29" s="25"/>
      <c r="F29" s="3"/>
      <c r="G29" s="4"/>
    </row>
    <row r="30" spans="2:7" x14ac:dyDescent="0.2">
      <c r="B30" s="2"/>
      <c r="C30" s="3"/>
      <c r="D30" s="3"/>
      <c r="E30" s="25"/>
      <c r="F30" s="3"/>
      <c r="G30" s="4"/>
    </row>
    <row r="31" spans="2:7" x14ac:dyDescent="0.2">
      <c r="B31" s="5"/>
      <c r="C31" s="6"/>
      <c r="D31" s="6"/>
      <c r="E31" s="26"/>
      <c r="F31" s="6"/>
      <c r="G31" s="7"/>
    </row>
    <row r="32" spans="2:7" x14ac:dyDescent="0.2">
      <c r="E32" s="29"/>
    </row>
    <row r="33" spans="2:5" x14ac:dyDescent="0.2">
      <c r="B33" t="s">
        <v>163</v>
      </c>
      <c r="E33" s="29"/>
    </row>
    <row r="34" spans="2:5" x14ac:dyDescent="0.2">
      <c r="E34" s="29"/>
    </row>
    <row r="35" spans="2:5" x14ac:dyDescent="0.2">
      <c r="E35" s="29"/>
    </row>
    <row r="36" spans="2:5" x14ac:dyDescent="0.2">
      <c r="E36" s="29"/>
    </row>
    <row r="37" spans="2:5" x14ac:dyDescent="0.2">
      <c r="E37" s="29"/>
    </row>
    <row r="38" spans="2:5" x14ac:dyDescent="0.2">
      <c r="E38" s="29"/>
    </row>
    <row r="39" spans="2:5" x14ac:dyDescent="0.2">
      <c r="E39" s="2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O130"/>
  <sheetViews>
    <sheetView tabSelected="1"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G52" sqref="G52"/>
    </sheetView>
  </sheetViews>
  <sheetFormatPr defaultRowHeight="12.75" x14ac:dyDescent="0.2"/>
  <cols>
    <col min="1" max="1" width="5" bestFit="1" customWidth="1"/>
    <col min="2" max="2" width="18.140625" bestFit="1" customWidth="1"/>
    <col min="3" max="34" width="9.140625" style="12"/>
    <col min="60" max="60" width="7.5703125" bestFit="1" customWidth="1"/>
  </cols>
  <sheetData>
    <row r="1" spans="1:58" x14ac:dyDescent="0.2">
      <c r="A1" s="13" t="s">
        <v>12</v>
      </c>
      <c r="Y1" s="37"/>
      <c r="Z1" s="32">
        <v>42372</v>
      </c>
      <c r="AA1" s="32">
        <v>42463</v>
      </c>
      <c r="AB1" s="32">
        <v>42554</v>
      </c>
    </row>
    <row r="2" spans="1:58" x14ac:dyDescent="0.2">
      <c r="C2" s="12" t="s">
        <v>203</v>
      </c>
      <c r="D2" s="12" t="s">
        <v>204</v>
      </c>
      <c r="E2" s="12" t="s">
        <v>205</v>
      </c>
      <c r="F2" s="12" t="s">
        <v>206</v>
      </c>
      <c r="G2" s="12" t="s">
        <v>199</v>
      </c>
      <c r="H2" s="12" t="s">
        <v>200</v>
      </c>
      <c r="I2" s="12" t="s">
        <v>201</v>
      </c>
      <c r="J2" s="12" t="s">
        <v>202</v>
      </c>
      <c r="K2" s="12" t="s">
        <v>159</v>
      </c>
      <c r="L2" s="12" t="s">
        <v>160</v>
      </c>
      <c r="M2" s="12" t="s">
        <v>161</v>
      </c>
      <c r="N2" s="12" t="s">
        <v>162</v>
      </c>
      <c r="O2" s="12" t="s">
        <v>155</v>
      </c>
      <c r="P2" s="12" t="s">
        <v>156</v>
      </c>
      <c r="Q2" s="12" t="s">
        <v>157</v>
      </c>
      <c r="R2" s="12" t="s">
        <v>158</v>
      </c>
      <c r="S2" s="12" t="s">
        <v>13</v>
      </c>
      <c r="T2" s="12" t="s">
        <v>14</v>
      </c>
      <c r="U2" s="12" t="s">
        <v>15</v>
      </c>
      <c r="V2" s="12" t="s">
        <v>16</v>
      </c>
      <c r="W2" s="12" t="s">
        <v>10</v>
      </c>
      <c r="X2" s="12" t="s">
        <v>17</v>
      </c>
      <c r="Y2" s="37" t="s">
        <v>18</v>
      </c>
      <c r="Z2" s="12" t="s">
        <v>19</v>
      </c>
      <c r="AA2" s="12" t="s">
        <v>11</v>
      </c>
      <c r="AB2" s="12" t="s">
        <v>20</v>
      </c>
      <c r="AC2" s="12" t="s">
        <v>21</v>
      </c>
      <c r="AD2" s="12" t="s">
        <v>22</v>
      </c>
      <c r="AE2" s="12" t="s">
        <v>166</v>
      </c>
      <c r="AF2" s="12" t="s">
        <v>167</v>
      </c>
      <c r="AG2" s="12" t="s">
        <v>168</v>
      </c>
      <c r="AH2" s="12" t="s">
        <v>169</v>
      </c>
      <c r="AJ2">
        <v>2010</v>
      </c>
      <c r="AK2">
        <f>+AJ2+1</f>
        <v>2011</v>
      </c>
      <c r="AL2">
        <f t="shared" ref="AL2:BF2" si="0">+AK2+1</f>
        <v>2012</v>
      </c>
      <c r="AM2">
        <f t="shared" si="0"/>
        <v>2013</v>
      </c>
      <c r="AN2">
        <f t="shared" si="0"/>
        <v>2014</v>
      </c>
      <c r="AO2">
        <f t="shared" si="0"/>
        <v>2015</v>
      </c>
      <c r="AP2">
        <f t="shared" si="0"/>
        <v>2016</v>
      </c>
      <c r="AQ2">
        <f t="shared" si="0"/>
        <v>2017</v>
      </c>
      <c r="AR2">
        <f t="shared" si="0"/>
        <v>2018</v>
      </c>
      <c r="AS2">
        <f t="shared" si="0"/>
        <v>2019</v>
      </c>
      <c r="AT2">
        <f t="shared" si="0"/>
        <v>2020</v>
      </c>
      <c r="AU2">
        <f t="shared" si="0"/>
        <v>2021</v>
      </c>
      <c r="AV2">
        <f t="shared" si="0"/>
        <v>2022</v>
      </c>
      <c r="AW2">
        <f t="shared" si="0"/>
        <v>2023</v>
      </c>
      <c r="AX2">
        <f t="shared" si="0"/>
        <v>2024</v>
      </c>
      <c r="AY2">
        <f t="shared" si="0"/>
        <v>2025</v>
      </c>
      <c r="AZ2">
        <f t="shared" si="0"/>
        <v>2026</v>
      </c>
      <c r="BA2">
        <f t="shared" si="0"/>
        <v>2027</v>
      </c>
      <c r="BB2">
        <f t="shared" si="0"/>
        <v>2028</v>
      </c>
      <c r="BC2">
        <f t="shared" si="0"/>
        <v>2029</v>
      </c>
      <c r="BD2">
        <f t="shared" si="0"/>
        <v>2030</v>
      </c>
      <c r="BE2">
        <f t="shared" si="0"/>
        <v>2031</v>
      </c>
      <c r="BF2">
        <f t="shared" si="0"/>
        <v>2032</v>
      </c>
    </row>
    <row r="3" spans="1:58" s="11" customFormat="1" x14ac:dyDescent="0.2">
      <c r="B3" s="11" t="s">
        <v>7</v>
      </c>
      <c r="C3" s="14"/>
      <c r="D3" s="14"/>
      <c r="E3" s="14"/>
      <c r="F3" s="14">
        <v>1065</v>
      </c>
      <c r="G3" s="14"/>
      <c r="H3" s="14"/>
      <c r="I3" s="14"/>
      <c r="J3" s="14">
        <v>1428</v>
      </c>
      <c r="K3" s="14">
        <v>1521</v>
      </c>
      <c r="L3" s="14">
        <v>1523</v>
      </c>
      <c r="M3" s="14">
        <v>1591</v>
      </c>
      <c r="N3" s="14">
        <v>1504</v>
      </c>
      <c r="O3" s="14">
        <v>1600</v>
      </c>
      <c r="P3" s="14">
        <v>1672</v>
      </c>
      <c r="Q3" s="14">
        <v>1689</v>
      </c>
      <c r="R3" s="14">
        <v>1712</v>
      </c>
      <c r="S3" s="14">
        <v>1610</v>
      </c>
      <c r="T3" s="14">
        <v>1804</v>
      </c>
      <c r="U3" s="14">
        <v>1782</v>
      </c>
      <c r="V3" s="14">
        <v>1672</v>
      </c>
      <c r="W3" s="14">
        <v>1600</v>
      </c>
      <c r="X3" s="14">
        <v>1668</v>
      </c>
      <c r="Y3" s="33">
        <v>1613</v>
      </c>
      <c r="Z3" s="14">
        <v>1680</v>
      </c>
      <c r="AA3" s="14">
        <v>1779</v>
      </c>
      <c r="AB3" s="14">
        <v>1780</v>
      </c>
      <c r="AC3" s="14">
        <v>1783</v>
      </c>
      <c r="AD3" s="14">
        <f t="shared" ref="AD3" si="1">+Z3*1.01</f>
        <v>1696.8</v>
      </c>
      <c r="AE3" s="14">
        <f t="shared" ref="AE3" si="2">+AA3*1.01</f>
        <v>1796.79</v>
      </c>
      <c r="AF3" s="14">
        <f t="shared" ref="AF3" si="3">+AB3*1.01</f>
        <v>1797.8</v>
      </c>
      <c r="AG3" s="14">
        <f t="shared" ref="AG3" si="4">+AC3*1.01</f>
        <v>1800.83</v>
      </c>
      <c r="AH3" s="14">
        <f t="shared" ref="AH3" si="5">+AD3*1.01</f>
        <v>1713.768</v>
      </c>
      <c r="AL3" s="11">
        <f>SUM(K3:N3)</f>
        <v>6139</v>
      </c>
      <c r="AM3" s="11">
        <f>SUM(O3:R3)</f>
        <v>6673</v>
      </c>
      <c r="AN3" s="11">
        <f>SUM(S3:V3)</f>
        <v>6868</v>
      </c>
      <c r="AO3" s="11">
        <f>SUM(W3:Z3)</f>
        <v>6561</v>
      </c>
      <c r="AP3" s="11">
        <f>SUM(AA3:AD3)</f>
        <v>7038.8</v>
      </c>
      <c r="AQ3" s="11">
        <f>AP3*0.95</f>
        <v>6686.86</v>
      </c>
      <c r="AR3" s="11">
        <f>AQ3*0.9</f>
        <v>6018.174</v>
      </c>
      <c r="AS3" s="11">
        <f>AR3*0.9</f>
        <v>5416.3566000000001</v>
      </c>
      <c r="AT3" s="11">
        <f>AS3*0.9</f>
        <v>4874.7209400000002</v>
      </c>
      <c r="AU3" s="11">
        <f>AT3*0.9</f>
        <v>4387.2488460000004</v>
      </c>
      <c r="AV3" s="11">
        <f t="shared" ref="AV3:BD3" si="6">AU3*0.9</f>
        <v>3948.5239614000006</v>
      </c>
      <c r="AW3" s="11">
        <f t="shared" si="6"/>
        <v>3553.6715652600005</v>
      </c>
      <c r="AX3" s="11">
        <f t="shared" si="6"/>
        <v>3198.3044087340004</v>
      </c>
      <c r="AY3" s="11">
        <f t="shared" si="6"/>
        <v>2878.4739678606006</v>
      </c>
      <c r="AZ3" s="11">
        <f t="shared" si="6"/>
        <v>2590.6265710745406</v>
      </c>
      <c r="BA3" s="11">
        <f t="shared" si="6"/>
        <v>2331.5639139670866</v>
      </c>
      <c r="BB3" s="11">
        <f t="shared" si="6"/>
        <v>2098.4075225703782</v>
      </c>
      <c r="BC3" s="11">
        <f t="shared" si="6"/>
        <v>1888.5667703133404</v>
      </c>
      <c r="BD3" s="11">
        <f t="shared" si="6"/>
        <v>1699.7100932820065</v>
      </c>
    </row>
    <row r="4" spans="1:58" s="11" customFormat="1" x14ac:dyDescent="0.2">
      <c r="B4" s="11" t="s">
        <v>55</v>
      </c>
      <c r="C4" s="14"/>
      <c r="D4" s="14"/>
      <c r="E4" s="14"/>
      <c r="F4" s="14">
        <f>1700-F5-F21-F18-F10</f>
        <v>1334</v>
      </c>
      <c r="G4" s="14"/>
      <c r="H4" s="14"/>
      <c r="I4" s="14"/>
      <c r="J4" s="14">
        <f>2264-J5-J21-J18-J10</f>
        <v>1730</v>
      </c>
      <c r="K4" s="14">
        <f>37+219+43+696+615</f>
        <v>1610</v>
      </c>
      <c r="L4" s="14">
        <f>602+36+754+222+23</f>
        <v>1637</v>
      </c>
      <c r="M4" s="14">
        <f>605+36+711+266+21</f>
        <v>1639</v>
      </c>
      <c r="N4" s="14">
        <f>22+281+713+53+578</f>
        <v>1647</v>
      </c>
      <c r="O4" s="14">
        <f>523+97+737+197+21</f>
        <v>1575</v>
      </c>
      <c r="P4" s="14">
        <f>569+111+689+260+23</f>
        <v>1652</v>
      </c>
      <c r="Q4" s="14">
        <f>18+243+653+113+576</f>
        <v>1603</v>
      </c>
      <c r="R4" s="14">
        <f>19+281+657+94+579</f>
        <v>1630</v>
      </c>
      <c r="S4" s="14">
        <f>18+234+640+102+666</f>
        <v>1660</v>
      </c>
      <c r="T4" s="14">
        <f>17+347+628+104+581</f>
        <v>1677</v>
      </c>
      <c r="U4" s="14">
        <f>527+99+593+217+16</f>
        <v>1452</v>
      </c>
      <c r="V4" s="14">
        <f>15+217+609+107+551</f>
        <v>1499</v>
      </c>
      <c r="W4" s="14">
        <f>14+223+574+97+574</f>
        <v>1482</v>
      </c>
      <c r="X4" s="14">
        <f>586+100+509+219+8</f>
        <v>1422</v>
      </c>
      <c r="Y4" s="33">
        <f>8+190+465+109+522</f>
        <v>1294</v>
      </c>
      <c r="Z4" s="14">
        <f>492+136+517+183+9</f>
        <v>1337</v>
      </c>
      <c r="AA4" s="14">
        <f>6+173+488+231+423</f>
        <v>1321</v>
      </c>
      <c r="AB4" s="14">
        <f>6+187+492+236+412</f>
        <v>1333</v>
      </c>
      <c r="AC4" s="14">
        <f>386+282+409+179+6</f>
        <v>1262</v>
      </c>
      <c r="AD4" s="14">
        <f t="shared" ref="AD4" si="7">+AC4*0.99</f>
        <v>1249.3799999999999</v>
      </c>
      <c r="AE4" s="14">
        <f t="shared" ref="AE4" si="8">+AD4*0.99</f>
        <v>1236.8861999999999</v>
      </c>
      <c r="AF4" s="14">
        <f t="shared" ref="AF4" si="9">+AE4*0.99</f>
        <v>1224.5173379999999</v>
      </c>
      <c r="AG4" s="14">
        <f t="shared" ref="AG4" si="10">+AF4*0.99</f>
        <v>1212.2721646199998</v>
      </c>
      <c r="AH4" s="14">
        <f t="shared" ref="AH4" si="11">+AG4*0.99</f>
        <v>1200.1494429737998</v>
      </c>
      <c r="AL4" s="11">
        <f t="shared" ref="AL4:AL51" si="12">SUM(K4:N4)</f>
        <v>6533</v>
      </c>
      <c r="AM4" s="11">
        <f t="shared" ref="AM4:AM51" si="13">SUM(O4:R4)</f>
        <v>6460</v>
      </c>
      <c r="AN4" s="11">
        <f t="shared" ref="AN4:AN51" si="14">SUM(S4:V4)</f>
        <v>6288</v>
      </c>
      <c r="AO4" s="11">
        <f t="shared" ref="AO4:AO51" si="15">SUM(W4:Z4)</f>
        <v>5535</v>
      </c>
      <c r="AP4" s="11">
        <f t="shared" ref="AP4:AP51" si="16">SUM(AA4:AD4)</f>
        <v>5165.38</v>
      </c>
      <c r="AQ4" s="11">
        <f>+AP4*0.95</f>
        <v>4907.1109999999999</v>
      </c>
      <c r="AR4" s="11">
        <f t="shared" ref="AR4:BD4" si="17">+AQ4*0.95</f>
        <v>4661.7554499999997</v>
      </c>
      <c r="AS4" s="11">
        <f t="shared" si="17"/>
        <v>4428.6676774999996</v>
      </c>
      <c r="AT4" s="11">
        <f t="shared" si="17"/>
        <v>4207.2342936249997</v>
      </c>
      <c r="AU4" s="11">
        <f t="shared" si="17"/>
        <v>3996.8725789437494</v>
      </c>
      <c r="AV4" s="11">
        <f t="shared" si="17"/>
        <v>3797.028949996562</v>
      </c>
      <c r="AW4" s="11">
        <f t="shared" si="17"/>
        <v>3607.1775024967337</v>
      </c>
      <c r="AX4" s="11">
        <f t="shared" si="17"/>
        <v>3426.818627371897</v>
      </c>
      <c r="AY4" s="11">
        <f t="shared" si="17"/>
        <v>3255.4776960033018</v>
      </c>
      <c r="AZ4" s="11">
        <f t="shared" si="17"/>
        <v>3092.7038112031364</v>
      </c>
      <c r="BA4" s="11">
        <f t="shared" si="17"/>
        <v>2938.0686206429796</v>
      </c>
      <c r="BB4" s="11">
        <f t="shared" si="17"/>
        <v>2791.1651896108306</v>
      </c>
      <c r="BC4" s="11">
        <f t="shared" si="17"/>
        <v>2651.6069301302891</v>
      </c>
      <c r="BD4" s="11">
        <f t="shared" si="17"/>
        <v>2519.0265836237745</v>
      </c>
    </row>
    <row r="5" spans="1:58" s="11" customFormat="1" x14ac:dyDescent="0.2">
      <c r="B5" s="11" t="s">
        <v>29</v>
      </c>
      <c r="C5" s="14"/>
      <c r="D5" s="14"/>
      <c r="E5" s="14"/>
      <c r="F5" s="14">
        <v>120</v>
      </c>
      <c r="G5" s="14"/>
      <c r="H5" s="14"/>
      <c r="I5" s="14"/>
      <c r="J5" s="14">
        <v>207</v>
      </c>
      <c r="K5" s="14">
        <v>221</v>
      </c>
      <c r="L5" s="14">
        <v>248</v>
      </c>
      <c r="M5" s="14">
        <v>287</v>
      </c>
      <c r="N5" s="14">
        <v>269</v>
      </c>
      <c r="O5" s="14">
        <v>346</v>
      </c>
      <c r="P5" s="14">
        <v>371</v>
      </c>
      <c r="Q5" s="14">
        <v>370</v>
      </c>
      <c r="R5" s="14">
        <v>417</v>
      </c>
      <c r="S5" s="14">
        <v>456</v>
      </c>
      <c r="T5" s="14">
        <v>528</v>
      </c>
      <c r="U5" s="14">
        <v>543</v>
      </c>
      <c r="V5" s="14">
        <v>545</v>
      </c>
      <c r="W5" s="14">
        <v>549</v>
      </c>
      <c r="X5" s="14">
        <v>570</v>
      </c>
      <c r="Y5" s="33">
        <v>613</v>
      </c>
      <c r="Z5" s="14">
        <v>742</v>
      </c>
      <c r="AA5" s="14">
        <v>735</v>
      </c>
      <c r="AB5" s="14">
        <v>804</v>
      </c>
      <c r="AC5" s="14">
        <v>814</v>
      </c>
      <c r="AD5" s="14">
        <f t="shared" ref="AD5" si="18">+AC5+15</f>
        <v>829</v>
      </c>
      <c r="AE5" s="14">
        <f t="shared" ref="AE5:AE6" si="19">+AD5+15</f>
        <v>844</v>
      </c>
      <c r="AF5" s="14">
        <f t="shared" ref="AF5:AF6" si="20">+AE5+15</f>
        <v>859</v>
      </c>
      <c r="AG5" s="14">
        <f t="shared" ref="AG5:AG6" si="21">+AF5+15</f>
        <v>874</v>
      </c>
      <c r="AH5" s="14">
        <f t="shared" ref="AH5:AH6" si="22">+AG5+15</f>
        <v>889</v>
      </c>
      <c r="AL5" s="11">
        <f t="shared" si="12"/>
        <v>1025</v>
      </c>
      <c r="AM5" s="11">
        <f t="shared" si="13"/>
        <v>1504</v>
      </c>
      <c r="AN5" s="11">
        <f t="shared" si="14"/>
        <v>2072</v>
      </c>
      <c r="AO5" s="11">
        <f t="shared" si="15"/>
        <v>2474</v>
      </c>
      <c r="AP5" s="11">
        <f t="shared" si="16"/>
        <v>3182</v>
      </c>
      <c r="AQ5" s="11">
        <f>+AP5*1.2</f>
        <v>3818.3999999999996</v>
      </c>
      <c r="AR5" s="11">
        <f t="shared" ref="AR5" si="23">+AQ5*1.2</f>
        <v>4582.079999999999</v>
      </c>
      <c r="AS5" s="11">
        <f>+AR5*1.1</f>
        <v>5040.2879999999996</v>
      </c>
      <c r="AT5" s="11">
        <f t="shared" ref="AT5:AT6" si="24">+AS5*1.1</f>
        <v>5544.3167999999996</v>
      </c>
      <c r="AU5" s="11">
        <f>+AT5*1.05</f>
        <v>5821.5326399999994</v>
      </c>
      <c r="AV5" s="11">
        <f t="shared" ref="AV5" si="25">+AU5*1.05</f>
        <v>6112.6092719999997</v>
      </c>
      <c r="AW5" s="11">
        <f>+AV5</f>
        <v>6112.6092719999997</v>
      </c>
      <c r="AX5" s="11">
        <f t="shared" ref="AX5:AZ5" si="26">+AW5</f>
        <v>6112.6092719999997</v>
      </c>
      <c r="AY5" s="11">
        <f t="shared" si="26"/>
        <v>6112.6092719999997</v>
      </c>
      <c r="AZ5" s="11">
        <f t="shared" si="26"/>
        <v>6112.6092719999997</v>
      </c>
      <c r="BA5" s="11">
        <f>+AZ5*0.95</f>
        <v>5806.9788083999993</v>
      </c>
      <c r="BB5" s="11">
        <f t="shared" ref="BB5:BD5" si="27">+BA5*0.95</f>
        <v>5516.6298679799993</v>
      </c>
      <c r="BC5" s="11">
        <f t="shared" si="27"/>
        <v>5240.7983745809988</v>
      </c>
      <c r="BD5" s="11">
        <f t="shared" si="27"/>
        <v>4978.7584558519484</v>
      </c>
    </row>
    <row r="6" spans="1:58" s="11" customFormat="1" x14ac:dyDescent="0.2">
      <c r="B6" s="11" t="s">
        <v>39</v>
      </c>
      <c r="C6" s="14"/>
      <c r="D6" s="14"/>
      <c r="E6" s="14"/>
      <c r="F6" s="14"/>
      <c r="G6" s="14"/>
      <c r="H6" s="14"/>
      <c r="I6" s="14"/>
      <c r="J6" s="14"/>
      <c r="K6" s="14">
        <v>27</v>
      </c>
      <c r="L6" s="14">
        <v>49</v>
      </c>
      <c r="M6" s="14">
        <v>68</v>
      </c>
      <c r="N6" s="14">
        <v>95</v>
      </c>
      <c r="O6" s="14">
        <v>158</v>
      </c>
      <c r="P6" s="14">
        <v>189</v>
      </c>
      <c r="Q6" s="14">
        <v>246</v>
      </c>
      <c r="R6" s="14">
        <v>271</v>
      </c>
      <c r="S6" s="14">
        <v>319</v>
      </c>
      <c r="T6" s="14">
        <v>361</v>
      </c>
      <c r="U6" s="14">
        <v>414</v>
      </c>
      <c r="V6" s="14">
        <v>428</v>
      </c>
      <c r="W6" s="14">
        <v>441</v>
      </c>
      <c r="X6" s="14">
        <v>472</v>
      </c>
      <c r="Y6" s="33">
        <v>461</v>
      </c>
      <c r="Z6" s="14">
        <v>494</v>
      </c>
      <c r="AA6" s="14">
        <v>567</v>
      </c>
      <c r="AB6" s="14">
        <v>594</v>
      </c>
      <c r="AC6" s="14">
        <v>529</v>
      </c>
      <c r="AD6" s="14">
        <f>+AC6+25</f>
        <v>554</v>
      </c>
      <c r="AE6" s="14">
        <f t="shared" si="19"/>
        <v>569</v>
      </c>
      <c r="AF6" s="14">
        <f t="shared" si="20"/>
        <v>584</v>
      </c>
      <c r="AG6" s="14">
        <f t="shared" si="21"/>
        <v>599</v>
      </c>
      <c r="AH6" s="14">
        <f t="shared" si="22"/>
        <v>614</v>
      </c>
      <c r="AL6" s="11">
        <f t="shared" si="12"/>
        <v>239</v>
      </c>
      <c r="AM6" s="11">
        <f t="shared" si="13"/>
        <v>864</v>
      </c>
      <c r="AN6" s="11">
        <f t="shared" si="14"/>
        <v>1522</v>
      </c>
      <c r="AO6" s="11">
        <f t="shared" si="15"/>
        <v>1868</v>
      </c>
      <c r="AP6" s="11">
        <f t="shared" si="16"/>
        <v>2244</v>
      </c>
      <c r="AQ6" s="11">
        <f>+AP6*1.1</f>
        <v>2468.4</v>
      </c>
      <c r="AR6" s="11">
        <f t="shared" ref="AR6:AS6" si="28">+AQ6*1.1</f>
        <v>2715.2400000000002</v>
      </c>
      <c r="AS6" s="11">
        <f t="shared" si="28"/>
        <v>2986.7640000000006</v>
      </c>
      <c r="AT6" s="11">
        <f t="shared" si="24"/>
        <v>3285.4404000000009</v>
      </c>
      <c r="AU6" s="11">
        <f>+AT6*0.98</f>
        <v>3219.731592000001</v>
      </c>
      <c r="AV6" s="11">
        <f t="shared" ref="AV6:AW6" si="29">+AU6*0.98</f>
        <v>3155.3369601600011</v>
      </c>
      <c r="AW6" s="11">
        <f t="shared" si="29"/>
        <v>3092.2302209568011</v>
      </c>
      <c r="AX6" s="11">
        <f>+AW6</f>
        <v>3092.2302209568011</v>
      </c>
      <c r="AY6" s="11">
        <f>+AX6*0.5</f>
        <v>1546.1151104784005</v>
      </c>
      <c r="AZ6" s="11">
        <f t="shared" ref="AZ6:BD6" si="30">+AY6*0.5</f>
        <v>773.05755523920027</v>
      </c>
      <c r="BA6" s="11">
        <f t="shared" si="30"/>
        <v>386.52877761960013</v>
      </c>
      <c r="BB6" s="11">
        <f t="shared" si="30"/>
        <v>193.26438880980007</v>
      </c>
      <c r="BC6" s="11">
        <f t="shared" si="30"/>
        <v>96.632194404900034</v>
      </c>
      <c r="BD6" s="11">
        <f t="shared" si="30"/>
        <v>48.316097202450017</v>
      </c>
    </row>
    <row r="7" spans="1:58" s="11" customFormat="1" x14ac:dyDescent="0.2">
      <c r="B7" s="11" t="s">
        <v>38</v>
      </c>
      <c r="C7" s="14"/>
      <c r="D7" s="14"/>
      <c r="E7" s="14"/>
      <c r="F7" s="14"/>
      <c r="G7" s="14"/>
      <c r="H7" s="14"/>
      <c r="I7" s="14"/>
      <c r="J7" s="14"/>
      <c r="K7" s="14">
        <v>200</v>
      </c>
      <c r="L7" s="14">
        <v>232</v>
      </c>
      <c r="M7" s="14">
        <v>265</v>
      </c>
      <c r="N7" s="14">
        <v>264</v>
      </c>
      <c r="O7" s="14">
        <v>344</v>
      </c>
      <c r="P7" s="14">
        <v>395</v>
      </c>
      <c r="Q7" s="14">
        <v>464</v>
      </c>
      <c r="R7" s="14">
        <v>495</v>
      </c>
      <c r="S7" s="14">
        <v>512</v>
      </c>
      <c r="T7" s="14">
        <v>562</v>
      </c>
      <c r="U7" s="14">
        <v>568</v>
      </c>
      <c r="V7" s="14">
        <v>595</v>
      </c>
      <c r="W7" s="14">
        <v>556</v>
      </c>
      <c r="X7" s="14">
        <v>546</v>
      </c>
      <c r="Y7" s="33">
        <v>548</v>
      </c>
      <c r="Z7" s="14">
        <v>581</v>
      </c>
      <c r="AA7" s="14">
        <v>558</v>
      </c>
      <c r="AB7" s="14">
        <v>601</v>
      </c>
      <c r="AC7" s="14">
        <v>582</v>
      </c>
      <c r="AD7" s="14">
        <f t="shared" ref="AD7" si="31">+AC7</f>
        <v>582</v>
      </c>
      <c r="AE7" s="14">
        <f t="shared" ref="AE7" si="32">+AD7</f>
        <v>582</v>
      </c>
      <c r="AF7" s="14">
        <f t="shared" ref="AF7" si="33">+AE7</f>
        <v>582</v>
      </c>
      <c r="AG7" s="14">
        <f t="shared" ref="AG7" si="34">+AF7</f>
        <v>582</v>
      </c>
      <c r="AH7" s="14">
        <f t="shared" ref="AH7" si="35">+AG7</f>
        <v>582</v>
      </c>
      <c r="AL7" s="11">
        <f t="shared" si="12"/>
        <v>961</v>
      </c>
      <c r="AM7" s="11">
        <f t="shared" si="13"/>
        <v>1698</v>
      </c>
      <c r="AN7" s="11">
        <f t="shared" si="14"/>
        <v>2237</v>
      </c>
      <c r="AO7" s="11">
        <f t="shared" si="15"/>
        <v>2231</v>
      </c>
      <c r="AP7" s="11">
        <f t="shared" si="16"/>
        <v>2323</v>
      </c>
      <c r="AQ7" s="11">
        <f>+AP7*1.05</f>
        <v>2439.15</v>
      </c>
      <c r="AR7" s="11">
        <f>+AQ7*0.5</f>
        <v>1219.575</v>
      </c>
      <c r="AS7" s="11">
        <f t="shared" ref="AS7:BD7" si="36">+AR7*0.5</f>
        <v>609.78750000000002</v>
      </c>
      <c r="AT7" s="11">
        <f t="shared" si="36"/>
        <v>304.89375000000001</v>
      </c>
      <c r="AU7" s="11">
        <f t="shared" si="36"/>
        <v>152.44687500000001</v>
      </c>
      <c r="AV7" s="11">
        <f t="shared" si="36"/>
        <v>76.223437500000003</v>
      </c>
      <c r="AW7" s="11">
        <f t="shared" si="36"/>
        <v>38.111718750000001</v>
      </c>
      <c r="AX7" s="11">
        <f t="shared" si="36"/>
        <v>19.055859375000001</v>
      </c>
      <c r="AY7" s="11">
        <f t="shared" si="36"/>
        <v>9.5279296875000004</v>
      </c>
      <c r="AZ7" s="11">
        <f t="shared" si="36"/>
        <v>4.7639648437500002</v>
      </c>
      <c r="BA7" s="11">
        <f t="shared" si="36"/>
        <v>2.3819824218750001</v>
      </c>
      <c r="BB7" s="11">
        <f t="shared" si="36"/>
        <v>1.1909912109375</v>
      </c>
      <c r="BC7" s="11">
        <f t="shared" si="36"/>
        <v>0.59549560546875002</v>
      </c>
      <c r="BD7" s="11">
        <f t="shared" si="36"/>
        <v>0.29774780273437501</v>
      </c>
    </row>
    <row r="8" spans="1:58" s="11" customFormat="1" x14ac:dyDescent="0.2">
      <c r="B8" s="11" t="s">
        <v>34</v>
      </c>
      <c r="C8" s="14"/>
      <c r="D8" s="14"/>
      <c r="E8" s="14"/>
      <c r="F8" s="14"/>
      <c r="G8" s="14"/>
      <c r="H8" s="14"/>
      <c r="I8" s="14"/>
      <c r="J8" s="14"/>
      <c r="K8" s="14">
        <v>161</v>
      </c>
      <c r="L8" s="14">
        <v>195</v>
      </c>
      <c r="M8" s="14">
        <v>212</v>
      </c>
      <c r="N8" s="14">
        <v>228</v>
      </c>
      <c r="O8" s="14">
        <v>284</v>
      </c>
      <c r="P8" s="14">
        <v>290</v>
      </c>
      <c r="Q8" s="14">
        <v>324</v>
      </c>
      <c r="R8" s="14">
        <v>350</v>
      </c>
      <c r="S8" s="14">
        <v>373</v>
      </c>
      <c r="T8" s="14">
        <v>394</v>
      </c>
      <c r="U8" s="14">
        <v>403</v>
      </c>
      <c r="V8" s="14">
        <v>418</v>
      </c>
      <c r="W8" s="14">
        <v>411</v>
      </c>
      <c r="X8" s="14">
        <v>436</v>
      </c>
      <c r="Y8" s="33">
        <v>459</v>
      </c>
      <c r="Z8" s="14">
        <v>524</v>
      </c>
      <c r="AA8" s="14">
        <v>513</v>
      </c>
      <c r="AB8" s="14">
        <v>560</v>
      </c>
      <c r="AC8" s="14">
        <v>556</v>
      </c>
      <c r="AD8" s="14">
        <f t="shared" ref="AD8" si="37">+AC8+10</f>
        <v>566</v>
      </c>
      <c r="AE8" s="14">
        <f t="shared" ref="AE8" si="38">+AD8+10</f>
        <v>576</v>
      </c>
      <c r="AF8" s="14">
        <f t="shared" ref="AF8" si="39">+AE8+10</f>
        <v>586</v>
      </c>
      <c r="AG8" s="14">
        <f t="shared" ref="AG8" si="40">+AF8+10</f>
        <v>596</v>
      </c>
      <c r="AH8" s="14">
        <f t="shared" ref="AH8" si="41">+AG8+10</f>
        <v>606</v>
      </c>
      <c r="AL8" s="11">
        <f t="shared" si="12"/>
        <v>796</v>
      </c>
      <c r="AM8" s="11">
        <f t="shared" si="13"/>
        <v>1248</v>
      </c>
      <c r="AN8" s="11">
        <f t="shared" si="14"/>
        <v>1588</v>
      </c>
      <c r="AO8" s="11">
        <f t="shared" si="15"/>
        <v>1830</v>
      </c>
      <c r="AP8" s="11">
        <f t="shared" si="16"/>
        <v>2195</v>
      </c>
      <c r="AQ8" s="11">
        <f>+AP8*1.1</f>
        <v>2414.5</v>
      </c>
      <c r="AR8" s="11">
        <f t="shared" ref="AR8:AS8" si="42">+AQ8*1.1</f>
        <v>2655.9500000000003</v>
      </c>
      <c r="AS8" s="11">
        <f t="shared" si="42"/>
        <v>2921.5450000000005</v>
      </c>
      <c r="AT8" s="11">
        <f>+AS8*1.05</f>
        <v>3067.6222500000008</v>
      </c>
      <c r="AU8" s="11">
        <f t="shared" ref="AU8:AV8" si="43">+AT8*1.05</f>
        <v>3221.003362500001</v>
      </c>
      <c r="AV8" s="11">
        <f t="shared" si="43"/>
        <v>3382.0535306250013</v>
      </c>
      <c r="AW8" s="11">
        <f>+AV8*1.02</f>
        <v>3449.6946012375015</v>
      </c>
      <c r="AX8" s="11">
        <f t="shared" ref="AX8" si="44">+AW8*1.02</f>
        <v>3518.6884932622515</v>
      </c>
      <c r="AY8" s="11">
        <f>+AX8*0.95</f>
        <v>3342.7540685991389</v>
      </c>
      <c r="AZ8" s="11">
        <f t="shared" ref="AZ8:BD8" si="45">+AY8*0.95</f>
        <v>3175.6163651691818</v>
      </c>
      <c r="BA8" s="11">
        <f t="shared" si="45"/>
        <v>3016.8355469107228</v>
      </c>
      <c r="BB8" s="11">
        <f t="shared" si="45"/>
        <v>2865.9937695651865</v>
      </c>
      <c r="BC8" s="11">
        <f t="shared" si="45"/>
        <v>2722.6940810869269</v>
      </c>
      <c r="BD8" s="11">
        <f t="shared" si="45"/>
        <v>2586.5593770325804</v>
      </c>
    </row>
    <row r="9" spans="1:58" s="11" customFormat="1" x14ac:dyDescent="0.2">
      <c r="B9" s="11" t="s">
        <v>32</v>
      </c>
      <c r="C9" s="14"/>
      <c r="D9" s="14"/>
      <c r="E9" s="14"/>
      <c r="F9" s="14">
        <v>236</v>
      </c>
      <c r="G9" s="14"/>
      <c r="H9" s="14"/>
      <c r="I9" s="14"/>
      <c r="J9" s="14">
        <v>316</v>
      </c>
      <c r="K9" s="14">
        <v>324</v>
      </c>
      <c r="L9" s="14">
        <v>373</v>
      </c>
      <c r="M9" s="14">
        <v>364</v>
      </c>
      <c r="N9" s="14">
        <v>353</v>
      </c>
      <c r="O9" s="14">
        <v>367</v>
      </c>
      <c r="P9" s="14">
        <v>435</v>
      </c>
      <c r="Q9" s="14">
        <v>410</v>
      </c>
      <c r="R9" s="14">
        <v>461</v>
      </c>
      <c r="S9" s="14">
        <v>445</v>
      </c>
      <c r="T9" s="14">
        <v>492</v>
      </c>
      <c r="U9" s="14">
        <v>446</v>
      </c>
      <c r="V9" s="14">
        <v>448</v>
      </c>
      <c r="W9" s="14">
        <v>427</v>
      </c>
      <c r="X9" s="14">
        <v>448</v>
      </c>
      <c r="Y9" s="33">
        <v>468</v>
      </c>
      <c r="Z9" s="14">
        <v>467</v>
      </c>
      <c r="AA9" s="14">
        <v>452</v>
      </c>
      <c r="AB9" s="14">
        <v>459</v>
      </c>
      <c r="AC9" s="14">
        <v>493</v>
      </c>
      <c r="AD9" s="14">
        <f t="shared" ref="AD9" si="46">+AC9+5</f>
        <v>498</v>
      </c>
      <c r="AE9" s="14">
        <f t="shared" ref="AE9:AE11" si="47">+AD9+5</f>
        <v>503</v>
      </c>
      <c r="AF9" s="14">
        <f t="shared" ref="AF9:AF11" si="48">+AE9+5</f>
        <v>508</v>
      </c>
      <c r="AG9" s="14">
        <f t="shared" ref="AG9:AG11" si="49">+AF9+5</f>
        <v>513</v>
      </c>
      <c r="AH9" s="14">
        <f t="shared" ref="AH9:AH11" si="50">+AG9+5</f>
        <v>518</v>
      </c>
      <c r="AL9" s="11">
        <f t="shared" si="12"/>
        <v>1414</v>
      </c>
      <c r="AM9" s="11">
        <f t="shared" si="13"/>
        <v>1673</v>
      </c>
      <c r="AN9" s="11">
        <f t="shared" si="14"/>
        <v>1831</v>
      </c>
      <c r="AO9" s="11">
        <f t="shared" si="15"/>
        <v>1810</v>
      </c>
      <c r="AP9" s="11">
        <f t="shared" si="16"/>
        <v>1902</v>
      </c>
      <c r="AQ9" s="11">
        <f>+AP9*1.05</f>
        <v>1997.1000000000001</v>
      </c>
      <c r="AR9" s="11">
        <f t="shared" ref="AR9:AT9" si="51">+AQ9*1.05</f>
        <v>2096.9550000000004</v>
      </c>
      <c r="AS9" s="11">
        <f t="shared" si="51"/>
        <v>2201.8027500000003</v>
      </c>
      <c r="AT9" s="11">
        <f t="shared" si="51"/>
        <v>2311.8928875000006</v>
      </c>
      <c r="AU9" s="11">
        <f>+AT9*0.95</f>
        <v>2196.2982431250007</v>
      </c>
      <c r="AV9" s="11">
        <f t="shared" ref="AV9:AY9" si="52">+AU9*0.95</f>
        <v>2086.4833309687506</v>
      </c>
      <c r="AW9" s="11">
        <f t="shared" si="52"/>
        <v>1982.1591644203129</v>
      </c>
      <c r="AX9" s="11">
        <f t="shared" si="52"/>
        <v>1883.0512061992972</v>
      </c>
      <c r="AY9" s="11">
        <f t="shared" si="52"/>
        <v>1788.8986458893323</v>
      </c>
      <c r="AZ9" s="11">
        <f>+AY9*0.5</f>
        <v>894.44932294466616</v>
      </c>
      <c r="BA9" s="11">
        <f t="shared" ref="BA9:BD9" si="53">+AZ9*0.5</f>
        <v>447.22466147233308</v>
      </c>
      <c r="BB9" s="11">
        <f t="shared" si="53"/>
        <v>223.61233073616654</v>
      </c>
      <c r="BC9" s="11">
        <f t="shared" si="53"/>
        <v>111.80616536808327</v>
      </c>
      <c r="BD9" s="11">
        <f t="shared" si="53"/>
        <v>55.903082684041635</v>
      </c>
    </row>
    <row r="10" spans="1:58" s="11" customFormat="1" x14ac:dyDescent="0.2">
      <c r="B10" s="11" t="s">
        <v>30</v>
      </c>
      <c r="C10" s="14"/>
      <c r="D10" s="14"/>
      <c r="E10" s="14"/>
      <c r="F10" s="14">
        <v>65</v>
      </c>
      <c r="G10" s="14"/>
      <c r="H10" s="14"/>
      <c r="I10" s="14"/>
      <c r="J10" s="14">
        <v>119</v>
      </c>
      <c r="K10" s="14">
        <v>116</v>
      </c>
      <c r="L10" s="14">
        <v>125</v>
      </c>
      <c r="M10" s="14">
        <v>185</v>
      </c>
      <c r="N10" s="14">
        <v>181</v>
      </c>
      <c r="O10" s="14">
        <v>237</v>
      </c>
      <c r="P10" s="14">
        <v>175</v>
      </c>
      <c r="Q10" s="14">
        <v>266</v>
      </c>
      <c r="R10" s="14">
        <v>254</v>
      </c>
      <c r="S10" s="14">
        <v>259</v>
      </c>
      <c r="T10" s="14">
        <v>282</v>
      </c>
      <c r="U10" s="14">
        <v>300</v>
      </c>
      <c r="V10" s="14">
        <v>346</v>
      </c>
      <c r="W10" s="14">
        <v>300</v>
      </c>
      <c r="X10" s="14">
        <v>308</v>
      </c>
      <c r="Y10" s="33">
        <v>380</v>
      </c>
      <c r="Z10" s="14">
        <v>340</v>
      </c>
      <c r="AA10" s="14">
        <v>390</v>
      </c>
      <c r="AB10" s="14">
        <v>448</v>
      </c>
      <c r="AC10" s="14">
        <v>481</v>
      </c>
      <c r="AD10" s="14">
        <f t="shared" ref="AD10" si="54">+AC10+5</f>
        <v>486</v>
      </c>
      <c r="AE10" s="14">
        <f t="shared" si="47"/>
        <v>491</v>
      </c>
      <c r="AF10" s="14">
        <f t="shared" si="48"/>
        <v>496</v>
      </c>
      <c r="AG10" s="14">
        <f t="shared" si="49"/>
        <v>501</v>
      </c>
      <c r="AH10" s="14">
        <f t="shared" si="50"/>
        <v>506</v>
      </c>
      <c r="AL10" s="11">
        <f t="shared" si="12"/>
        <v>607</v>
      </c>
      <c r="AM10" s="11">
        <f t="shared" si="13"/>
        <v>932</v>
      </c>
      <c r="AN10" s="11">
        <f t="shared" si="14"/>
        <v>1187</v>
      </c>
      <c r="AO10" s="11">
        <f t="shared" si="15"/>
        <v>1328</v>
      </c>
      <c r="AP10" s="11">
        <f t="shared" si="16"/>
        <v>1805</v>
      </c>
      <c r="AQ10" s="11">
        <f>+AP10*1.1</f>
        <v>1985.5000000000002</v>
      </c>
      <c r="AR10" s="11">
        <f>+AQ10*1.05</f>
        <v>2084.7750000000005</v>
      </c>
      <c r="AS10" s="11">
        <f t="shared" ref="AS10:AT10" si="55">+AR10*1.05</f>
        <v>2189.0137500000005</v>
      </c>
      <c r="AT10" s="11">
        <f t="shared" si="55"/>
        <v>2298.4644375000007</v>
      </c>
      <c r="AU10" s="11">
        <f>+AT10*1.01</f>
        <v>2321.449081875001</v>
      </c>
      <c r="AV10" s="11">
        <f t="shared" ref="AV10:AW10" si="56">+AU10*1.01</f>
        <v>2344.6635726937511</v>
      </c>
      <c r="AW10" s="11">
        <f t="shared" si="56"/>
        <v>2368.1102084206887</v>
      </c>
      <c r="AX10" s="11">
        <f>+AW10*0.95</f>
        <v>2249.7046979996539</v>
      </c>
      <c r="AY10" s="11">
        <f t="shared" ref="AY10:BD10" si="57">+AX10*0.95</f>
        <v>2137.219463099671</v>
      </c>
      <c r="AZ10" s="11">
        <f t="shared" si="57"/>
        <v>2030.3584899446873</v>
      </c>
      <c r="BA10" s="11">
        <f t="shared" si="57"/>
        <v>1928.8405654474529</v>
      </c>
      <c r="BB10" s="11">
        <f t="shared" si="57"/>
        <v>1832.3985371750803</v>
      </c>
      <c r="BC10" s="11">
        <f t="shared" si="57"/>
        <v>1740.7786103163262</v>
      </c>
      <c r="BD10" s="11">
        <f t="shared" si="57"/>
        <v>1653.7396798005097</v>
      </c>
    </row>
    <row r="11" spans="1:58" s="11" customFormat="1" x14ac:dyDescent="0.2">
      <c r="B11" s="11" t="s">
        <v>40</v>
      </c>
      <c r="C11" s="14"/>
      <c r="D11" s="14"/>
      <c r="E11" s="14"/>
      <c r="F11" s="14"/>
      <c r="G11" s="14"/>
      <c r="H11" s="14"/>
      <c r="I11" s="14"/>
      <c r="J11" s="14"/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117</v>
      </c>
      <c r="U11" s="14">
        <v>174</v>
      </c>
      <c r="V11" s="14">
        <v>201</v>
      </c>
      <c r="W11" s="14">
        <v>278</v>
      </c>
      <c r="X11" s="14">
        <v>318</v>
      </c>
      <c r="Y11" s="33">
        <v>340</v>
      </c>
      <c r="Z11" s="14">
        <v>372</v>
      </c>
      <c r="AA11" s="14">
        <v>325</v>
      </c>
      <c r="AB11" s="14">
        <v>383</v>
      </c>
      <c r="AC11" s="14">
        <v>328</v>
      </c>
      <c r="AD11" s="14">
        <f>+AC11+5</f>
        <v>333</v>
      </c>
      <c r="AE11" s="14">
        <f t="shared" si="47"/>
        <v>338</v>
      </c>
      <c r="AF11" s="14">
        <f t="shared" si="48"/>
        <v>343</v>
      </c>
      <c r="AG11" s="14">
        <f t="shared" si="49"/>
        <v>348</v>
      </c>
      <c r="AH11" s="14">
        <f t="shared" si="50"/>
        <v>353</v>
      </c>
      <c r="AL11" s="11">
        <f t="shared" si="12"/>
        <v>0</v>
      </c>
      <c r="AM11" s="11">
        <f t="shared" si="13"/>
        <v>0</v>
      </c>
      <c r="AN11" s="11">
        <f t="shared" si="14"/>
        <v>492</v>
      </c>
      <c r="AO11" s="11">
        <f t="shared" si="15"/>
        <v>1308</v>
      </c>
      <c r="AP11" s="11">
        <f t="shared" si="16"/>
        <v>1369</v>
      </c>
      <c r="AQ11" s="11">
        <f>+AP11*1.05</f>
        <v>1437.45</v>
      </c>
      <c r="AR11" s="11">
        <f t="shared" ref="AR11:AS11" si="58">+AQ11*1.05</f>
        <v>1509.3225000000002</v>
      </c>
      <c r="AS11" s="11">
        <f t="shared" si="58"/>
        <v>1584.7886250000004</v>
      </c>
      <c r="AT11" s="11">
        <f>+AS11*0.95</f>
        <v>1505.5491937500003</v>
      </c>
      <c r="AU11" s="11">
        <f t="shared" ref="AU11:AY11" si="59">+AT11*0.95</f>
        <v>1430.2717340625002</v>
      </c>
      <c r="AV11" s="11">
        <f t="shared" si="59"/>
        <v>1358.758147359375</v>
      </c>
      <c r="AW11" s="11">
        <f t="shared" si="59"/>
        <v>1290.8202399914062</v>
      </c>
      <c r="AX11" s="11">
        <f t="shared" si="59"/>
        <v>1226.2792279918358</v>
      </c>
      <c r="AY11" s="11">
        <f t="shared" si="59"/>
        <v>1164.965266592244</v>
      </c>
      <c r="AZ11" s="11">
        <f>+AY11*0.5</f>
        <v>582.482633296122</v>
      </c>
      <c r="BA11" s="11">
        <f t="shared" ref="BA11:BD11" si="60">+AZ11*0.5</f>
        <v>291.241316648061</v>
      </c>
      <c r="BB11" s="11">
        <f t="shared" si="60"/>
        <v>145.6206583240305</v>
      </c>
      <c r="BC11" s="11">
        <f t="shared" si="60"/>
        <v>72.81032916201525</v>
      </c>
      <c r="BD11" s="11">
        <f t="shared" si="60"/>
        <v>36.405164581007625</v>
      </c>
    </row>
    <row r="12" spans="1:58" s="11" customFormat="1" x14ac:dyDescent="0.2">
      <c r="B12" s="11" t="s">
        <v>41</v>
      </c>
      <c r="C12" s="14"/>
      <c r="D12" s="14"/>
      <c r="E12" s="14"/>
      <c r="F12" s="14">
        <v>479</v>
      </c>
      <c r="G12" s="14"/>
      <c r="H12" s="14"/>
      <c r="I12" s="14"/>
      <c r="J12" s="14">
        <v>368</v>
      </c>
      <c r="K12" s="14">
        <v>376</v>
      </c>
      <c r="L12" s="14">
        <v>401</v>
      </c>
      <c r="M12" s="14">
        <v>359</v>
      </c>
      <c r="N12" s="14">
        <v>326</v>
      </c>
      <c r="O12" s="14">
        <v>378</v>
      </c>
      <c r="P12" s="14">
        <v>335</v>
      </c>
      <c r="Q12" s="14">
        <v>344</v>
      </c>
      <c r="R12" s="14">
        <v>307</v>
      </c>
      <c r="S12" s="14">
        <v>310</v>
      </c>
      <c r="T12" s="14">
        <v>319</v>
      </c>
      <c r="U12" s="14">
        <v>307</v>
      </c>
      <c r="V12" s="14">
        <v>302</v>
      </c>
      <c r="W12" s="14">
        <v>269</v>
      </c>
      <c r="X12" s="14">
        <v>276</v>
      </c>
      <c r="Y12" s="33">
        <v>263</v>
      </c>
      <c r="Z12" s="14">
        <v>260</v>
      </c>
      <c r="AA12" s="14">
        <v>274</v>
      </c>
      <c r="AB12" s="14">
        <v>322</v>
      </c>
      <c r="AC12" s="14">
        <v>250</v>
      </c>
      <c r="AD12" s="14">
        <f t="shared" ref="AD12" si="61">+AC12-5</f>
        <v>245</v>
      </c>
      <c r="AE12" s="14">
        <f t="shared" ref="AE12:AE13" si="62">+AD12-5</f>
        <v>240</v>
      </c>
      <c r="AF12" s="14">
        <f t="shared" ref="AF12:AF13" si="63">+AE12-5</f>
        <v>235</v>
      </c>
      <c r="AG12" s="14">
        <f t="shared" ref="AG12:AG13" si="64">+AF12-5</f>
        <v>230</v>
      </c>
      <c r="AH12" s="14">
        <f t="shared" ref="AH12:AH13" si="65">+AG12-5</f>
        <v>225</v>
      </c>
      <c r="AL12" s="11">
        <f t="shared" si="12"/>
        <v>1462</v>
      </c>
      <c r="AM12" s="11">
        <f t="shared" si="13"/>
        <v>1364</v>
      </c>
      <c r="AN12" s="11">
        <f>SUM(S12:V12)</f>
        <v>1238</v>
      </c>
      <c r="AO12" s="11">
        <f>SUM(W12:Z12)</f>
        <v>1068</v>
      </c>
      <c r="AP12" s="11">
        <f>SUM(AA12:AD12)</f>
        <v>1091</v>
      </c>
      <c r="AQ12" s="11">
        <f>+AP12*0.95</f>
        <v>1036.45</v>
      </c>
      <c r="AR12" s="11">
        <f>+AQ12*0.95</f>
        <v>984.62749999999994</v>
      </c>
      <c r="AS12" s="11">
        <f>+AR12*0.95</f>
        <v>935.39612499999987</v>
      </c>
      <c r="AT12" s="11">
        <f>+AS12*0.95</f>
        <v>888.62631874999988</v>
      </c>
      <c r="AU12" s="11">
        <f t="shared" ref="AU12:BD12" si="66">+AT12*0.95</f>
        <v>844.19500281249987</v>
      </c>
      <c r="AV12" s="11">
        <f t="shared" si="66"/>
        <v>801.98525267187483</v>
      </c>
      <c r="AW12" s="11">
        <f t="shared" si="66"/>
        <v>761.88599003828108</v>
      </c>
      <c r="AX12" s="11">
        <f t="shared" si="66"/>
        <v>723.79169053636701</v>
      </c>
      <c r="AY12" s="11">
        <f t="shared" si="66"/>
        <v>687.60210600954861</v>
      </c>
      <c r="AZ12" s="11">
        <f t="shared" si="66"/>
        <v>653.22200070907115</v>
      </c>
      <c r="BA12" s="11">
        <f t="shared" si="66"/>
        <v>620.56090067361754</v>
      </c>
      <c r="BB12" s="11">
        <f t="shared" si="66"/>
        <v>589.53285563993666</v>
      </c>
      <c r="BC12" s="11">
        <f t="shared" si="66"/>
        <v>560.05621285793984</v>
      </c>
      <c r="BD12" s="11">
        <f t="shared" si="66"/>
        <v>532.05340221504287</v>
      </c>
    </row>
    <row r="13" spans="1:58" s="11" customFormat="1" x14ac:dyDescent="0.2">
      <c r="B13" s="11" t="s">
        <v>37</v>
      </c>
      <c r="C13" s="14"/>
      <c r="D13" s="14"/>
      <c r="E13" s="14"/>
      <c r="F13" s="14">
        <v>287</v>
      </c>
      <c r="G13" s="14"/>
      <c r="H13" s="14"/>
      <c r="I13" s="14"/>
      <c r="J13" s="14">
        <v>352</v>
      </c>
      <c r="K13" s="14">
        <v>353</v>
      </c>
      <c r="L13" s="14">
        <v>318</v>
      </c>
      <c r="M13" s="14">
        <v>327</v>
      </c>
      <c r="N13" s="14">
        <v>502</v>
      </c>
      <c r="O13" s="14">
        <v>353</v>
      </c>
      <c r="P13" s="14">
        <v>379</v>
      </c>
      <c r="Q13" s="14">
        <v>404</v>
      </c>
      <c r="R13" s="14">
        <v>524</v>
      </c>
      <c r="S13" s="14">
        <v>408</v>
      </c>
      <c r="T13" s="14">
        <v>403</v>
      </c>
      <c r="U13" s="14">
        <v>389</v>
      </c>
      <c r="V13" s="14">
        <v>418</v>
      </c>
      <c r="W13" s="14">
        <v>339</v>
      </c>
      <c r="X13" s="14">
        <v>344</v>
      </c>
      <c r="Y13" s="33">
        <v>329</v>
      </c>
      <c r="Z13" s="14">
        <v>321</v>
      </c>
      <c r="AA13" s="14">
        <v>304</v>
      </c>
      <c r="AB13" s="14">
        <v>342</v>
      </c>
      <c r="AC13" s="14">
        <v>304</v>
      </c>
      <c r="AD13" s="14">
        <f>+AC13-5</f>
        <v>299</v>
      </c>
      <c r="AE13" s="14">
        <f t="shared" si="62"/>
        <v>294</v>
      </c>
      <c r="AF13" s="14">
        <f t="shared" si="63"/>
        <v>289</v>
      </c>
      <c r="AG13" s="14">
        <f t="shared" si="64"/>
        <v>284</v>
      </c>
      <c r="AH13" s="14">
        <f t="shared" si="65"/>
        <v>279</v>
      </c>
      <c r="AL13" s="11">
        <f t="shared" si="12"/>
        <v>1500</v>
      </c>
      <c r="AM13" s="11">
        <f t="shared" si="13"/>
        <v>1660</v>
      </c>
      <c r="AN13" s="11">
        <f t="shared" si="14"/>
        <v>1618</v>
      </c>
      <c r="AO13" s="11">
        <f t="shared" si="15"/>
        <v>1333</v>
      </c>
      <c r="AP13" s="11">
        <f t="shared" si="16"/>
        <v>1249</v>
      </c>
      <c r="AQ13" s="11">
        <f>+AP13*0.8</f>
        <v>999.2</v>
      </c>
      <c r="AR13" s="11">
        <f>+AQ13*0.5</f>
        <v>499.6</v>
      </c>
      <c r="AS13" s="11">
        <f t="shared" ref="AS13:BD13" si="67">+AR13*0.5</f>
        <v>249.8</v>
      </c>
      <c r="AT13" s="11">
        <f t="shared" si="67"/>
        <v>124.9</v>
      </c>
      <c r="AU13" s="11">
        <f t="shared" si="67"/>
        <v>62.45</v>
      </c>
      <c r="AV13" s="11">
        <f t="shared" si="67"/>
        <v>31.225000000000001</v>
      </c>
      <c r="AW13" s="11">
        <f t="shared" si="67"/>
        <v>15.612500000000001</v>
      </c>
      <c r="AX13" s="11">
        <f t="shared" si="67"/>
        <v>7.8062500000000004</v>
      </c>
      <c r="AY13" s="11">
        <f t="shared" si="67"/>
        <v>3.9031250000000002</v>
      </c>
      <c r="AZ13" s="11">
        <f t="shared" si="67"/>
        <v>1.9515625000000001</v>
      </c>
      <c r="BA13" s="11">
        <f t="shared" si="67"/>
        <v>0.97578125000000004</v>
      </c>
      <c r="BB13" s="11">
        <f t="shared" si="67"/>
        <v>0.48789062500000002</v>
      </c>
      <c r="BC13" s="11">
        <f t="shared" si="67"/>
        <v>0.24394531250000001</v>
      </c>
      <c r="BD13" s="11">
        <f t="shared" si="67"/>
        <v>0.12197265625000001</v>
      </c>
    </row>
    <row r="14" spans="1:58" s="11" customFormat="1" x14ac:dyDescent="0.2">
      <c r="B14" s="11" t="s">
        <v>36</v>
      </c>
      <c r="C14" s="14"/>
      <c r="D14" s="14"/>
      <c r="E14" s="14"/>
      <c r="F14" s="14"/>
      <c r="G14" s="14"/>
      <c r="H14" s="14"/>
      <c r="I14" s="14"/>
      <c r="J14" s="14"/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42</v>
      </c>
      <c r="U14" s="14">
        <v>56</v>
      </c>
      <c r="V14" s="14">
        <v>92</v>
      </c>
      <c r="W14" s="14">
        <v>116</v>
      </c>
      <c r="X14" s="14">
        <v>154</v>
      </c>
      <c r="Y14" s="33">
        <v>184</v>
      </c>
      <c r="Z14" s="14">
        <v>235</v>
      </c>
      <c r="AA14" s="14">
        <v>261</v>
      </c>
      <c r="AB14" s="14">
        <v>295</v>
      </c>
      <c r="AC14" s="14">
        <v>349</v>
      </c>
      <c r="AD14" s="14">
        <f t="shared" ref="AD14" si="68">+AC14+50</f>
        <v>399</v>
      </c>
      <c r="AE14" s="14">
        <f t="shared" ref="AE14" si="69">+AD14+50</f>
        <v>449</v>
      </c>
      <c r="AF14" s="14">
        <f t="shared" ref="AF14" si="70">+AE14+50</f>
        <v>499</v>
      </c>
      <c r="AG14" s="14">
        <f t="shared" ref="AG14" si="71">+AF14+50</f>
        <v>549</v>
      </c>
      <c r="AH14" s="14">
        <f t="shared" ref="AH14" si="72">+AG14+50</f>
        <v>599</v>
      </c>
      <c r="AL14" s="11">
        <f t="shared" si="12"/>
        <v>0</v>
      </c>
      <c r="AM14" s="11">
        <f t="shared" si="13"/>
        <v>0</v>
      </c>
      <c r="AN14" s="11">
        <f>SUM(S14:V14)</f>
        <v>190</v>
      </c>
      <c r="AO14" s="11">
        <f>SUM(W14:Z14)</f>
        <v>689</v>
      </c>
      <c r="AP14" s="11">
        <f>SUM(AA14:AD14)</f>
        <v>1304</v>
      </c>
      <c r="AQ14" s="11">
        <f>+AP14*1.5</f>
        <v>1956</v>
      </c>
      <c r="AR14" s="11">
        <f>+AQ14*1.3</f>
        <v>2542.8000000000002</v>
      </c>
      <c r="AS14" s="11">
        <f>+AR14*1.2</f>
        <v>3051.36</v>
      </c>
      <c r="AT14" s="11">
        <f>+AS14*1.15</f>
        <v>3509.0639999999999</v>
      </c>
      <c r="AU14" s="11">
        <f>+AT14*1.1</f>
        <v>3859.9704000000002</v>
      </c>
      <c r="AV14" s="11">
        <f>+AU14*1.05</f>
        <v>4052.9689200000003</v>
      </c>
      <c r="AW14" s="11">
        <f>+AV14</f>
        <v>4052.9689200000003</v>
      </c>
      <c r="AX14" s="11">
        <f>+AW14</f>
        <v>4052.9689200000003</v>
      </c>
      <c r="AY14" s="11">
        <f t="shared" ref="AY14:AZ14" si="73">+AX14</f>
        <v>4052.9689200000003</v>
      </c>
      <c r="AZ14" s="11">
        <f t="shared" si="73"/>
        <v>4052.9689200000003</v>
      </c>
      <c r="BA14" s="11">
        <f>+AZ14*0.8</f>
        <v>3242.3751360000006</v>
      </c>
      <c r="BB14" s="11">
        <f>+BA14*0.5</f>
        <v>1621.1875680000003</v>
      </c>
      <c r="BC14" s="11">
        <f t="shared" ref="BC14:BD14" si="74">+BB14*0.5</f>
        <v>810.59378400000014</v>
      </c>
      <c r="BD14" s="11">
        <f t="shared" si="74"/>
        <v>405.29689200000007</v>
      </c>
    </row>
    <row r="15" spans="1:58" s="11" customFormat="1" x14ac:dyDescent="0.2">
      <c r="B15" s="11" t="s">
        <v>33</v>
      </c>
      <c r="C15" s="14"/>
      <c r="D15" s="14"/>
      <c r="E15" s="14"/>
      <c r="F15" s="14">
        <v>368</v>
      </c>
      <c r="G15" s="14"/>
      <c r="H15" s="14"/>
      <c r="I15" s="14"/>
      <c r="J15" s="14">
        <v>274</v>
      </c>
      <c r="K15" s="14">
        <v>308</v>
      </c>
      <c r="L15" s="14">
        <v>268</v>
      </c>
      <c r="M15" s="14">
        <v>254</v>
      </c>
      <c r="N15" s="14">
        <v>243</v>
      </c>
      <c r="O15" s="14">
        <v>256</v>
      </c>
      <c r="P15" s="14">
        <v>215</v>
      </c>
      <c r="Q15" s="14">
        <v>142</v>
      </c>
      <c r="R15" s="14">
        <v>169</v>
      </c>
      <c r="S15" s="14">
        <v>150</v>
      </c>
      <c r="T15" s="14">
        <v>145</v>
      </c>
      <c r="U15" s="14">
        <v>135</v>
      </c>
      <c r="V15" s="14">
        <v>169</v>
      </c>
      <c r="W15" s="14">
        <v>224</v>
      </c>
      <c r="X15" s="14">
        <v>206</v>
      </c>
      <c r="Y15" s="33">
        <v>178</v>
      </c>
      <c r="Z15" s="14">
        <v>213</v>
      </c>
      <c r="AA15" s="14">
        <v>231</v>
      </c>
      <c r="AB15" s="14">
        <v>238</v>
      </c>
      <c r="AC15" s="14">
        <v>190</v>
      </c>
      <c r="AD15" s="14">
        <f t="shared" ref="AD15" si="75">+AC15</f>
        <v>190</v>
      </c>
      <c r="AE15" s="14">
        <f t="shared" ref="AE15" si="76">+AD15</f>
        <v>190</v>
      </c>
      <c r="AF15" s="14">
        <f t="shared" ref="AF15" si="77">+AE15</f>
        <v>190</v>
      </c>
      <c r="AG15" s="14">
        <f t="shared" ref="AG15" si="78">+AF15</f>
        <v>190</v>
      </c>
      <c r="AH15" s="14">
        <f t="shared" ref="AH15" si="79">+AG15</f>
        <v>190</v>
      </c>
      <c r="AL15" s="11">
        <f t="shared" si="12"/>
        <v>1073</v>
      </c>
      <c r="AM15" s="11">
        <f t="shared" si="13"/>
        <v>782</v>
      </c>
      <c r="AN15" s="11">
        <f t="shared" si="14"/>
        <v>599</v>
      </c>
      <c r="AO15" s="11">
        <f t="shared" si="15"/>
        <v>821</v>
      </c>
      <c r="AP15" s="11">
        <f t="shared" si="16"/>
        <v>849</v>
      </c>
      <c r="AQ15" s="11">
        <f>+AP15*0.95</f>
        <v>806.55</v>
      </c>
      <c r="AR15" s="11">
        <f t="shared" ref="AR15:BD15" si="80">+AQ15*0.95</f>
        <v>766.22249999999997</v>
      </c>
      <c r="AS15" s="11">
        <f t="shared" si="80"/>
        <v>727.91137499999991</v>
      </c>
      <c r="AT15" s="11">
        <f t="shared" si="80"/>
        <v>691.51580624999986</v>
      </c>
      <c r="AU15" s="11">
        <f t="shared" si="80"/>
        <v>656.94001593749988</v>
      </c>
      <c r="AV15" s="11">
        <f t="shared" si="80"/>
        <v>624.09301514062486</v>
      </c>
      <c r="AW15" s="11">
        <f t="shared" si="80"/>
        <v>592.88836438359363</v>
      </c>
      <c r="AX15" s="11">
        <f t="shared" si="80"/>
        <v>563.24394616441396</v>
      </c>
      <c r="AY15" s="11">
        <f t="shared" si="80"/>
        <v>535.08174885619326</v>
      </c>
      <c r="AZ15" s="11">
        <f t="shared" si="80"/>
        <v>508.32766141338357</v>
      </c>
      <c r="BA15" s="11">
        <f t="shared" si="80"/>
        <v>482.91127834271435</v>
      </c>
      <c r="BB15" s="11">
        <f t="shared" si="80"/>
        <v>458.76571442557861</v>
      </c>
      <c r="BC15" s="11">
        <f t="shared" si="80"/>
        <v>435.82742870429968</v>
      </c>
      <c r="BD15" s="11">
        <f t="shared" si="80"/>
        <v>414.03605726908467</v>
      </c>
    </row>
    <row r="16" spans="1:58" s="11" customFormat="1" x14ac:dyDescent="0.2">
      <c r="B16" s="11" t="s">
        <v>35</v>
      </c>
      <c r="C16" s="14"/>
      <c r="D16" s="14"/>
      <c r="E16" s="14"/>
      <c r="F16" s="14">
        <v>388</v>
      </c>
      <c r="G16" s="14"/>
      <c r="H16" s="14"/>
      <c r="I16" s="14"/>
      <c r="J16" s="14">
        <v>385</v>
      </c>
      <c r="K16" s="14">
        <v>361</v>
      </c>
      <c r="L16" s="14">
        <v>355</v>
      </c>
      <c r="M16" s="14">
        <v>351</v>
      </c>
      <c r="N16" s="14">
        <v>358</v>
      </c>
      <c r="O16" s="14">
        <v>335</v>
      </c>
      <c r="P16" s="14">
        <v>336</v>
      </c>
      <c r="Q16" s="14">
        <v>326</v>
      </c>
      <c r="R16" s="14">
        <v>321</v>
      </c>
      <c r="S16" s="14">
        <v>310</v>
      </c>
      <c r="T16" s="14">
        <v>302</v>
      </c>
      <c r="U16" s="14">
        <v>284</v>
      </c>
      <c r="V16" s="14">
        <v>294</v>
      </c>
      <c r="W16" s="14">
        <v>254</v>
      </c>
      <c r="X16" s="14">
        <v>247</v>
      </c>
      <c r="Y16" s="33">
        <v>235</v>
      </c>
      <c r="Z16" s="14">
        <v>234</v>
      </c>
      <c r="AA16" s="14">
        <v>231</v>
      </c>
      <c r="AB16" s="14">
        <v>230</v>
      </c>
      <c r="AC16" s="14">
        <v>222</v>
      </c>
      <c r="AD16" s="14">
        <f t="shared" ref="AD16" si="81">+AC16-5</f>
        <v>217</v>
      </c>
      <c r="AE16" s="14">
        <f t="shared" ref="AE16" si="82">+AD16-5</f>
        <v>212</v>
      </c>
      <c r="AF16" s="14">
        <f t="shared" ref="AF16" si="83">+AE16-5</f>
        <v>207</v>
      </c>
      <c r="AG16" s="14">
        <f t="shared" ref="AG16" si="84">+AF16-5</f>
        <v>202</v>
      </c>
      <c r="AH16" s="14">
        <f t="shared" ref="AH16" si="85">+AG16-5</f>
        <v>197</v>
      </c>
      <c r="AL16" s="11">
        <f t="shared" si="12"/>
        <v>1425</v>
      </c>
      <c r="AM16" s="11">
        <f t="shared" si="13"/>
        <v>1318</v>
      </c>
      <c r="AN16" s="11">
        <f t="shared" si="14"/>
        <v>1190</v>
      </c>
      <c r="AO16" s="11">
        <f t="shared" si="15"/>
        <v>970</v>
      </c>
      <c r="AP16" s="11">
        <f t="shared" si="16"/>
        <v>900</v>
      </c>
      <c r="AQ16" s="11">
        <f>+AP16*0.95</f>
        <v>855</v>
      </c>
      <c r="AR16" s="11">
        <f t="shared" ref="AR16:BD16" si="86">+AQ16*0.95</f>
        <v>812.25</v>
      </c>
      <c r="AS16" s="11">
        <f t="shared" si="86"/>
        <v>771.63749999999993</v>
      </c>
      <c r="AT16" s="11">
        <f t="shared" si="86"/>
        <v>733.05562499999985</v>
      </c>
      <c r="AU16" s="11">
        <f t="shared" si="86"/>
        <v>696.40284374999987</v>
      </c>
      <c r="AV16" s="11">
        <f t="shared" si="86"/>
        <v>661.58270156249989</v>
      </c>
      <c r="AW16" s="11">
        <f t="shared" si="86"/>
        <v>628.50356648437491</v>
      </c>
      <c r="AX16" s="11">
        <f t="shared" si="86"/>
        <v>597.07838816015612</v>
      </c>
      <c r="AY16" s="11">
        <f t="shared" si="86"/>
        <v>567.22446875214825</v>
      </c>
      <c r="AZ16" s="11">
        <f t="shared" si="86"/>
        <v>538.86324531454079</v>
      </c>
      <c r="BA16" s="11">
        <f t="shared" si="86"/>
        <v>511.92008304881375</v>
      </c>
      <c r="BB16" s="11">
        <f t="shared" si="86"/>
        <v>486.32407889637307</v>
      </c>
      <c r="BC16" s="11">
        <f t="shared" si="86"/>
        <v>462.00787495155441</v>
      </c>
      <c r="BD16" s="11">
        <f t="shared" si="86"/>
        <v>438.90748120397666</v>
      </c>
    </row>
    <row r="17" spans="2:56" s="11" customFormat="1" x14ac:dyDescent="0.2">
      <c r="B17" s="11" t="s">
        <v>31</v>
      </c>
      <c r="C17" s="14"/>
      <c r="D17" s="14"/>
      <c r="E17" s="14"/>
      <c r="F17" s="14"/>
      <c r="G17" s="14"/>
      <c r="H17" s="14"/>
      <c r="I17" s="14"/>
      <c r="J17" s="14"/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81</v>
      </c>
      <c r="T17" s="14">
        <v>92</v>
      </c>
      <c r="U17" s="14">
        <v>102</v>
      </c>
      <c r="V17" s="14">
        <v>90</v>
      </c>
      <c r="W17" s="14">
        <v>91</v>
      </c>
      <c r="X17" s="14">
        <v>101</v>
      </c>
      <c r="Y17" s="33">
        <v>111</v>
      </c>
      <c r="Z17" s="14">
        <v>107</v>
      </c>
      <c r="AA17" s="14">
        <v>119</v>
      </c>
      <c r="AB17" s="14">
        <v>140</v>
      </c>
      <c r="AC17" s="14">
        <v>149</v>
      </c>
      <c r="AD17" s="14">
        <f t="shared" ref="AD17" si="87">+AC17</f>
        <v>149</v>
      </c>
      <c r="AE17" s="14">
        <f t="shared" ref="AE17" si="88">+AD17</f>
        <v>149</v>
      </c>
      <c r="AF17" s="14">
        <f t="shared" ref="AF17" si="89">+AE17</f>
        <v>149</v>
      </c>
      <c r="AG17" s="14">
        <f t="shared" ref="AG17" si="90">+AF17</f>
        <v>149</v>
      </c>
      <c r="AH17" s="14">
        <f t="shared" ref="AH17" si="91">+AG17</f>
        <v>149</v>
      </c>
      <c r="AL17" s="11">
        <f t="shared" si="12"/>
        <v>0</v>
      </c>
      <c r="AM17" s="11">
        <f t="shared" si="13"/>
        <v>0</v>
      </c>
      <c r="AN17" s="11">
        <f t="shared" si="14"/>
        <v>365</v>
      </c>
      <c r="AO17" s="11">
        <f t="shared" si="15"/>
        <v>410</v>
      </c>
      <c r="AP17" s="11">
        <f t="shared" si="16"/>
        <v>557</v>
      </c>
      <c r="AQ17" s="11">
        <f>+AP17*0.85</f>
        <v>473.45</v>
      </c>
      <c r="AR17" s="11">
        <f t="shared" ref="AR17:BD17" si="92">+AQ17*0.85</f>
        <v>402.4325</v>
      </c>
      <c r="AS17" s="11">
        <f t="shared" si="92"/>
        <v>342.06762500000002</v>
      </c>
      <c r="AT17" s="11">
        <f t="shared" si="92"/>
        <v>290.75748125000001</v>
      </c>
      <c r="AU17" s="11">
        <f t="shared" si="92"/>
        <v>247.14385906250001</v>
      </c>
      <c r="AV17" s="11">
        <f t="shared" si="92"/>
        <v>210.07228020312502</v>
      </c>
      <c r="AW17" s="11">
        <f t="shared" si="92"/>
        <v>178.56143817265627</v>
      </c>
      <c r="AX17" s="11">
        <f t="shared" si="92"/>
        <v>151.77722244675783</v>
      </c>
      <c r="AY17" s="11">
        <f t="shared" si="92"/>
        <v>129.01063907974415</v>
      </c>
      <c r="AZ17" s="11">
        <f t="shared" si="92"/>
        <v>109.65904321778252</v>
      </c>
      <c r="BA17" s="11">
        <f t="shared" si="92"/>
        <v>93.210186735115144</v>
      </c>
      <c r="BB17" s="11">
        <f t="shared" si="92"/>
        <v>79.228658724847875</v>
      </c>
      <c r="BC17" s="11">
        <f t="shared" si="92"/>
        <v>67.344359916120695</v>
      </c>
      <c r="BD17" s="11">
        <f t="shared" si="92"/>
        <v>57.242705928702591</v>
      </c>
    </row>
    <row r="18" spans="2:56" s="11" customFormat="1" x14ac:dyDescent="0.2">
      <c r="B18" s="11" t="s">
        <v>42</v>
      </c>
      <c r="C18" s="14"/>
      <c r="D18" s="14"/>
      <c r="E18" s="14"/>
      <c r="F18" s="14">
        <v>116</v>
      </c>
      <c r="G18" s="14"/>
      <c r="H18" s="14"/>
      <c r="I18" s="14"/>
      <c r="J18" s="14">
        <v>125</v>
      </c>
      <c r="K18" s="14">
        <v>121</v>
      </c>
      <c r="L18" s="14">
        <v>142</v>
      </c>
      <c r="M18" s="14">
        <v>140</v>
      </c>
      <c r="N18" s="14">
        <v>147</v>
      </c>
      <c r="O18" s="14">
        <v>132</v>
      </c>
      <c r="P18" s="14">
        <v>150</v>
      </c>
      <c r="Q18" s="14">
        <v>147</v>
      </c>
      <c r="R18" s="14">
        <v>154</v>
      </c>
      <c r="S18" s="14">
        <v>165</v>
      </c>
      <c r="T18" s="14">
        <v>158</v>
      </c>
      <c r="U18" s="14">
        <v>156</v>
      </c>
      <c r="V18" s="14">
        <v>161</v>
      </c>
      <c r="W18" s="14">
        <v>155</v>
      </c>
      <c r="X18" s="14">
        <v>166</v>
      </c>
      <c r="Y18" s="33">
        <v>139</v>
      </c>
      <c r="Z18" s="14">
        <v>113</v>
      </c>
      <c r="AA18" s="14">
        <v>86</v>
      </c>
      <c r="AB18" s="14">
        <v>82</v>
      </c>
      <c r="AC18" s="14">
        <v>87</v>
      </c>
      <c r="AD18" s="14">
        <f t="shared" ref="AD18" si="93">+AC18-3</f>
        <v>84</v>
      </c>
      <c r="AE18" s="14">
        <f t="shared" ref="AE18" si="94">+AD18-3</f>
        <v>81</v>
      </c>
      <c r="AF18" s="14">
        <f t="shared" ref="AF18" si="95">+AE18-3</f>
        <v>78</v>
      </c>
      <c r="AG18" s="14">
        <f t="shared" ref="AG18" si="96">+AF18-3</f>
        <v>75</v>
      </c>
      <c r="AH18" s="14">
        <f t="shared" ref="AH18" si="97">+AG18-3</f>
        <v>72</v>
      </c>
      <c r="AL18" s="11">
        <f t="shared" si="12"/>
        <v>550</v>
      </c>
      <c r="AM18" s="11">
        <f t="shared" si="13"/>
        <v>583</v>
      </c>
      <c r="AN18" s="11">
        <f t="shared" si="14"/>
        <v>640</v>
      </c>
      <c r="AO18" s="11">
        <f t="shared" si="15"/>
        <v>573</v>
      </c>
      <c r="AP18" s="11">
        <f t="shared" si="16"/>
        <v>339</v>
      </c>
      <c r="AQ18" s="11">
        <f>+AP18*0.8</f>
        <v>271.2</v>
      </c>
      <c r="AR18" s="11">
        <f t="shared" ref="AR18:BD18" si="98">+AQ18*0.8</f>
        <v>216.96</v>
      </c>
      <c r="AS18" s="11">
        <f t="shared" si="98"/>
        <v>173.56800000000001</v>
      </c>
      <c r="AT18" s="11">
        <f t="shared" si="98"/>
        <v>138.85440000000003</v>
      </c>
      <c r="AU18" s="11">
        <f t="shared" si="98"/>
        <v>111.08352000000002</v>
      </c>
      <c r="AV18" s="11">
        <f t="shared" si="98"/>
        <v>88.866816000000028</v>
      </c>
      <c r="AW18" s="11">
        <f t="shared" si="98"/>
        <v>71.093452800000023</v>
      </c>
      <c r="AX18" s="11">
        <f t="shared" si="98"/>
        <v>56.874762240000024</v>
      </c>
      <c r="AY18" s="11">
        <f t="shared" si="98"/>
        <v>45.499809792000022</v>
      </c>
      <c r="AZ18" s="11">
        <f t="shared" si="98"/>
        <v>36.39984783360002</v>
      </c>
      <c r="BA18" s="11">
        <f t="shared" si="98"/>
        <v>29.119878266880018</v>
      </c>
      <c r="BB18" s="11">
        <f t="shared" si="98"/>
        <v>23.295902613504015</v>
      </c>
      <c r="BC18" s="11">
        <f t="shared" si="98"/>
        <v>18.636722090803215</v>
      </c>
      <c r="BD18" s="11">
        <f t="shared" si="98"/>
        <v>14.909377672642572</v>
      </c>
    </row>
    <row r="19" spans="2:56" s="11" customFormat="1" x14ac:dyDescent="0.2">
      <c r="B19" s="11" t="s">
        <v>43</v>
      </c>
      <c r="C19" s="14"/>
      <c r="D19" s="14"/>
      <c r="E19" s="14"/>
      <c r="F19" s="14"/>
      <c r="G19" s="14"/>
      <c r="H19" s="14"/>
      <c r="I19" s="14"/>
      <c r="J19" s="14"/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354</v>
      </c>
      <c r="T19" s="14">
        <v>831</v>
      </c>
      <c r="U19" s="14">
        <v>796</v>
      </c>
      <c r="V19" s="14">
        <v>321</v>
      </c>
      <c r="W19" s="14">
        <v>234</v>
      </c>
      <c r="X19" s="14">
        <v>264</v>
      </c>
      <c r="Y19" s="33">
        <v>79</v>
      </c>
      <c r="Z19" s="14">
        <v>44</v>
      </c>
      <c r="AA19" s="14">
        <v>32</v>
      </c>
      <c r="AB19" s="14">
        <v>43</v>
      </c>
      <c r="AC19" s="14">
        <v>21</v>
      </c>
      <c r="AD19" s="14">
        <f t="shared" ref="AD19" si="99">+AC19-5</f>
        <v>16</v>
      </c>
      <c r="AE19" s="14">
        <f t="shared" ref="AE19" si="100">+AD19-5</f>
        <v>11</v>
      </c>
      <c r="AF19" s="14">
        <f t="shared" ref="AF19" si="101">+AE19-5</f>
        <v>6</v>
      </c>
      <c r="AG19" s="14">
        <f t="shared" ref="AG19" si="102">+AF19-5</f>
        <v>1</v>
      </c>
      <c r="AH19" s="14">
        <f t="shared" ref="AH19" si="103">+AG19-5</f>
        <v>-4</v>
      </c>
      <c r="AL19" s="11">
        <f t="shared" si="12"/>
        <v>0</v>
      </c>
      <c r="AM19" s="11">
        <f t="shared" si="13"/>
        <v>0</v>
      </c>
      <c r="AN19" s="11">
        <f t="shared" si="14"/>
        <v>2302</v>
      </c>
      <c r="AO19" s="11">
        <f t="shared" si="15"/>
        <v>621</v>
      </c>
      <c r="AP19" s="11">
        <f>SUM(AA19:AD19)</f>
        <v>112</v>
      </c>
      <c r="AQ19" s="11">
        <f t="shared" ref="AQ19:BD19" si="104">+AP19*0.8</f>
        <v>89.600000000000009</v>
      </c>
      <c r="AR19" s="11">
        <f t="shared" si="104"/>
        <v>71.680000000000007</v>
      </c>
      <c r="AS19" s="11">
        <f t="shared" si="104"/>
        <v>57.344000000000008</v>
      </c>
      <c r="AT19" s="11">
        <f t="shared" si="104"/>
        <v>45.875200000000007</v>
      </c>
      <c r="AU19" s="11">
        <f t="shared" si="104"/>
        <v>36.700160000000004</v>
      </c>
      <c r="AV19" s="11">
        <f t="shared" si="104"/>
        <v>29.360128000000003</v>
      </c>
      <c r="AW19" s="11">
        <f t="shared" si="104"/>
        <v>23.488102400000002</v>
      </c>
      <c r="AX19" s="11">
        <f t="shared" si="104"/>
        <v>18.790481920000001</v>
      </c>
      <c r="AY19" s="11">
        <f t="shared" si="104"/>
        <v>15.032385536000001</v>
      </c>
      <c r="AZ19" s="11">
        <f t="shared" si="104"/>
        <v>12.025908428800001</v>
      </c>
      <c r="BA19" s="11">
        <f t="shared" si="104"/>
        <v>9.6207267430400023</v>
      </c>
      <c r="BB19" s="11">
        <f t="shared" si="104"/>
        <v>7.6965813944320018</v>
      </c>
      <c r="BC19" s="11">
        <f t="shared" si="104"/>
        <v>6.1572651155456022</v>
      </c>
      <c r="BD19" s="11">
        <f t="shared" si="104"/>
        <v>4.9258120924364821</v>
      </c>
    </row>
    <row r="20" spans="2:56" s="11" customFormat="1" x14ac:dyDescent="0.2">
      <c r="B20" s="11" t="s">
        <v>147</v>
      </c>
      <c r="C20" s="14"/>
      <c r="D20" s="14"/>
      <c r="E20" s="14"/>
      <c r="F20" s="14"/>
      <c r="G20" s="14"/>
      <c r="H20" s="14"/>
      <c r="I20" s="14"/>
      <c r="J20" s="14"/>
      <c r="K20" s="14">
        <v>132</v>
      </c>
      <c r="L20" s="14">
        <v>102</v>
      </c>
      <c r="M20" s="14">
        <v>71</v>
      </c>
      <c r="N20" s="14">
        <v>138</v>
      </c>
      <c r="O20" s="14">
        <v>162</v>
      </c>
      <c r="P20" s="14">
        <v>172</v>
      </c>
      <c r="Q20" s="14">
        <v>76</v>
      </c>
      <c r="R20" s="14">
        <v>107</v>
      </c>
      <c r="S20" s="14">
        <v>86</v>
      </c>
      <c r="T20" s="14"/>
      <c r="U20" s="14"/>
      <c r="V20" s="14"/>
      <c r="W20" s="14"/>
      <c r="X20" s="14"/>
      <c r="Y20" s="33"/>
      <c r="Z20" s="14"/>
      <c r="AA20" s="14"/>
      <c r="AB20" s="14"/>
      <c r="AC20" s="14"/>
      <c r="AD20" s="14"/>
      <c r="AE20" s="14"/>
      <c r="AF20" s="14"/>
      <c r="AG20" s="14"/>
      <c r="AH20" s="14"/>
      <c r="AL20" s="11">
        <f t="shared" si="12"/>
        <v>443</v>
      </c>
      <c r="AM20" s="11">
        <f t="shared" si="13"/>
        <v>517</v>
      </c>
      <c r="AN20" s="11">
        <f t="shared" si="14"/>
        <v>86</v>
      </c>
    </row>
    <row r="21" spans="2:56" s="11" customFormat="1" x14ac:dyDescent="0.2">
      <c r="B21" s="11" t="s">
        <v>171</v>
      </c>
      <c r="C21" s="14"/>
      <c r="D21" s="14"/>
      <c r="E21" s="14"/>
      <c r="F21" s="14">
        <v>65</v>
      </c>
      <c r="G21" s="14"/>
      <c r="H21" s="14"/>
      <c r="I21" s="14"/>
      <c r="J21" s="14">
        <v>83</v>
      </c>
      <c r="K21" s="14">
        <v>80</v>
      </c>
      <c r="L21" s="14">
        <v>91</v>
      </c>
      <c r="M21" s="14">
        <v>94</v>
      </c>
      <c r="N21" s="14">
        <v>84</v>
      </c>
      <c r="O21" s="14">
        <v>89</v>
      </c>
      <c r="P21" s="14">
        <v>103</v>
      </c>
      <c r="Q21" s="14">
        <v>92</v>
      </c>
      <c r="R21" s="14">
        <v>95</v>
      </c>
      <c r="S21" s="14"/>
      <c r="T21" s="14"/>
      <c r="U21" s="14"/>
      <c r="V21" s="14"/>
      <c r="W21" s="14"/>
      <c r="X21" s="14"/>
      <c r="Y21" s="33"/>
      <c r="Z21" s="14"/>
      <c r="AA21" s="14"/>
      <c r="AB21" s="14"/>
      <c r="AC21" s="14"/>
      <c r="AD21" s="14"/>
      <c r="AE21" s="14"/>
      <c r="AF21" s="14"/>
      <c r="AG21" s="14"/>
      <c r="AH21" s="14"/>
      <c r="AL21" s="11">
        <f t="shared" si="12"/>
        <v>349</v>
      </c>
      <c r="AM21" s="11">
        <f t="shared" si="13"/>
        <v>379</v>
      </c>
    </row>
    <row r="22" spans="2:56" s="11" customFormat="1" x14ac:dyDescent="0.2">
      <c r="B22" s="11" t="s">
        <v>170</v>
      </c>
      <c r="C22" s="14"/>
      <c r="D22" s="14"/>
      <c r="E22" s="14"/>
      <c r="F22" s="14">
        <v>252</v>
      </c>
      <c r="G22" s="14"/>
      <c r="H22" s="14"/>
      <c r="I22" s="14"/>
      <c r="J22" s="14">
        <v>254</v>
      </c>
      <c r="K22" s="14">
        <v>222</v>
      </c>
      <c r="L22" s="14">
        <v>232</v>
      </c>
      <c r="M22" s="14">
        <v>195</v>
      </c>
      <c r="N22" s="14">
        <v>186</v>
      </c>
      <c r="O22" s="14">
        <v>152</v>
      </c>
      <c r="P22" s="14">
        <v>156</v>
      </c>
      <c r="Q22" s="14">
        <v>133</v>
      </c>
      <c r="R22" s="14">
        <v>29</v>
      </c>
      <c r="S22" s="14"/>
      <c r="T22" s="14"/>
      <c r="U22" s="14"/>
      <c r="V22" s="14"/>
      <c r="W22" s="14"/>
      <c r="X22" s="14"/>
      <c r="Y22" s="33"/>
      <c r="Z22" s="14"/>
      <c r="AA22" s="14"/>
      <c r="AB22" s="14"/>
      <c r="AC22" s="14"/>
      <c r="AD22" s="14"/>
      <c r="AE22" s="14"/>
      <c r="AF22" s="14"/>
      <c r="AG22" s="14"/>
      <c r="AH22" s="14"/>
      <c r="AL22" s="11">
        <f t="shared" si="12"/>
        <v>835</v>
      </c>
      <c r="AM22" s="11">
        <f t="shared" si="13"/>
        <v>470</v>
      </c>
    </row>
    <row r="23" spans="2:56" s="11" customFormat="1" x14ac:dyDescent="0.2">
      <c r="B23" s="11" t="s">
        <v>207</v>
      </c>
      <c r="C23" s="14"/>
      <c r="D23" s="14"/>
      <c r="E23" s="14"/>
      <c r="F23" s="14">
        <v>67</v>
      </c>
      <c r="G23" s="14"/>
      <c r="H23" s="14"/>
      <c r="I23" s="14"/>
      <c r="J23" s="14">
        <v>39</v>
      </c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33"/>
      <c r="Z23" s="14"/>
      <c r="AA23" s="14"/>
      <c r="AB23" s="14"/>
      <c r="AC23" s="14"/>
      <c r="AD23" s="14"/>
      <c r="AE23" s="14"/>
      <c r="AF23" s="14"/>
      <c r="AG23" s="14"/>
      <c r="AH23" s="14"/>
    </row>
    <row r="24" spans="2:56" s="11" customFormat="1" x14ac:dyDescent="0.2">
      <c r="B24" s="11" t="s">
        <v>210</v>
      </c>
      <c r="C24" s="14"/>
      <c r="D24" s="14"/>
      <c r="E24" s="14"/>
      <c r="F24" s="14">
        <v>196</v>
      </c>
      <c r="G24" s="14"/>
      <c r="H24" s="14"/>
      <c r="I24" s="14"/>
      <c r="J24" s="14">
        <v>140</v>
      </c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33"/>
      <c r="Z24" s="14"/>
      <c r="AA24" s="14"/>
      <c r="AB24" s="14"/>
      <c r="AC24" s="14"/>
      <c r="AD24" s="14"/>
      <c r="AE24" s="14"/>
      <c r="AF24" s="14"/>
      <c r="AG24" s="14"/>
      <c r="AH24" s="14"/>
    </row>
    <row r="25" spans="2:56" s="11" customFormat="1" x14ac:dyDescent="0.2">
      <c r="B25" s="11" t="s">
        <v>208</v>
      </c>
      <c r="C25" s="14"/>
      <c r="D25" s="14"/>
      <c r="E25" s="14"/>
      <c r="F25" s="14">
        <v>121</v>
      </c>
      <c r="G25" s="14"/>
      <c r="H25" s="14"/>
      <c r="I25" s="14"/>
      <c r="J25" s="14">
        <v>121</v>
      </c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33"/>
      <c r="Z25" s="14"/>
      <c r="AA25" s="14"/>
      <c r="AB25" s="14"/>
      <c r="AC25" s="14"/>
      <c r="AD25" s="14"/>
      <c r="AE25" s="14"/>
      <c r="AF25" s="14"/>
      <c r="AG25" s="14"/>
      <c r="AH25" s="14"/>
    </row>
    <row r="26" spans="2:56" s="11" customFormat="1" x14ac:dyDescent="0.2">
      <c r="B26" s="11" t="s">
        <v>132</v>
      </c>
      <c r="C26" s="14"/>
      <c r="D26" s="14"/>
      <c r="E26" s="14"/>
      <c r="F26" s="14">
        <v>151</v>
      </c>
      <c r="G26" s="14"/>
      <c r="H26" s="14"/>
      <c r="I26" s="14"/>
      <c r="J26" s="14">
        <v>148</v>
      </c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33"/>
      <c r="Z26" s="14"/>
      <c r="AA26" s="14"/>
      <c r="AB26" s="14"/>
      <c r="AC26" s="14"/>
      <c r="AD26" s="14"/>
      <c r="AE26" s="14"/>
      <c r="AF26" s="14"/>
      <c r="AG26" s="14"/>
      <c r="AH26" s="14"/>
    </row>
    <row r="27" spans="2:56" s="11" customFormat="1" x14ac:dyDescent="0.2">
      <c r="B27" s="11" t="s">
        <v>209</v>
      </c>
      <c r="C27" s="14"/>
      <c r="D27" s="14"/>
      <c r="E27" s="14"/>
      <c r="F27" s="14">
        <v>400</v>
      </c>
      <c r="G27" s="14"/>
      <c r="H27" s="14"/>
      <c r="I27" s="14"/>
      <c r="J27" s="14">
        <v>5</v>
      </c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33"/>
      <c r="Z27" s="14"/>
      <c r="AA27" s="14"/>
      <c r="AB27" s="14"/>
      <c r="AC27" s="14"/>
      <c r="AD27" s="14"/>
      <c r="AE27" s="14"/>
      <c r="AF27" s="14"/>
      <c r="AG27" s="14"/>
      <c r="AH27" s="14"/>
    </row>
    <row r="28" spans="2:56" s="11" customFormat="1" x14ac:dyDescent="0.2">
      <c r="B28" s="11" t="s">
        <v>101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33"/>
      <c r="Z28" s="14"/>
      <c r="AA28" s="14"/>
      <c r="AB28" s="14"/>
      <c r="AC28" s="14"/>
      <c r="AD28" s="14"/>
      <c r="AE28" s="14"/>
      <c r="AF28" s="14"/>
      <c r="AG28" s="14"/>
      <c r="AH28" s="14"/>
      <c r="AT28" s="11">
        <v>500</v>
      </c>
      <c r="AU28" s="11">
        <v>1000</v>
      </c>
      <c r="AV28" s="11">
        <v>1500</v>
      </c>
      <c r="AW28" s="11">
        <v>2000</v>
      </c>
      <c r="AX28" s="11">
        <v>2500</v>
      </c>
      <c r="AY28" s="11">
        <f>+AX28*0.5</f>
        <v>1250</v>
      </c>
      <c r="AZ28" s="11">
        <f t="shared" ref="AZ28:BD28" si="105">+AY28*0.5</f>
        <v>625</v>
      </c>
      <c r="BA28" s="11">
        <f t="shared" si="105"/>
        <v>312.5</v>
      </c>
      <c r="BB28" s="11">
        <f t="shared" si="105"/>
        <v>156.25</v>
      </c>
      <c r="BC28" s="11">
        <f t="shared" si="105"/>
        <v>78.125</v>
      </c>
      <c r="BD28" s="11">
        <f t="shared" si="105"/>
        <v>39.0625</v>
      </c>
    </row>
    <row r="29" spans="2:56" s="11" customFormat="1" x14ac:dyDescent="0.2">
      <c r="B29" s="11" t="s">
        <v>107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33"/>
      <c r="Z29" s="14"/>
      <c r="AA29" s="14"/>
      <c r="AB29" s="14"/>
      <c r="AC29" s="14"/>
      <c r="AD29" s="14"/>
      <c r="AE29" s="14"/>
      <c r="AF29" s="14"/>
      <c r="AG29" s="14"/>
      <c r="AH29" s="14"/>
      <c r="AU29" s="11">
        <v>500</v>
      </c>
      <c r="AV29" s="11">
        <v>800</v>
      </c>
      <c r="AW29" s="11">
        <v>1000</v>
      </c>
      <c r="AX29" s="11">
        <v>1200</v>
      </c>
      <c r="AY29" s="11">
        <v>1500</v>
      </c>
      <c r="AZ29" s="11">
        <v>1800</v>
      </c>
      <c r="BA29" s="11">
        <v>2000</v>
      </c>
      <c r="BB29" s="11">
        <v>2200</v>
      </c>
      <c r="BC29" s="11">
        <v>2500</v>
      </c>
      <c r="BD29" s="11">
        <f>+BC29*0.1</f>
        <v>250</v>
      </c>
    </row>
    <row r="30" spans="2:56" s="11" customFormat="1" x14ac:dyDescent="0.2">
      <c r="B30" s="11" t="s">
        <v>110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33"/>
      <c r="Z30" s="14"/>
      <c r="AA30" s="14"/>
      <c r="AB30" s="14"/>
      <c r="AC30" s="14"/>
      <c r="AD30" s="14"/>
      <c r="AE30" s="14"/>
      <c r="AF30" s="14"/>
      <c r="AG30" s="14"/>
      <c r="AH30" s="14"/>
      <c r="AU30" s="11">
        <v>500</v>
      </c>
      <c r="AV30" s="11">
        <v>800</v>
      </c>
      <c r="AW30" s="11">
        <v>1000</v>
      </c>
      <c r="AX30" s="11">
        <v>1200</v>
      </c>
      <c r="AY30" s="11">
        <v>1500</v>
      </c>
      <c r="AZ30" s="11">
        <v>1800</v>
      </c>
      <c r="BA30" s="11">
        <v>2000</v>
      </c>
      <c r="BB30" s="11">
        <v>2200</v>
      </c>
      <c r="BC30" s="11">
        <v>2500</v>
      </c>
      <c r="BD30" s="11">
        <f t="shared" ref="BD30" si="106">+BC30*0.1</f>
        <v>250</v>
      </c>
    </row>
    <row r="31" spans="2:56" s="11" customFormat="1" x14ac:dyDescent="0.2">
      <c r="B31" s="11" t="s">
        <v>87</v>
      </c>
      <c r="C31" s="14"/>
      <c r="D31" s="14"/>
      <c r="E31" s="14"/>
      <c r="F31" s="14">
        <v>1447</v>
      </c>
      <c r="G31" s="14"/>
      <c r="H31" s="14"/>
      <c r="I31" s="14"/>
      <c r="J31" s="14">
        <v>1453</v>
      </c>
      <c r="K31" s="14">
        <v>1493</v>
      </c>
      <c r="L31" s="14">
        <v>1628</v>
      </c>
      <c r="M31" s="14">
        <v>2290</v>
      </c>
      <c r="N31" s="14">
        <v>2388</v>
      </c>
      <c r="O31" s="14">
        <v>2385</v>
      </c>
      <c r="P31" s="14">
        <v>2385</v>
      </c>
      <c r="Q31" s="14">
        <v>2283</v>
      </c>
      <c r="R31" s="14">
        <v>2456</v>
      </c>
      <c r="S31" s="14">
        <v>2421</v>
      </c>
      <c r="T31" s="14">
        <v>2469</v>
      </c>
      <c r="U31" s="14">
        <v>2344</v>
      </c>
      <c r="V31" s="14"/>
      <c r="W31" s="14"/>
      <c r="X31" s="14"/>
      <c r="Y31" s="38"/>
      <c r="Z31" s="14"/>
      <c r="AA31" s="14"/>
      <c r="AB31" s="14"/>
      <c r="AC31" s="14"/>
      <c r="AD31" s="14"/>
      <c r="AE31" s="14"/>
      <c r="AF31" s="14"/>
      <c r="AG31" s="14"/>
      <c r="AH31" s="14"/>
      <c r="AL31" s="11">
        <f t="shared" si="12"/>
        <v>7799</v>
      </c>
      <c r="AM31" s="11">
        <f t="shared" si="13"/>
        <v>9509</v>
      </c>
      <c r="AN31" s="11">
        <f t="shared" si="14"/>
        <v>7234</v>
      </c>
    </row>
    <row r="32" spans="2:56" s="11" customFormat="1" x14ac:dyDescent="0.2">
      <c r="B32" s="11" t="s">
        <v>44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>
        <v>350</v>
      </c>
      <c r="W32" s="14">
        <v>333</v>
      </c>
      <c r="X32" s="14">
        <v>336</v>
      </c>
      <c r="Y32" s="33">
        <v>309</v>
      </c>
      <c r="Z32" s="14">
        <v>354</v>
      </c>
      <c r="AA32" s="14">
        <v>342</v>
      </c>
      <c r="AB32" s="14">
        <v>349</v>
      </c>
      <c r="AC32" s="14">
        <v>320</v>
      </c>
      <c r="AD32" s="14">
        <f t="shared" ref="AD32" si="107">+AC32</f>
        <v>320</v>
      </c>
      <c r="AE32" s="14">
        <f t="shared" ref="AE32:AE35" si="108">+AD32</f>
        <v>320</v>
      </c>
      <c r="AF32" s="14">
        <f t="shared" ref="AF32:AF35" si="109">+AE32</f>
        <v>320</v>
      </c>
      <c r="AG32" s="14">
        <f t="shared" ref="AG32:AG35" si="110">+AF32</f>
        <v>320</v>
      </c>
      <c r="AH32" s="14">
        <f t="shared" ref="AH32:AH35" si="111">+AG32</f>
        <v>320</v>
      </c>
      <c r="AN32" s="11">
        <f t="shared" si="14"/>
        <v>350</v>
      </c>
      <c r="AO32" s="11">
        <f t="shared" si="15"/>
        <v>1332</v>
      </c>
      <c r="AP32" s="11">
        <f t="shared" si="16"/>
        <v>1331</v>
      </c>
      <c r="AQ32" s="11">
        <f>+AP32*1.01</f>
        <v>1344.31</v>
      </c>
      <c r="AR32" s="11">
        <f t="shared" ref="AR32:BD32" si="112">+AQ32*1.01</f>
        <v>1357.7530999999999</v>
      </c>
      <c r="AS32" s="11">
        <f t="shared" si="112"/>
        <v>1371.3306309999998</v>
      </c>
      <c r="AT32" s="11">
        <f t="shared" si="112"/>
        <v>1385.0439373099998</v>
      </c>
      <c r="AU32" s="11">
        <f t="shared" si="112"/>
        <v>1398.8943766830998</v>
      </c>
      <c r="AV32" s="11">
        <f t="shared" si="112"/>
        <v>1412.8833204499308</v>
      </c>
      <c r="AW32" s="11">
        <f t="shared" si="112"/>
        <v>1427.0121536544302</v>
      </c>
      <c r="AX32" s="11">
        <f t="shared" si="112"/>
        <v>1441.2822751909746</v>
      </c>
      <c r="AY32" s="11">
        <f t="shared" si="112"/>
        <v>1455.6950979428843</v>
      </c>
      <c r="AZ32" s="11">
        <f t="shared" si="112"/>
        <v>1470.2520489223132</v>
      </c>
      <c r="BA32" s="11">
        <f t="shared" si="112"/>
        <v>1484.9545694115363</v>
      </c>
      <c r="BB32" s="11">
        <f t="shared" si="112"/>
        <v>1499.8041151056518</v>
      </c>
      <c r="BC32" s="11">
        <f t="shared" si="112"/>
        <v>1514.8021562567083</v>
      </c>
      <c r="BD32" s="11">
        <f t="shared" si="112"/>
        <v>1529.9501778192753</v>
      </c>
    </row>
    <row r="33" spans="2:56" s="11" customFormat="1" x14ac:dyDescent="0.2">
      <c r="B33" s="11" t="s">
        <v>45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>
        <v>401</v>
      </c>
      <c r="W33" s="14">
        <v>376</v>
      </c>
      <c r="X33" s="14">
        <v>372</v>
      </c>
      <c r="Y33" s="33">
        <v>343</v>
      </c>
      <c r="Z33" s="14">
        <v>405</v>
      </c>
      <c r="AA33" s="14">
        <v>389</v>
      </c>
      <c r="AB33" s="14">
        <v>385</v>
      </c>
      <c r="AC33" s="14">
        <v>355</v>
      </c>
      <c r="AD33" s="14">
        <f t="shared" ref="AD33" si="113">+AC33</f>
        <v>355</v>
      </c>
      <c r="AE33" s="14">
        <f t="shared" si="108"/>
        <v>355</v>
      </c>
      <c r="AF33" s="14">
        <f t="shared" si="109"/>
        <v>355</v>
      </c>
      <c r="AG33" s="14">
        <f t="shared" si="110"/>
        <v>355</v>
      </c>
      <c r="AH33" s="14">
        <f t="shared" si="111"/>
        <v>355</v>
      </c>
      <c r="AN33" s="11">
        <f t="shared" si="14"/>
        <v>401</v>
      </c>
      <c r="AO33" s="11">
        <f t="shared" si="15"/>
        <v>1496</v>
      </c>
      <c r="AP33" s="11">
        <f t="shared" si="16"/>
        <v>1484</v>
      </c>
      <c r="AQ33" s="11">
        <f t="shared" ref="AQ33:BD33" si="114">+AP33*1.01</f>
        <v>1498.84</v>
      </c>
      <c r="AR33" s="11">
        <f t="shared" si="114"/>
        <v>1513.8283999999999</v>
      </c>
      <c r="AS33" s="11">
        <f t="shared" si="114"/>
        <v>1528.966684</v>
      </c>
      <c r="AT33" s="11">
        <f t="shared" si="114"/>
        <v>1544.2563508400001</v>
      </c>
      <c r="AU33" s="11">
        <f t="shared" si="114"/>
        <v>1559.6989143484002</v>
      </c>
      <c r="AV33" s="11">
        <f t="shared" si="114"/>
        <v>1575.2959034918842</v>
      </c>
      <c r="AW33" s="11">
        <f t="shared" si="114"/>
        <v>1591.0488625268031</v>
      </c>
      <c r="AX33" s="11">
        <f t="shared" si="114"/>
        <v>1606.9593511520711</v>
      </c>
      <c r="AY33" s="11">
        <f t="shared" si="114"/>
        <v>1623.0289446635918</v>
      </c>
      <c r="AZ33" s="11">
        <f t="shared" si="114"/>
        <v>1639.2592341102277</v>
      </c>
      <c r="BA33" s="11">
        <f t="shared" si="114"/>
        <v>1655.65182645133</v>
      </c>
      <c r="BB33" s="11">
        <f t="shared" si="114"/>
        <v>1672.2083447158432</v>
      </c>
      <c r="BC33" s="11">
        <f t="shared" si="114"/>
        <v>1688.9304281630016</v>
      </c>
      <c r="BD33" s="11">
        <f t="shared" si="114"/>
        <v>1705.8197324446317</v>
      </c>
    </row>
    <row r="34" spans="2:56" s="11" customFormat="1" x14ac:dyDescent="0.2">
      <c r="B34" s="11" t="s">
        <v>46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>
        <v>639</v>
      </c>
      <c r="W34" s="14">
        <v>656</v>
      </c>
      <c r="X34" s="14">
        <v>621</v>
      </c>
      <c r="Y34" s="33">
        <v>607</v>
      </c>
      <c r="Z34" s="14">
        <v>644</v>
      </c>
      <c r="AA34" s="14">
        <v>642</v>
      </c>
      <c r="AB34" s="14">
        <v>636</v>
      </c>
      <c r="AC34" s="14">
        <v>637</v>
      </c>
      <c r="AD34" s="14">
        <f t="shared" ref="AD34" si="115">+AC34</f>
        <v>637</v>
      </c>
      <c r="AE34" s="14">
        <f t="shared" si="108"/>
        <v>637</v>
      </c>
      <c r="AF34" s="14">
        <f t="shared" si="109"/>
        <v>637</v>
      </c>
      <c r="AG34" s="14">
        <f t="shared" si="110"/>
        <v>637</v>
      </c>
      <c r="AH34" s="14">
        <f t="shared" si="111"/>
        <v>637</v>
      </c>
      <c r="AN34" s="11">
        <f t="shared" si="14"/>
        <v>639</v>
      </c>
      <c r="AO34" s="11">
        <f t="shared" si="15"/>
        <v>2528</v>
      </c>
      <c r="AP34" s="11">
        <f t="shared" si="16"/>
        <v>2552</v>
      </c>
      <c r="AQ34" s="11">
        <f t="shared" ref="AQ34:BD34" si="116">+AP34*1.01</f>
        <v>2577.52</v>
      </c>
      <c r="AR34" s="11">
        <f t="shared" si="116"/>
        <v>2603.2952</v>
      </c>
      <c r="AS34" s="11">
        <f t="shared" si="116"/>
        <v>2629.328152</v>
      </c>
      <c r="AT34" s="11">
        <f t="shared" si="116"/>
        <v>2655.6214335200002</v>
      </c>
      <c r="AU34" s="11">
        <f t="shared" si="116"/>
        <v>2682.1776478552001</v>
      </c>
      <c r="AV34" s="11">
        <f t="shared" si="116"/>
        <v>2708.9994243337524</v>
      </c>
      <c r="AW34" s="11">
        <f t="shared" si="116"/>
        <v>2736.0894185770899</v>
      </c>
      <c r="AX34" s="11">
        <f t="shared" si="116"/>
        <v>2763.4503127628609</v>
      </c>
      <c r="AY34" s="11">
        <f t="shared" si="116"/>
        <v>2791.0848158904896</v>
      </c>
      <c r="AZ34" s="11">
        <f t="shared" si="116"/>
        <v>2818.9956640493947</v>
      </c>
      <c r="BA34" s="11">
        <f t="shared" si="116"/>
        <v>2847.1856206898888</v>
      </c>
      <c r="BB34" s="11">
        <f t="shared" si="116"/>
        <v>2875.6574768967876</v>
      </c>
      <c r="BC34" s="11">
        <f t="shared" si="116"/>
        <v>2904.4140516657553</v>
      </c>
      <c r="BD34" s="11">
        <f t="shared" si="116"/>
        <v>2933.4581921824129</v>
      </c>
    </row>
    <row r="35" spans="2:56" s="11" customFormat="1" x14ac:dyDescent="0.2">
      <c r="B35" s="11" t="s">
        <v>47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>
        <v>1051</v>
      </c>
      <c r="W35" s="14">
        <v>963</v>
      </c>
      <c r="X35" s="14">
        <v>1001</v>
      </c>
      <c r="Y35" s="33">
        <v>922</v>
      </c>
      <c r="Z35" s="14">
        <v>1020</v>
      </c>
      <c r="AA35" s="14">
        <v>968</v>
      </c>
      <c r="AB35" s="14">
        <v>985</v>
      </c>
      <c r="AC35" s="14">
        <v>939</v>
      </c>
      <c r="AD35" s="14">
        <f t="shared" ref="AD35" si="117">+AC35</f>
        <v>939</v>
      </c>
      <c r="AE35" s="14">
        <f t="shared" si="108"/>
        <v>939</v>
      </c>
      <c r="AF35" s="14">
        <f t="shared" si="109"/>
        <v>939</v>
      </c>
      <c r="AG35" s="14">
        <f t="shared" si="110"/>
        <v>939</v>
      </c>
      <c r="AH35" s="14">
        <f t="shared" si="111"/>
        <v>939</v>
      </c>
      <c r="AN35" s="11">
        <f t="shared" si="14"/>
        <v>1051</v>
      </c>
      <c r="AO35" s="11">
        <f t="shared" si="15"/>
        <v>3906</v>
      </c>
      <c r="AP35" s="11">
        <f t="shared" si="16"/>
        <v>3831</v>
      </c>
      <c r="AQ35" s="11">
        <f t="shared" ref="AQ35:BD35" si="118">+AP35*1.01</f>
        <v>3869.31</v>
      </c>
      <c r="AR35" s="11">
        <f t="shared" si="118"/>
        <v>3908.0030999999999</v>
      </c>
      <c r="AS35" s="11">
        <f t="shared" si="118"/>
        <v>3947.0831309999999</v>
      </c>
      <c r="AT35" s="11">
        <f t="shared" si="118"/>
        <v>3986.5539623099999</v>
      </c>
      <c r="AU35" s="11">
        <f t="shared" si="118"/>
        <v>4026.4195019331</v>
      </c>
      <c r="AV35" s="11">
        <f t="shared" si="118"/>
        <v>4066.6836969524311</v>
      </c>
      <c r="AW35" s="11">
        <f t="shared" si="118"/>
        <v>4107.3505339219555</v>
      </c>
      <c r="AX35" s="11">
        <f t="shared" si="118"/>
        <v>4148.4240392611755</v>
      </c>
      <c r="AY35" s="11">
        <f t="shared" si="118"/>
        <v>4189.9082796537868</v>
      </c>
      <c r="AZ35" s="11">
        <f t="shared" si="118"/>
        <v>4231.8073624503249</v>
      </c>
      <c r="BA35" s="11">
        <f t="shared" si="118"/>
        <v>4274.125436074828</v>
      </c>
      <c r="BB35" s="11">
        <f t="shared" si="118"/>
        <v>4316.8666904355759</v>
      </c>
      <c r="BC35" s="11">
        <f t="shared" si="118"/>
        <v>4360.0353573399316</v>
      </c>
      <c r="BD35" s="11">
        <f t="shared" si="118"/>
        <v>4403.6357109133305</v>
      </c>
    </row>
    <row r="36" spans="2:56" s="11" customFormat="1" x14ac:dyDescent="0.2">
      <c r="B36" s="11" t="s">
        <v>88</v>
      </c>
      <c r="C36" s="14"/>
      <c r="D36" s="14"/>
      <c r="E36" s="14"/>
      <c r="F36" s="14">
        <v>1257</v>
      </c>
      <c r="G36" s="14"/>
      <c r="H36" s="14"/>
      <c r="I36" s="14"/>
      <c r="J36" s="14">
        <v>1333</v>
      </c>
      <c r="K36" s="14">
        <v>1625</v>
      </c>
      <c r="L36" s="14">
        <v>1640</v>
      </c>
      <c r="M36" s="14">
        <v>1551</v>
      </c>
      <c r="N36" s="14">
        <v>1667</v>
      </c>
      <c r="O36" s="14">
        <v>1508</v>
      </c>
      <c r="P36" s="14">
        <v>1588</v>
      </c>
      <c r="Q36" s="14">
        <v>1534</v>
      </c>
      <c r="R36" s="14">
        <v>1639</v>
      </c>
      <c r="S36" s="14">
        <v>1508</v>
      </c>
      <c r="T36" s="14">
        <v>1575</v>
      </c>
      <c r="U36" s="14">
        <v>1521</v>
      </c>
      <c r="V36" s="14"/>
      <c r="W36" s="14"/>
      <c r="X36" s="14"/>
      <c r="Y36" s="33">
        <v>1399</v>
      </c>
      <c r="Z36" s="14"/>
      <c r="AA36" s="14"/>
      <c r="AB36" s="14"/>
      <c r="AC36" s="14"/>
      <c r="AD36" s="14"/>
      <c r="AE36" s="14"/>
      <c r="AF36" s="14"/>
      <c r="AG36" s="14"/>
      <c r="AH36" s="14"/>
      <c r="AL36" s="11">
        <f t="shared" si="12"/>
        <v>6483</v>
      </c>
      <c r="AM36" s="11">
        <f t="shared" si="13"/>
        <v>6269</v>
      </c>
      <c r="AN36" s="11">
        <f t="shared" si="14"/>
        <v>4604</v>
      </c>
      <c r="AO36" s="11">
        <f t="shared" si="15"/>
        <v>1399</v>
      </c>
    </row>
    <row r="37" spans="2:56" s="11" customFormat="1" x14ac:dyDescent="0.2">
      <c r="B37" s="11" t="s">
        <v>89</v>
      </c>
      <c r="C37" s="14"/>
      <c r="D37" s="14"/>
      <c r="E37" s="14"/>
      <c r="F37" s="14">
        <v>1152</v>
      </c>
      <c r="G37" s="14"/>
      <c r="H37" s="14"/>
      <c r="I37" s="14"/>
      <c r="J37" s="14">
        <v>1233</v>
      </c>
      <c r="K37" s="14">
        <v>628</v>
      </c>
      <c r="L37" s="14">
        <v>646</v>
      </c>
      <c r="M37" s="14">
        <v>597</v>
      </c>
      <c r="N37" s="14">
        <v>655</v>
      </c>
      <c r="O37" s="14">
        <v>627</v>
      </c>
      <c r="P37" s="14">
        <v>656</v>
      </c>
      <c r="Q37" s="14">
        <v>626</v>
      </c>
      <c r="R37" s="14">
        <v>683</v>
      </c>
      <c r="S37" s="14">
        <v>874</v>
      </c>
      <c r="T37" s="14">
        <v>905</v>
      </c>
      <c r="U37" s="14">
        <v>858</v>
      </c>
      <c r="V37" s="14"/>
      <c r="W37" s="14"/>
      <c r="X37" s="14"/>
      <c r="Y37" s="33">
        <v>821</v>
      </c>
      <c r="Z37" s="14"/>
      <c r="AA37" s="14"/>
      <c r="AB37" s="14"/>
      <c r="AC37" s="14"/>
      <c r="AD37" s="14"/>
      <c r="AE37" s="14"/>
      <c r="AF37" s="14"/>
      <c r="AG37" s="14"/>
      <c r="AH37" s="14"/>
      <c r="AL37" s="11">
        <f t="shared" si="12"/>
        <v>2526</v>
      </c>
      <c r="AM37" s="11">
        <f t="shared" si="13"/>
        <v>2592</v>
      </c>
      <c r="AN37" s="11">
        <f t="shared" si="14"/>
        <v>2637</v>
      </c>
      <c r="AO37" s="11">
        <f t="shared" si="15"/>
        <v>821</v>
      </c>
    </row>
    <row r="38" spans="2:56" s="11" customFormat="1" x14ac:dyDescent="0.2">
      <c r="B38" s="11" t="s">
        <v>172</v>
      </c>
      <c r="C38" s="14"/>
      <c r="D38" s="14"/>
      <c r="E38" s="14"/>
      <c r="F38" s="14"/>
      <c r="G38" s="14"/>
      <c r="H38" s="14"/>
      <c r="I38" s="14"/>
      <c r="J38" s="14"/>
      <c r="K38" s="14">
        <v>244</v>
      </c>
      <c r="L38" s="14">
        <v>230</v>
      </c>
      <c r="M38" s="14">
        <v>232</v>
      </c>
      <c r="N38" s="14">
        <v>246</v>
      </c>
      <c r="O38" s="14">
        <v>212</v>
      </c>
      <c r="P38" s="14">
        <v>234</v>
      </c>
      <c r="Q38" s="14">
        <v>220</v>
      </c>
      <c r="R38" s="14">
        <v>246</v>
      </c>
      <c r="S38" s="14"/>
      <c r="T38" s="14"/>
      <c r="U38" s="14"/>
      <c r="V38" s="14"/>
      <c r="W38" s="14"/>
      <c r="X38" s="14"/>
      <c r="Y38" s="33"/>
      <c r="Z38" s="14"/>
      <c r="AA38" s="14"/>
      <c r="AB38" s="14"/>
      <c r="AC38" s="14"/>
      <c r="AD38" s="14"/>
      <c r="AE38" s="14"/>
      <c r="AF38" s="14"/>
      <c r="AG38" s="14"/>
      <c r="AH38" s="14"/>
      <c r="AL38" s="11">
        <f t="shared" si="12"/>
        <v>952</v>
      </c>
      <c r="AM38" s="11">
        <f t="shared" si="13"/>
        <v>912</v>
      </c>
    </row>
    <row r="39" spans="2:56" s="11" customFormat="1" x14ac:dyDescent="0.2">
      <c r="B39" s="11" t="s">
        <v>48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>
        <v>849</v>
      </c>
      <c r="W39" s="14">
        <v>770</v>
      </c>
      <c r="X39" s="14">
        <v>840</v>
      </c>
      <c r="Y39" s="33"/>
      <c r="Z39" s="14">
        <v>870</v>
      </c>
      <c r="AA39" s="14">
        <v>816</v>
      </c>
      <c r="AB39" s="14">
        <v>909</v>
      </c>
      <c r="AC39" s="14">
        <v>884</v>
      </c>
      <c r="AD39" s="14">
        <f t="shared" ref="AD39" si="119">+AC39</f>
        <v>884</v>
      </c>
      <c r="AE39" s="14">
        <f t="shared" ref="AE39:AE41" si="120">+AD39</f>
        <v>884</v>
      </c>
      <c r="AF39" s="14">
        <f t="shared" ref="AF39:AF41" si="121">+AE39</f>
        <v>884</v>
      </c>
      <c r="AG39" s="14">
        <f t="shared" ref="AG39:AG41" si="122">+AF39</f>
        <v>884</v>
      </c>
      <c r="AH39" s="14">
        <f t="shared" ref="AH39:AH41" si="123">+AG39</f>
        <v>884</v>
      </c>
      <c r="AN39" s="11">
        <f t="shared" si="14"/>
        <v>849</v>
      </c>
      <c r="AO39" s="11">
        <f t="shared" si="15"/>
        <v>2480</v>
      </c>
      <c r="AP39" s="11">
        <f>SUM(AA39:AD39)</f>
        <v>3493</v>
      </c>
      <c r="AQ39" s="11">
        <f t="shared" ref="AQ39:BD39" si="124">+AP39*1.01</f>
        <v>3527.93</v>
      </c>
      <c r="AR39" s="11">
        <f t="shared" si="124"/>
        <v>3563.2093</v>
      </c>
      <c r="AS39" s="11">
        <f t="shared" si="124"/>
        <v>3598.8413930000002</v>
      </c>
      <c r="AT39" s="11">
        <f t="shared" si="124"/>
        <v>3634.8298069300004</v>
      </c>
      <c r="AU39" s="11">
        <f t="shared" si="124"/>
        <v>3671.1781049993006</v>
      </c>
      <c r="AV39" s="11">
        <f t="shared" si="124"/>
        <v>3707.8898860492936</v>
      </c>
      <c r="AW39" s="11">
        <f t="shared" si="124"/>
        <v>3744.9687849097868</v>
      </c>
      <c r="AX39" s="11">
        <f t="shared" si="124"/>
        <v>3782.4184727588845</v>
      </c>
      <c r="AY39" s="11">
        <f t="shared" si="124"/>
        <v>3820.2426574864735</v>
      </c>
      <c r="AZ39" s="11">
        <f t="shared" si="124"/>
        <v>3858.4450840613381</v>
      </c>
      <c r="BA39" s="11">
        <f t="shared" si="124"/>
        <v>3897.0295349019516</v>
      </c>
      <c r="BB39" s="11">
        <f t="shared" si="124"/>
        <v>3935.9998302509712</v>
      </c>
      <c r="BC39" s="11">
        <f t="shared" si="124"/>
        <v>3975.3598285534808</v>
      </c>
      <c r="BD39" s="11">
        <f t="shared" si="124"/>
        <v>4015.1134268390156</v>
      </c>
    </row>
    <row r="40" spans="2:56" s="11" customFormat="1" x14ac:dyDescent="0.2">
      <c r="B40" s="11" t="s">
        <v>49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>
        <v>1253</v>
      </c>
      <c r="W40" s="14">
        <v>1133</v>
      </c>
      <c r="X40" s="14">
        <v>1119</v>
      </c>
      <c r="Y40" s="33"/>
      <c r="Z40" s="14">
        <v>1147</v>
      </c>
      <c r="AA40" s="14">
        <v>1070</v>
      </c>
      <c r="AB40" s="14">
        <v>1127</v>
      </c>
      <c r="AC40" s="14">
        <v>1063</v>
      </c>
      <c r="AD40" s="14">
        <f t="shared" ref="AD40" si="125">+AC40</f>
        <v>1063</v>
      </c>
      <c r="AE40" s="14">
        <f t="shared" si="120"/>
        <v>1063</v>
      </c>
      <c r="AF40" s="14">
        <f t="shared" si="121"/>
        <v>1063</v>
      </c>
      <c r="AG40" s="14">
        <f t="shared" si="122"/>
        <v>1063</v>
      </c>
      <c r="AH40" s="14">
        <f t="shared" si="123"/>
        <v>1063</v>
      </c>
      <c r="AN40" s="11">
        <f t="shared" si="14"/>
        <v>1253</v>
      </c>
      <c r="AO40" s="11">
        <f t="shared" si="15"/>
        <v>3399</v>
      </c>
      <c r="AP40" s="11">
        <f t="shared" si="16"/>
        <v>4323</v>
      </c>
      <c r="AQ40" s="11">
        <f t="shared" ref="AQ40:BD40" si="126">+AP40*1.01</f>
        <v>4366.2300000000005</v>
      </c>
      <c r="AR40" s="11">
        <f t="shared" si="126"/>
        <v>4409.8923000000004</v>
      </c>
      <c r="AS40" s="11">
        <f t="shared" si="126"/>
        <v>4453.9912230000009</v>
      </c>
      <c r="AT40" s="11">
        <f t="shared" si="126"/>
        <v>4498.5311352300014</v>
      </c>
      <c r="AU40" s="11">
        <f t="shared" si="126"/>
        <v>4543.5164465823018</v>
      </c>
      <c r="AV40" s="11">
        <f t="shared" si="126"/>
        <v>4588.9516110481245</v>
      </c>
      <c r="AW40" s="11">
        <f t="shared" si="126"/>
        <v>4634.8411271586056</v>
      </c>
      <c r="AX40" s="11">
        <f t="shared" si="126"/>
        <v>4681.1895384301915</v>
      </c>
      <c r="AY40" s="11">
        <f t="shared" si="126"/>
        <v>4728.0014338144938</v>
      </c>
      <c r="AZ40" s="11">
        <f t="shared" si="126"/>
        <v>4775.2814481526384</v>
      </c>
      <c r="BA40" s="11">
        <f t="shared" si="126"/>
        <v>4823.0342626341644</v>
      </c>
      <c r="BB40" s="11">
        <f t="shared" si="126"/>
        <v>4871.264605260506</v>
      </c>
      <c r="BC40" s="11">
        <f t="shared" si="126"/>
        <v>4919.9772513131111</v>
      </c>
      <c r="BD40" s="11">
        <f t="shared" si="126"/>
        <v>4969.1770238262425</v>
      </c>
    </row>
    <row r="41" spans="2:56" s="11" customFormat="1" x14ac:dyDescent="0.2">
      <c r="B41" s="11" t="s">
        <v>50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>
        <v>374</v>
      </c>
      <c r="W41" s="14">
        <v>353</v>
      </c>
      <c r="X41" s="14">
        <v>369</v>
      </c>
      <c r="Y41" s="33"/>
      <c r="Z41" s="14">
        <v>396</v>
      </c>
      <c r="AA41" s="14">
        <v>342</v>
      </c>
      <c r="AB41" s="14">
        <v>361</v>
      </c>
      <c r="AC41" s="14">
        <v>337</v>
      </c>
      <c r="AD41" s="14">
        <f t="shared" ref="AD41" si="127">+AC41</f>
        <v>337</v>
      </c>
      <c r="AE41" s="14">
        <f t="shared" si="120"/>
        <v>337</v>
      </c>
      <c r="AF41" s="14">
        <f t="shared" si="121"/>
        <v>337</v>
      </c>
      <c r="AG41" s="14">
        <f t="shared" si="122"/>
        <v>337</v>
      </c>
      <c r="AH41" s="14">
        <f t="shared" si="123"/>
        <v>337</v>
      </c>
      <c r="AN41" s="11">
        <f t="shared" si="14"/>
        <v>374</v>
      </c>
      <c r="AO41" s="11">
        <f t="shared" si="15"/>
        <v>1118</v>
      </c>
      <c r="AP41" s="11">
        <f t="shared" si="16"/>
        <v>1377</v>
      </c>
      <c r="AQ41" s="11">
        <f t="shared" ref="AQ41:BD41" si="128">+AP41*1.01</f>
        <v>1390.77</v>
      </c>
      <c r="AR41" s="11">
        <f t="shared" si="128"/>
        <v>1404.6777</v>
      </c>
      <c r="AS41" s="11">
        <f t="shared" si="128"/>
        <v>1418.724477</v>
      </c>
      <c r="AT41" s="11">
        <f t="shared" si="128"/>
        <v>1432.91172177</v>
      </c>
      <c r="AU41" s="11">
        <f t="shared" si="128"/>
        <v>1447.2408389877</v>
      </c>
      <c r="AV41" s="11">
        <f t="shared" si="128"/>
        <v>1461.7132473775771</v>
      </c>
      <c r="AW41" s="11">
        <f t="shared" si="128"/>
        <v>1476.330379851353</v>
      </c>
      <c r="AX41" s="11">
        <f t="shared" si="128"/>
        <v>1491.0936836498665</v>
      </c>
      <c r="AY41" s="11">
        <f t="shared" si="128"/>
        <v>1506.0046204863652</v>
      </c>
      <c r="AZ41" s="11">
        <f t="shared" si="128"/>
        <v>1521.0646666912289</v>
      </c>
      <c r="BA41" s="11">
        <f t="shared" si="128"/>
        <v>1536.2753133581411</v>
      </c>
      <c r="BB41" s="11">
        <f t="shared" si="128"/>
        <v>1551.6380664917226</v>
      </c>
      <c r="BC41" s="11">
        <f t="shared" si="128"/>
        <v>1567.1544471566399</v>
      </c>
      <c r="BD41" s="11">
        <f t="shared" si="128"/>
        <v>1582.8259916282063</v>
      </c>
    </row>
    <row r="42" spans="2:56" s="11" customFormat="1" x14ac:dyDescent="0.2">
      <c r="B42" s="11" t="s">
        <v>51</v>
      </c>
      <c r="C42" s="14"/>
      <c r="D42" s="14"/>
      <c r="E42" s="14"/>
      <c r="F42" s="14">
        <v>659</v>
      </c>
      <c r="G42" s="14"/>
      <c r="H42" s="14"/>
      <c r="I42" s="14"/>
      <c r="J42" s="14">
        <v>710</v>
      </c>
      <c r="K42" s="14">
        <v>757</v>
      </c>
      <c r="L42" s="14">
        <v>730</v>
      </c>
      <c r="M42" s="14">
        <v>764</v>
      </c>
      <c r="N42" s="14">
        <v>745</v>
      </c>
      <c r="O42" s="14">
        <v>740</v>
      </c>
      <c r="P42" s="14">
        <v>730</v>
      </c>
      <c r="Q42" s="14">
        <v>748</v>
      </c>
      <c r="R42" s="14">
        <v>719</v>
      </c>
      <c r="S42" s="14">
        <v>761</v>
      </c>
      <c r="T42" s="14">
        <v>707</v>
      </c>
      <c r="U42" s="14">
        <v>704</v>
      </c>
      <c r="V42" s="14">
        <v>646</v>
      </c>
      <c r="W42" s="14">
        <v>631</v>
      </c>
      <c r="X42" s="14">
        <v>646</v>
      </c>
      <c r="Y42" s="33">
        <v>683</v>
      </c>
      <c r="Z42" s="14">
        <v>648</v>
      </c>
      <c r="AA42" s="14">
        <v>640</v>
      </c>
      <c r="AB42" s="14">
        <v>685</v>
      </c>
      <c r="AC42" s="14">
        <v>739</v>
      </c>
      <c r="AD42" s="14">
        <f t="shared" ref="AD42" si="129">+Z42*0.95</f>
        <v>615.6</v>
      </c>
      <c r="AE42" s="14">
        <f t="shared" ref="AE42" si="130">+AA42*0.95</f>
        <v>608</v>
      </c>
      <c r="AF42" s="14">
        <f t="shared" ref="AF42" si="131">+AB42*0.95</f>
        <v>650.75</v>
      </c>
      <c r="AG42" s="14">
        <f t="shared" ref="AG42" si="132">+AC42*0.95</f>
        <v>702.05</v>
      </c>
      <c r="AH42" s="14">
        <f t="shared" ref="AH42" si="133">+AD42*0.95</f>
        <v>584.82000000000005</v>
      </c>
      <c r="AL42" s="11">
        <f t="shared" si="12"/>
        <v>2996</v>
      </c>
      <c r="AM42" s="11">
        <f t="shared" si="13"/>
        <v>2937</v>
      </c>
      <c r="AN42" s="11">
        <f t="shared" si="14"/>
        <v>2818</v>
      </c>
      <c r="AO42" s="11">
        <f t="shared" si="15"/>
        <v>2608</v>
      </c>
      <c r="AP42" s="11">
        <f t="shared" si="16"/>
        <v>2679.6</v>
      </c>
      <c r="AQ42" s="11">
        <f t="shared" ref="AQ42:BD42" si="134">+AP42*1.01</f>
        <v>2706.3959999999997</v>
      </c>
      <c r="AR42" s="11">
        <f t="shared" si="134"/>
        <v>2733.4599599999997</v>
      </c>
      <c r="AS42" s="11">
        <f t="shared" si="134"/>
        <v>2760.7945595999995</v>
      </c>
      <c r="AT42" s="11">
        <f t="shared" si="134"/>
        <v>2788.4025051959993</v>
      </c>
      <c r="AU42" s="11">
        <f t="shared" si="134"/>
        <v>2816.2865302479595</v>
      </c>
      <c r="AV42" s="11">
        <f t="shared" si="134"/>
        <v>2844.449395550439</v>
      </c>
      <c r="AW42" s="11">
        <f t="shared" si="134"/>
        <v>2872.8938895059437</v>
      </c>
      <c r="AX42" s="11">
        <f t="shared" si="134"/>
        <v>2901.6228284010031</v>
      </c>
      <c r="AY42" s="11">
        <f t="shared" si="134"/>
        <v>2930.6390566850132</v>
      </c>
      <c r="AZ42" s="11">
        <f t="shared" si="134"/>
        <v>2959.9454472518632</v>
      </c>
      <c r="BA42" s="11">
        <f t="shared" si="134"/>
        <v>2989.5449017243818</v>
      </c>
      <c r="BB42" s="11">
        <f t="shared" si="134"/>
        <v>3019.4403507416255</v>
      </c>
      <c r="BC42" s="11">
        <f t="shared" si="134"/>
        <v>3049.6347542490416</v>
      </c>
      <c r="BD42" s="11">
        <f t="shared" si="134"/>
        <v>3080.1311017915323</v>
      </c>
    </row>
    <row r="43" spans="2:56" s="11" customFormat="1" x14ac:dyDescent="0.2">
      <c r="B43" s="11" t="s">
        <v>52</v>
      </c>
      <c r="C43" s="14"/>
      <c r="D43" s="14"/>
      <c r="E43" s="14"/>
      <c r="F43" s="14">
        <v>629</v>
      </c>
      <c r="G43" s="14"/>
      <c r="H43" s="14"/>
      <c r="I43" s="14"/>
      <c r="J43" s="14">
        <v>540</v>
      </c>
      <c r="K43" s="14">
        <v>482</v>
      </c>
      <c r="L43" s="14">
        <v>504</v>
      </c>
      <c r="M43" s="14">
        <v>493</v>
      </c>
      <c r="N43" s="14">
        <v>506</v>
      </c>
      <c r="O43" s="14">
        <v>513</v>
      </c>
      <c r="P43" s="14">
        <v>529</v>
      </c>
      <c r="Q43" s="14">
        <v>501</v>
      </c>
      <c r="R43" s="14">
        <v>534</v>
      </c>
      <c r="S43" s="14">
        <v>541</v>
      </c>
      <c r="T43" s="14">
        <v>567</v>
      </c>
      <c r="U43" s="14">
        <v>542</v>
      </c>
      <c r="V43" s="14">
        <v>558</v>
      </c>
      <c r="W43" s="14">
        <v>529</v>
      </c>
      <c r="X43" s="14">
        <v>544</v>
      </c>
      <c r="Y43" s="33">
        <v>524</v>
      </c>
      <c r="Z43" s="14">
        <v>439</v>
      </c>
      <c r="AA43" s="14">
        <v>443</v>
      </c>
      <c r="AB43" s="14">
        <v>470</v>
      </c>
      <c r="AC43" s="14">
        <v>451</v>
      </c>
      <c r="AD43" s="14">
        <f t="shared" ref="AD43:AD44" si="135">+Z43*0.9</f>
        <v>395.1</v>
      </c>
      <c r="AE43" s="14">
        <f t="shared" ref="AE43:AE44" si="136">+AA43*0.9</f>
        <v>398.7</v>
      </c>
      <c r="AF43" s="14">
        <f t="shared" ref="AF43:AF44" si="137">+AB43*0.9</f>
        <v>423</v>
      </c>
      <c r="AG43" s="14">
        <f t="shared" ref="AG43:AG44" si="138">+AC43*0.9</f>
        <v>405.90000000000003</v>
      </c>
      <c r="AH43" s="14">
        <f t="shared" ref="AH43:AH44" si="139">+AD43*0.9</f>
        <v>355.59000000000003</v>
      </c>
      <c r="AL43" s="11">
        <f t="shared" si="12"/>
        <v>1985</v>
      </c>
      <c r="AM43" s="11">
        <f t="shared" si="13"/>
        <v>2077</v>
      </c>
      <c r="AN43" s="11">
        <f t="shared" si="14"/>
        <v>2208</v>
      </c>
      <c r="AO43" s="11">
        <f t="shared" si="15"/>
        <v>2036</v>
      </c>
      <c r="AP43" s="11">
        <f t="shared" si="16"/>
        <v>1759.1</v>
      </c>
      <c r="AQ43" s="11">
        <f t="shared" ref="AQ43:BD43" si="140">+AP43*1.01</f>
        <v>1776.691</v>
      </c>
      <c r="AR43" s="11">
        <f t="shared" si="140"/>
        <v>1794.4579100000001</v>
      </c>
      <c r="AS43" s="11">
        <f t="shared" si="140"/>
        <v>1812.4024891000001</v>
      </c>
      <c r="AT43" s="11">
        <f t="shared" si="140"/>
        <v>1830.5265139910002</v>
      </c>
      <c r="AU43" s="11">
        <f t="shared" si="140"/>
        <v>1848.8317791309103</v>
      </c>
      <c r="AV43" s="11">
        <f t="shared" si="140"/>
        <v>1867.3200969222194</v>
      </c>
      <c r="AW43" s="11">
        <f t="shared" si="140"/>
        <v>1885.9932978914417</v>
      </c>
      <c r="AX43" s="11">
        <f t="shared" si="140"/>
        <v>1904.8532308703561</v>
      </c>
      <c r="AY43" s="11">
        <f t="shared" si="140"/>
        <v>1923.9017631790598</v>
      </c>
      <c r="AZ43" s="11">
        <f t="shared" si="140"/>
        <v>1943.1407808108504</v>
      </c>
      <c r="BA43" s="11">
        <f t="shared" si="140"/>
        <v>1962.572188618959</v>
      </c>
      <c r="BB43" s="11">
        <f t="shared" si="140"/>
        <v>1982.1979105051487</v>
      </c>
      <c r="BC43" s="11">
        <f t="shared" si="140"/>
        <v>2002.0198896102002</v>
      </c>
      <c r="BD43" s="11">
        <f t="shared" si="140"/>
        <v>2022.0400885063023</v>
      </c>
    </row>
    <row r="44" spans="2:56" s="11" customFormat="1" x14ac:dyDescent="0.2">
      <c r="B44" s="11" t="s">
        <v>53</v>
      </c>
      <c r="C44" s="14"/>
      <c r="D44" s="14"/>
      <c r="E44" s="14"/>
      <c r="F44" s="14">
        <v>644</v>
      </c>
      <c r="G44" s="14"/>
      <c r="H44" s="14"/>
      <c r="I44" s="14"/>
      <c r="J44" s="14">
        <v>670</v>
      </c>
      <c r="K44" s="14">
        <v>670</v>
      </c>
      <c r="L44" s="14">
        <v>673</v>
      </c>
      <c r="M44" s="14">
        <v>629</v>
      </c>
      <c r="N44" s="14">
        <v>644</v>
      </c>
      <c r="O44" s="14">
        <v>600</v>
      </c>
      <c r="P44" s="14">
        <v>589</v>
      </c>
      <c r="Q44" s="14">
        <v>557</v>
      </c>
      <c r="R44" s="14">
        <v>563</v>
      </c>
      <c r="S44" s="14">
        <v>512</v>
      </c>
      <c r="T44" s="14">
        <v>558</v>
      </c>
      <c r="U44" s="14">
        <v>558</v>
      </c>
      <c r="V44" s="14">
        <v>514</v>
      </c>
      <c r="W44" s="14">
        <v>484</v>
      </c>
      <c r="X44" s="14">
        <v>494</v>
      </c>
      <c r="Y44" s="33">
        <v>470</v>
      </c>
      <c r="Z44" s="14">
        <v>480</v>
      </c>
      <c r="AA44" s="14">
        <v>429</v>
      </c>
      <c r="AB44" s="14">
        <v>471</v>
      </c>
      <c r="AC44" s="14">
        <v>427</v>
      </c>
      <c r="AD44" s="14">
        <f t="shared" si="135"/>
        <v>432</v>
      </c>
      <c r="AE44" s="14">
        <f t="shared" si="136"/>
        <v>386.1</v>
      </c>
      <c r="AF44" s="14">
        <f t="shared" si="137"/>
        <v>423.90000000000003</v>
      </c>
      <c r="AG44" s="14">
        <f t="shared" si="138"/>
        <v>384.3</v>
      </c>
      <c r="AH44" s="14">
        <f t="shared" si="139"/>
        <v>388.8</v>
      </c>
      <c r="AL44" s="11">
        <f t="shared" si="12"/>
        <v>2616</v>
      </c>
      <c r="AM44" s="11">
        <f t="shared" si="13"/>
        <v>2309</v>
      </c>
      <c r="AN44" s="11">
        <f t="shared" si="14"/>
        <v>2142</v>
      </c>
      <c r="AO44" s="11">
        <f t="shared" si="15"/>
        <v>1928</v>
      </c>
      <c r="AP44" s="11">
        <f t="shared" si="16"/>
        <v>1759</v>
      </c>
      <c r="AQ44" s="11">
        <f t="shared" ref="AQ44:BD44" si="141">+AP44*1.01</f>
        <v>1776.59</v>
      </c>
      <c r="AR44" s="11">
        <f t="shared" si="141"/>
        <v>1794.3559</v>
      </c>
      <c r="AS44" s="11">
        <f t="shared" si="141"/>
        <v>1812.2994590000001</v>
      </c>
      <c r="AT44" s="11">
        <f t="shared" si="141"/>
        <v>1830.42245359</v>
      </c>
      <c r="AU44" s="11">
        <f t="shared" si="141"/>
        <v>1848.7266781259</v>
      </c>
      <c r="AV44" s="11">
        <f t="shared" si="141"/>
        <v>1867.213944907159</v>
      </c>
      <c r="AW44" s="11">
        <f t="shared" si="141"/>
        <v>1885.8860843562306</v>
      </c>
      <c r="AX44" s="11">
        <f t="shared" si="141"/>
        <v>1904.7449451997929</v>
      </c>
      <c r="AY44" s="11">
        <f t="shared" si="141"/>
        <v>1923.7923946517908</v>
      </c>
      <c r="AZ44" s="11">
        <f t="shared" si="141"/>
        <v>1943.0303185983087</v>
      </c>
      <c r="BA44" s="11">
        <f t="shared" si="141"/>
        <v>1962.4606217842918</v>
      </c>
      <c r="BB44" s="11">
        <f t="shared" si="141"/>
        <v>1982.0852280021347</v>
      </c>
      <c r="BC44" s="11">
        <f t="shared" si="141"/>
        <v>2001.9060802821562</v>
      </c>
      <c r="BD44" s="11">
        <f t="shared" si="141"/>
        <v>2021.9251410849777</v>
      </c>
    </row>
    <row r="45" spans="2:56" s="11" customFormat="1" x14ac:dyDescent="0.2">
      <c r="B45" s="11" t="s">
        <v>54</v>
      </c>
      <c r="C45" s="14"/>
      <c r="D45" s="14"/>
      <c r="E45" s="14"/>
      <c r="F45" s="14">
        <v>536</v>
      </c>
      <c r="G45" s="14"/>
      <c r="H45" s="14"/>
      <c r="I45" s="14"/>
      <c r="J45" s="14">
        <v>554</v>
      </c>
      <c r="K45" s="14">
        <v>512</v>
      </c>
      <c r="L45" s="33">
        <v>514</v>
      </c>
      <c r="M45" s="14">
        <v>513</v>
      </c>
      <c r="N45" s="14">
        <v>530</v>
      </c>
      <c r="O45" s="14">
        <v>477</v>
      </c>
      <c r="P45" s="14">
        <v>483</v>
      </c>
      <c r="Q45" s="14">
        <v>459</v>
      </c>
      <c r="R45" s="14">
        <v>466</v>
      </c>
      <c r="S45" s="14">
        <v>443</v>
      </c>
      <c r="T45" s="14">
        <v>461</v>
      </c>
      <c r="U45" s="14">
        <v>44</v>
      </c>
      <c r="V45" s="14">
        <v>14</v>
      </c>
      <c r="W45" s="14">
        <v>30</v>
      </c>
      <c r="X45" s="14">
        <v>16</v>
      </c>
      <c r="Y45" s="33">
        <v>16</v>
      </c>
      <c r="Z45" s="14">
        <v>24</v>
      </c>
      <c r="AA45" s="14">
        <v>28</v>
      </c>
      <c r="AB45" s="14">
        <v>31</v>
      </c>
      <c r="AC45" s="14">
        <v>7</v>
      </c>
      <c r="AD45" s="14">
        <f t="shared" ref="AD45" si="142">+AC45</f>
        <v>7</v>
      </c>
      <c r="AE45" s="14">
        <f t="shared" ref="AE45" si="143">+AD45</f>
        <v>7</v>
      </c>
      <c r="AF45" s="14">
        <f t="shared" ref="AF45" si="144">+AE45</f>
        <v>7</v>
      </c>
      <c r="AG45" s="14">
        <f t="shared" ref="AG45" si="145">+AF45</f>
        <v>7</v>
      </c>
      <c r="AH45" s="14">
        <f t="shared" ref="AH45" si="146">+AG45</f>
        <v>7</v>
      </c>
      <c r="AL45" s="11">
        <f t="shared" si="12"/>
        <v>2069</v>
      </c>
      <c r="AM45" s="11">
        <f t="shared" si="13"/>
        <v>1885</v>
      </c>
      <c r="AN45" s="11">
        <f t="shared" si="14"/>
        <v>962</v>
      </c>
      <c r="AO45" s="11">
        <f t="shared" si="15"/>
        <v>86</v>
      </c>
      <c r="AP45" s="11">
        <f t="shared" si="16"/>
        <v>73</v>
      </c>
      <c r="AQ45" s="11">
        <f t="shared" ref="AQ45:BD45" si="147">+AP45*1.01</f>
        <v>73.73</v>
      </c>
      <c r="AR45" s="11">
        <f t="shared" si="147"/>
        <v>74.467300000000009</v>
      </c>
      <c r="AS45" s="11">
        <f t="shared" si="147"/>
        <v>75.211973000000015</v>
      </c>
      <c r="AT45" s="11">
        <f t="shared" si="147"/>
        <v>75.964092730000019</v>
      </c>
      <c r="AU45" s="11">
        <f t="shared" si="147"/>
        <v>76.723733657300016</v>
      </c>
      <c r="AV45" s="11">
        <f t="shared" si="147"/>
        <v>77.49097099387302</v>
      </c>
      <c r="AW45" s="11">
        <f t="shared" si="147"/>
        <v>78.265880703811746</v>
      </c>
      <c r="AX45" s="11">
        <f t="shared" si="147"/>
        <v>79.048539510849864</v>
      </c>
      <c r="AY45" s="11">
        <f t="shared" si="147"/>
        <v>79.839024905958368</v>
      </c>
      <c r="AZ45" s="11">
        <f t="shared" si="147"/>
        <v>80.637415155017948</v>
      </c>
      <c r="BA45" s="11">
        <f t="shared" si="147"/>
        <v>81.443789306568121</v>
      </c>
      <c r="BB45" s="11">
        <f t="shared" si="147"/>
        <v>82.258227199633808</v>
      </c>
      <c r="BC45" s="11">
        <f t="shared" si="147"/>
        <v>83.080809471630147</v>
      </c>
      <c r="BD45" s="11">
        <f t="shared" si="147"/>
        <v>83.91161756634645</v>
      </c>
    </row>
    <row r="46" spans="2:56" s="11" customFormat="1" x14ac:dyDescent="0.2">
      <c r="B46" s="11" t="s">
        <v>23</v>
      </c>
      <c r="C46" s="14"/>
      <c r="D46" s="14"/>
      <c r="E46" s="14"/>
      <c r="F46" s="14">
        <v>1092</v>
      </c>
      <c r="G46" s="14"/>
      <c r="H46" s="14"/>
      <c r="I46" s="14"/>
      <c r="J46" s="14">
        <v>1136</v>
      </c>
      <c r="K46" s="14">
        <v>1104</v>
      </c>
      <c r="L46" s="14">
        <v>883</v>
      </c>
      <c r="M46" s="14">
        <v>916</v>
      </c>
      <c r="N46" s="14">
        <v>1016</v>
      </c>
      <c r="O46" s="14">
        <v>1183</v>
      </c>
      <c r="P46" s="14">
        <v>931</v>
      </c>
      <c r="Q46" s="14">
        <v>975</v>
      </c>
      <c r="R46" s="14">
        <v>1079</v>
      </c>
      <c r="S46" s="14">
        <v>1011</v>
      </c>
      <c r="T46" s="14">
        <v>1003</v>
      </c>
      <c r="U46" s="14">
        <v>1019</v>
      </c>
      <c r="V46" s="14">
        <v>1073</v>
      </c>
      <c r="W46" s="14">
        <v>993</v>
      </c>
      <c r="X46" s="14">
        <v>974</v>
      </c>
      <c r="Y46" s="33">
        <v>963</v>
      </c>
      <c r="Z46" s="14">
        <v>1045</v>
      </c>
      <c r="AA46" s="14">
        <v>1019</v>
      </c>
      <c r="AB46" s="14">
        <v>1008</v>
      </c>
      <c r="AC46" s="14">
        <v>964</v>
      </c>
      <c r="AD46" s="14">
        <f t="shared" ref="AD46" si="148">+Z46*1.05</f>
        <v>1097.25</v>
      </c>
      <c r="AE46" s="14">
        <f t="shared" ref="AE46" si="149">+AA46*1.05</f>
        <v>1069.95</v>
      </c>
      <c r="AF46" s="14">
        <f t="shared" ref="AF46" si="150">+AB46*1.05</f>
        <v>1058.4000000000001</v>
      </c>
      <c r="AG46" s="14">
        <f t="shared" ref="AG46" si="151">+AC46*1.05</f>
        <v>1012.2</v>
      </c>
      <c r="AH46" s="14">
        <f t="shared" ref="AH46" si="152">+AD46*1.05</f>
        <v>1152.1125</v>
      </c>
      <c r="AL46" s="11">
        <f t="shared" si="12"/>
        <v>3919</v>
      </c>
      <c r="AM46" s="11">
        <f t="shared" si="13"/>
        <v>4168</v>
      </c>
      <c r="AN46" s="11">
        <f t="shared" si="14"/>
        <v>4106</v>
      </c>
      <c r="AO46" s="11">
        <f t="shared" si="15"/>
        <v>3975</v>
      </c>
      <c r="AP46" s="11">
        <f t="shared" si="16"/>
        <v>4088.25</v>
      </c>
      <c r="AQ46" s="11">
        <f t="shared" ref="AQ46:BD46" si="153">+AP46*1.01</f>
        <v>4129.1324999999997</v>
      </c>
      <c r="AR46" s="11">
        <f t="shared" si="153"/>
        <v>4170.4238249999999</v>
      </c>
      <c r="AS46" s="11">
        <f t="shared" si="153"/>
        <v>4212.1280632500002</v>
      </c>
      <c r="AT46" s="11">
        <f t="shared" si="153"/>
        <v>4254.2493438825004</v>
      </c>
      <c r="AU46" s="11">
        <f t="shared" si="153"/>
        <v>4296.7918373213251</v>
      </c>
      <c r="AV46" s="11">
        <f t="shared" si="153"/>
        <v>4339.7597556945384</v>
      </c>
      <c r="AW46" s="11">
        <f t="shared" si="153"/>
        <v>4383.157353251484</v>
      </c>
      <c r="AX46" s="11">
        <f t="shared" si="153"/>
        <v>4426.988926783999</v>
      </c>
      <c r="AY46" s="11">
        <f t="shared" si="153"/>
        <v>4471.2588160518389</v>
      </c>
      <c r="AZ46" s="11">
        <f t="shared" si="153"/>
        <v>4515.9714042123578</v>
      </c>
      <c r="BA46" s="11">
        <f t="shared" si="153"/>
        <v>4561.1311182544814</v>
      </c>
      <c r="BB46" s="11">
        <f t="shared" si="153"/>
        <v>4606.7424294370267</v>
      </c>
      <c r="BC46" s="11">
        <f t="shared" si="153"/>
        <v>4652.8098537313972</v>
      </c>
      <c r="BD46" s="11">
        <f t="shared" si="153"/>
        <v>4699.337952268711</v>
      </c>
    </row>
    <row r="47" spans="2:56" s="11" customFormat="1" x14ac:dyDescent="0.2">
      <c r="B47" s="11" t="s">
        <v>24</v>
      </c>
      <c r="C47" s="14"/>
      <c r="D47" s="14"/>
      <c r="E47" s="14"/>
      <c r="F47" s="14">
        <v>889</v>
      </c>
      <c r="G47" s="14"/>
      <c r="H47" s="14"/>
      <c r="I47" s="14"/>
      <c r="J47" s="14">
        <v>944</v>
      </c>
      <c r="K47" s="14">
        <v>907</v>
      </c>
      <c r="L47" s="14">
        <v>913</v>
      </c>
      <c r="M47" s="14">
        <v>904</v>
      </c>
      <c r="N47" s="14">
        <v>894</v>
      </c>
      <c r="O47" s="14">
        <v>902</v>
      </c>
      <c r="P47" s="14">
        <v>908</v>
      </c>
      <c r="Q47" s="14">
        <v>924</v>
      </c>
      <c r="R47" s="14">
        <v>970</v>
      </c>
      <c r="S47" s="14">
        <v>914</v>
      </c>
      <c r="T47" s="14">
        <v>968</v>
      </c>
      <c r="U47" s="14">
        <v>920</v>
      </c>
      <c r="V47" s="14">
        <v>956</v>
      </c>
      <c r="W47" s="14">
        <v>903</v>
      </c>
      <c r="X47" s="14">
        <v>894</v>
      </c>
      <c r="Y47" s="33">
        <v>863</v>
      </c>
      <c r="Z47" s="14">
        <v>871</v>
      </c>
      <c r="AA47" s="14">
        <v>862</v>
      </c>
      <c r="AB47" s="14">
        <v>953</v>
      </c>
      <c r="AC47" s="14">
        <v>955</v>
      </c>
      <c r="AD47" s="14">
        <f t="shared" ref="AD47" si="154">+Z47*0.95</f>
        <v>827.44999999999993</v>
      </c>
      <c r="AE47" s="14">
        <f t="shared" ref="AE47" si="155">+AA47*0.95</f>
        <v>818.9</v>
      </c>
      <c r="AF47" s="14">
        <f t="shared" ref="AF47" si="156">+AB47*0.95</f>
        <v>905.34999999999991</v>
      </c>
      <c r="AG47" s="14">
        <f t="shared" ref="AG47" si="157">+AC47*0.95</f>
        <v>907.25</v>
      </c>
      <c r="AH47" s="14">
        <f t="shared" ref="AH47" si="158">+AD47*0.95</f>
        <v>786.07749999999987</v>
      </c>
      <c r="AI47" s="14"/>
      <c r="AL47" s="11">
        <f t="shared" si="12"/>
        <v>3618</v>
      </c>
      <c r="AM47" s="11">
        <f t="shared" si="13"/>
        <v>3704</v>
      </c>
      <c r="AN47" s="11">
        <f t="shared" si="14"/>
        <v>3758</v>
      </c>
      <c r="AO47" s="11">
        <f t="shared" si="15"/>
        <v>3531</v>
      </c>
      <c r="AP47" s="11">
        <f t="shared" si="16"/>
        <v>3597.45</v>
      </c>
      <c r="AQ47" s="11">
        <f t="shared" ref="AQ47:BD47" si="159">+AP47*1.01</f>
        <v>3633.4244999999996</v>
      </c>
      <c r="AR47" s="11">
        <f t="shared" si="159"/>
        <v>3669.7587449999996</v>
      </c>
      <c r="AS47" s="11">
        <f t="shared" si="159"/>
        <v>3706.4563324499995</v>
      </c>
      <c r="AT47" s="11">
        <f t="shared" si="159"/>
        <v>3743.5208957744994</v>
      </c>
      <c r="AU47" s="11">
        <f t="shared" si="159"/>
        <v>3780.9561047322445</v>
      </c>
      <c r="AV47" s="11">
        <f t="shared" si="159"/>
        <v>3818.7656657795669</v>
      </c>
      <c r="AW47" s="11">
        <f t="shared" si="159"/>
        <v>3856.9533224373627</v>
      </c>
      <c r="AX47" s="11">
        <f t="shared" si="159"/>
        <v>3895.5228556617362</v>
      </c>
      <c r="AY47" s="11">
        <f t="shared" si="159"/>
        <v>3934.4780842183536</v>
      </c>
      <c r="AZ47" s="11">
        <f t="shared" si="159"/>
        <v>3973.822865060537</v>
      </c>
      <c r="BA47" s="11">
        <f t="shared" si="159"/>
        <v>4013.5610937111423</v>
      </c>
      <c r="BB47" s="11">
        <f t="shared" si="159"/>
        <v>4053.6967046482537</v>
      </c>
      <c r="BC47" s="11">
        <f t="shared" si="159"/>
        <v>4094.2336716947361</v>
      </c>
      <c r="BD47" s="11">
        <f t="shared" si="159"/>
        <v>4135.1760084116831</v>
      </c>
    </row>
    <row r="48" spans="2:56" s="11" customFormat="1" x14ac:dyDescent="0.2">
      <c r="B48" s="11" t="s">
        <v>25</v>
      </c>
      <c r="C48" s="14"/>
      <c r="D48" s="14"/>
      <c r="E48" s="14"/>
      <c r="F48" s="14">
        <v>577</v>
      </c>
      <c r="G48" s="14"/>
      <c r="H48" s="14"/>
      <c r="I48" s="14"/>
      <c r="J48" s="14">
        <v>568</v>
      </c>
      <c r="K48" s="14">
        <v>540</v>
      </c>
      <c r="L48" s="14">
        <v>578</v>
      </c>
      <c r="M48" s="14">
        <v>564</v>
      </c>
      <c r="N48" s="14">
        <v>572</v>
      </c>
      <c r="O48" s="14">
        <v>564</v>
      </c>
      <c r="P48" s="14">
        <v>586</v>
      </c>
      <c r="Q48" s="14">
        <v>560</v>
      </c>
      <c r="R48" s="14">
        <v>585</v>
      </c>
      <c r="S48" s="14">
        <v>545</v>
      </c>
      <c r="T48" s="14">
        <v>607</v>
      </c>
      <c r="U48" s="14">
        <v>563</v>
      </c>
      <c r="V48" s="14">
        <v>524</v>
      </c>
      <c r="W48" s="14">
        <v>511</v>
      </c>
      <c r="X48" s="14">
        <v>543</v>
      </c>
      <c r="Y48" s="33">
        <v>506</v>
      </c>
      <c r="Z48" s="14">
        <v>484</v>
      </c>
      <c r="AA48" s="14">
        <v>451</v>
      </c>
      <c r="AB48" s="14">
        <v>500</v>
      </c>
      <c r="AC48" s="14">
        <v>466</v>
      </c>
      <c r="AD48" s="14">
        <f t="shared" ref="AD48:AD51" si="160">+Z48*0.9</f>
        <v>435.6</v>
      </c>
      <c r="AE48" s="14">
        <f t="shared" ref="AE48:AE51" si="161">+AA48*0.9</f>
        <v>405.90000000000003</v>
      </c>
      <c r="AF48" s="14">
        <f t="shared" ref="AF48:AF51" si="162">+AB48*0.9</f>
        <v>450</v>
      </c>
      <c r="AG48" s="14">
        <f t="shared" ref="AG48:AG51" si="163">+AC48*0.9</f>
        <v>419.40000000000003</v>
      </c>
      <c r="AH48" s="14">
        <f t="shared" ref="AH48:AH51" si="164">+AD48*0.9</f>
        <v>392.04</v>
      </c>
      <c r="AL48" s="11">
        <f t="shared" si="12"/>
        <v>2254</v>
      </c>
      <c r="AM48" s="11">
        <f t="shared" si="13"/>
        <v>2295</v>
      </c>
      <c r="AN48" s="11">
        <f t="shared" si="14"/>
        <v>2239</v>
      </c>
      <c r="AO48" s="11">
        <f t="shared" si="15"/>
        <v>2044</v>
      </c>
      <c r="AP48" s="11">
        <f t="shared" si="16"/>
        <v>1852.6</v>
      </c>
      <c r="AQ48" s="11">
        <f t="shared" ref="AQ48:BD48" si="165">+AP48*1.01</f>
        <v>1871.126</v>
      </c>
      <c r="AR48" s="11">
        <f t="shared" si="165"/>
        <v>1889.83726</v>
      </c>
      <c r="AS48" s="11">
        <f t="shared" si="165"/>
        <v>1908.7356326000001</v>
      </c>
      <c r="AT48" s="11">
        <f t="shared" si="165"/>
        <v>1927.8229889260001</v>
      </c>
      <c r="AU48" s="11">
        <f t="shared" si="165"/>
        <v>1947.1012188152602</v>
      </c>
      <c r="AV48" s="11">
        <f t="shared" si="165"/>
        <v>1966.5722310034128</v>
      </c>
      <c r="AW48" s="11">
        <f t="shared" si="165"/>
        <v>1986.237953313447</v>
      </c>
      <c r="AX48" s="11">
        <f t="shared" si="165"/>
        <v>2006.1003328465815</v>
      </c>
      <c r="AY48" s="11">
        <f t="shared" si="165"/>
        <v>2026.1613361750474</v>
      </c>
      <c r="AZ48" s="11">
        <f t="shared" si="165"/>
        <v>2046.4229495367979</v>
      </c>
      <c r="BA48" s="11">
        <f t="shared" si="165"/>
        <v>2066.8871790321659</v>
      </c>
      <c r="BB48" s="11">
        <f t="shared" si="165"/>
        <v>2087.5560508224876</v>
      </c>
      <c r="BC48" s="11">
        <f t="shared" si="165"/>
        <v>2108.4316113307123</v>
      </c>
      <c r="BD48" s="11">
        <f t="shared" si="165"/>
        <v>2129.5159274440193</v>
      </c>
    </row>
    <row r="49" spans="2:119" s="11" customFormat="1" x14ac:dyDescent="0.2">
      <c r="B49" s="11" t="s">
        <v>26</v>
      </c>
      <c r="C49" s="14"/>
      <c r="D49" s="14"/>
      <c r="E49" s="14"/>
      <c r="F49" s="14">
        <v>389</v>
      </c>
      <c r="G49" s="14"/>
      <c r="H49" s="14"/>
      <c r="I49" s="14"/>
      <c r="J49" s="14">
        <v>412</v>
      </c>
      <c r="K49" s="14">
        <v>387</v>
      </c>
      <c r="L49" s="14">
        <v>408</v>
      </c>
      <c r="M49" s="14">
        <v>413</v>
      </c>
      <c r="N49" s="14">
        <v>416</v>
      </c>
      <c r="O49" s="14">
        <v>403</v>
      </c>
      <c r="P49" s="14">
        <v>406</v>
      </c>
      <c r="Q49" s="14">
        <v>395</v>
      </c>
      <c r="R49" s="14">
        <v>418</v>
      </c>
      <c r="S49" s="14">
        <v>411</v>
      </c>
      <c r="T49" s="14">
        <v>413</v>
      </c>
      <c r="U49" s="14">
        <v>409</v>
      </c>
      <c r="V49" s="14">
        <v>414</v>
      </c>
      <c r="W49" s="14">
        <v>403</v>
      </c>
      <c r="X49" s="14">
        <v>391</v>
      </c>
      <c r="Y49" s="33">
        <v>378</v>
      </c>
      <c r="Z49" s="14">
        <v>408</v>
      </c>
      <c r="AA49" s="14">
        <v>385</v>
      </c>
      <c r="AB49" s="14">
        <v>403</v>
      </c>
      <c r="AC49" s="14">
        <v>383</v>
      </c>
      <c r="AD49" s="14">
        <f t="shared" si="160"/>
        <v>367.2</v>
      </c>
      <c r="AE49" s="14">
        <f t="shared" si="161"/>
        <v>346.5</v>
      </c>
      <c r="AF49" s="14">
        <f t="shared" si="162"/>
        <v>362.7</v>
      </c>
      <c r="AG49" s="14">
        <f t="shared" si="163"/>
        <v>344.7</v>
      </c>
      <c r="AH49" s="14">
        <f t="shared" si="164"/>
        <v>330.48</v>
      </c>
      <c r="AL49" s="11">
        <f t="shared" si="12"/>
        <v>1624</v>
      </c>
      <c r="AM49" s="11">
        <f t="shared" si="13"/>
        <v>1622</v>
      </c>
      <c r="AN49" s="11">
        <f t="shared" si="14"/>
        <v>1647</v>
      </c>
      <c r="AO49" s="11">
        <f t="shared" si="15"/>
        <v>1580</v>
      </c>
      <c r="AP49" s="11">
        <f t="shared" si="16"/>
        <v>1538.2</v>
      </c>
      <c r="AQ49" s="11">
        <f t="shared" ref="AQ49:BD49" si="166">+AP49*1.01</f>
        <v>1553.5820000000001</v>
      </c>
      <c r="AR49" s="11">
        <f t="shared" si="166"/>
        <v>1569.1178200000002</v>
      </c>
      <c r="AS49" s="11">
        <f t="shared" si="166"/>
        <v>1584.8089982000001</v>
      </c>
      <c r="AT49" s="11">
        <f t="shared" si="166"/>
        <v>1600.6570881820001</v>
      </c>
      <c r="AU49" s="11">
        <f t="shared" si="166"/>
        <v>1616.66365906382</v>
      </c>
      <c r="AV49" s="11">
        <f t="shared" si="166"/>
        <v>1632.8302956544583</v>
      </c>
      <c r="AW49" s="11">
        <f t="shared" si="166"/>
        <v>1649.1585986110028</v>
      </c>
      <c r="AX49" s="11">
        <f t="shared" si="166"/>
        <v>1665.6501845971129</v>
      </c>
      <c r="AY49" s="11">
        <f t="shared" si="166"/>
        <v>1682.3066864430841</v>
      </c>
      <c r="AZ49" s="11">
        <f t="shared" si="166"/>
        <v>1699.1297533075149</v>
      </c>
      <c r="BA49" s="11">
        <f t="shared" si="166"/>
        <v>1716.12105084059</v>
      </c>
      <c r="BB49" s="11">
        <f t="shared" si="166"/>
        <v>1733.2822613489959</v>
      </c>
      <c r="BC49" s="11">
        <f t="shared" si="166"/>
        <v>1750.6150839624859</v>
      </c>
      <c r="BD49" s="11">
        <f t="shared" si="166"/>
        <v>1768.1212348021108</v>
      </c>
    </row>
    <row r="50" spans="2:119" s="11" customFormat="1" x14ac:dyDescent="0.2">
      <c r="B50" s="11" t="s">
        <v>27</v>
      </c>
      <c r="C50" s="14"/>
      <c r="D50" s="14"/>
      <c r="E50" s="14"/>
      <c r="F50" s="14">
        <v>450</v>
      </c>
      <c r="G50" s="14"/>
      <c r="H50" s="14"/>
      <c r="I50" s="14"/>
      <c r="J50" s="14">
        <v>398</v>
      </c>
      <c r="K50" s="14">
        <v>409</v>
      </c>
      <c r="L50" s="14">
        <v>402</v>
      </c>
      <c r="M50" s="14">
        <v>407</v>
      </c>
      <c r="N50" s="14">
        <v>407</v>
      </c>
      <c r="O50" s="14">
        <v>401</v>
      </c>
      <c r="P50" s="14">
        <v>411</v>
      </c>
      <c r="Q50" s="14">
        <v>408</v>
      </c>
      <c r="R50" s="14">
        <v>348</v>
      </c>
      <c r="S50" s="14">
        <v>327</v>
      </c>
      <c r="T50" s="14">
        <v>342</v>
      </c>
      <c r="U50" s="14">
        <v>325</v>
      </c>
      <c r="V50" s="14">
        <v>308</v>
      </c>
      <c r="W50" s="14">
        <v>287</v>
      </c>
      <c r="X50" s="14">
        <v>320</v>
      </c>
      <c r="Y50" s="33">
        <v>310</v>
      </c>
      <c r="Z50" s="14">
        <v>283</v>
      </c>
      <c r="AA50" s="14">
        <v>251</v>
      </c>
      <c r="AB50" s="14">
        <v>283</v>
      </c>
      <c r="AC50" s="14">
        <v>269</v>
      </c>
      <c r="AD50" s="14">
        <f t="shared" si="160"/>
        <v>254.70000000000002</v>
      </c>
      <c r="AE50" s="14">
        <f t="shared" si="161"/>
        <v>225.9</v>
      </c>
      <c r="AF50" s="14">
        <f t="shared" si="162"/>
        <v>254.70000000000002</v>
      </c>
      <c r="AG50" s="14">
        <f t="shared" si="163"/>
        <v>242.1</v>
      </c>
      <c r="AH50" s="14">
        <f t="shared" si="164"/>
        <v>229.23000000000002</v>
      </c>
      <c r="AL50" s="11">
        <f t="shared" si="12"/>
        <v>1625</v>
      </c>
      <c r="AM50" s="11">
        <f t="shared" si="13"/>
        <v>1568</v>
      </c>
      <c r="AN50" s="11">
        <f t="shared" si="14"/>
        <v>1302</v>
      </c>
      <c r="AO50" s="11">
        <f t="shared" si="15"/>
        <v>1200</v>
      </c>
      <c r="AP50" s="11">
        <f t="shared" si="16"/>
        <v>1057.7</v>
      </c>
      <c r="AQ50" s="11">
        <f t="shared" ref="AQ50:BD50" si="167">+AP50*1.01</f>
        <v>1068.277</v>
      </c>
      <c r="AR50" s="11">
        <f t="shared" si="167"/>
        <v>1078.9597700000002</v>
      </c>
      <c r="AS50" s="11">
        <f t="shared" si="167"/>
        <v>1089.7493677000002</v>
      </c>
      <c r="AT50" s="11">
        <f t="shared" si="167"/>
        <v>1100.6468613770003</v>
      </c>
      <c r="AU50" s="11">
        <f t="shared" si="167"/>
        <v>1111.6533299907703</v>
      </c>
      <c r="AV50" s="11">
        <f t="shared" si="167"/>
        <v>1122.7698632906781</v>
      </c>
      <c r="AW50" s="11">
        <f t="shared" si="167"/>
        <v>1133.997561923585</v>
      </c>
      <c r="AX50" s="11">
        <f t="shared" si="167"/>
        <v>1145.3375375428209</v>
      </c>
      <c r="AY50" s="11">
        <f t="shared" si="167"/>
        <v>1156.7909129182492</v>
      </c>
      <c r="AZ50" s="11">
        <f t="shared" si="167"/>
        <v>1168.3588220474317</v>
      </c>
      <c r="BA50" s="11">
        <f t="shared" si="167"/>
        <v>1180.042410267906</v>
      </c>
      <c r="BB50" s="11">
        <f t="shared" si="167"/>
        <v>1191.842834370585</v>
      </c>
      <c r="BC50" s="11">
        <f t="shared" si="167"/>
        <v>1203.761262714291</v>
      </c>
      <c r="BD50" s="11">
        <f t="shared" si="167"/>
        <v>1215.7988753414338</v>
      </c>
    </row>
    <row r="51" spans="2:119" s="11" customFormat="1" x14ac:dyDescent="0.2">
      <c r="B51" s="11" t="s">
        <v>28</v>
      </c>
      <c r="C51" s="14"/>
      <c r="D51" s="14"/>
      <c r="E51" s="14"/>
      <c r="F51" s="14">
        <v>213</v>
      </c>
      <c r="G51" s="14"/>
      <c r="H51" s="14"/>
      <c r="I51" s="14"/>
      <c r="J51" s="14">
        <v>210</v>
      </c>
      <c r="K51" s="14">
        <v>248</v>
      </c>
      <c r="L51" s="14">
        <v>435</v>
      </c>
      <c r="M51" s="14">
        <v>377</v>
      </c>
      <c r="N51" s="14">
        <v>347</v>
      </c>
      <c r="O51" s="14">
        <v>222</v>
      </c>
      <c r="P51" s="14">
        <v>416</v>
      </c>
      <c r="Q51" s="14">
        <v>349</v>
      </c>
      <c r="R51" s="14">
        <v>353</v>
      </c>
      <c r="S51" s="14">
        <v>349</v>
      </c>
      <c r="T51" s="14">
        <v>411</v>
      </c>
      <c r="U51" s="14">
        <v>353</v>
      </c>
      <c r="V51" s="14">
        <v>331</v>
      </c>
      <c r="W51" s="14">
        <v>293</v>
      </c>
      <c r="X51" s="14">
        <v>361</v>
      </c>
      <c r="Y51" s="33">
        <v>294</v>
      </c>
      <c r="Z51" s="14">
        <v>229</v>
      </c>
      <c r="AA51" s="14">
        <v>227</v>
      </c>
      <c r="AB51" s="14">
        <v>272</v>
      </c>
      <c r="AC51" s="14">
        <v>224</v>
      </c>
      <c r="AD51" s="14">
        <f t="shared" si="160"/>
        <v>206.1</v>
      </c>
      <c r="AE51" s="14">
        <f t="shared" si="161"/>
        <v>204.3</v>
      </c>
      <c r="AF51" s="14">
        <f t="shared" si="162"/>
        <v>244.8</v>
      </c>
      <c r="AG51" s="14">
        <f t="shared" si="163"/>
        <v>201.6</v>
      </c>
      <c r="AH51" s="14">
        <f t="shared" si="164"/>
        <v>185.49</v>
      </c>
      <c r="AL51" s="11">
        <f t="shared" si="12"/>
        <v>1407</v>
      </c>
      <c r="AM51" s="11">
        <f t="shared" si="13"/>
        <v>1340</v>
      </c>
      <c r="AN51" s="11">
        <f t="shared" si="14"/>
        <v>1444</v>
      </c>
      <c r="AO51" s="11">
        <f t="shared" si="15"/>
        <v>1177</v>
      </c>
      <c r="AP51" s="11">
        <f t="shared" si="16"/>
        <v>929.1</v>
      </c>
      <c r="AQ51" s="11">
        <f t="shared" ref="AQ51:BD51" si="168">+AP51*1.01</f>
        <v>938.39100000000008</v>
      </c>
      <c r="AR51" s="11">
        <f t="shared" si="168"/>
        <v>947.77491000000009</v>
      </c>
      <c r="AS51" s="11">
        <f t="shared" si="168"/>
        <v>957.25265910000007</v>
      </c>
      <c r="AT51" s="11">
        <f t="shared" si="168"/>
        <v>966.82518569100012</v>
      </c>
      <c r="AU51" s="11">
        <f t="shared" si="168"/>
        <v>976.49343754791016</v>
      </c>
      <c r="AV51" s="11">
        <f t="shared" si="168"/>
        <v>986.25837192338929</v>
      </c>
      <c r="AW51" s="11">
        <f t="shared" si="168"/>
        <v>996.12095564262324</v>
      </c>
      <c r="AX51" s="11">
        <f t="shared" si="168"/>
        <v>1006.0821651990495</v>
      </c>
      <c r="AY51" s="11">
        <f t="shared" si="168"/>
        <v>1016.1429868510401</v>
      </c>
      <c r="AZ51" s="11">
        <f t="shared" si="168"/>
        <v>1026.3044167195505</v>
      </c>
      <c r="BA51" s="11">
        <f t="shared" si="168"/>
        <v>1036.5674608867459</v>
      </c>
      <c r="BB51" s="11">
        <f t="shared" si="168"/>
        <v>1046.9331354956134</v>
      </c>
      <c r="BC51" s="11">
        <f t="shared" si="168"/>
        <v>1057.4024668505697</v>
      </c>
      <c r="BD51" s="11">
        <f t="shared" si="168"/>
        <v>1067.9764915190754</v>
      </c>
    </row>
    <row r="52" spans="2:119" s="15" customFormat="1" x14ac:dyDescent="0.2">
      <c r="B52" s="15" t="s">
        <v>56</v>
      </c>
      <c r="C52" s="16"/>
      <c r="D52" s="16"/>
      <c r="E52" s="16"/>
      <c r="F52" s="16">
        <f t="shared" ref="F52:K52" si="169">SUM(F3:F51)</f>
        <v>15644</v>
      </c>
      <c r="G52" s="16">
        <f t="shared" si="169"/>
        <v>0</v>
      </c>
      <c r="H52" s="16">
        <f t="shared" si="169"/>
        <v>0</v>
      </c>
      <c r="I52" s="16">
        <f t="shared" si="169"/>
        <v>0</v>
      </c>
      <c r="J52" s="16">
        <f t="shared" si="169"/>
        <v>16255</v>
      </c>
      <c r="K52" s="16">
        <f t="shared" ref="K52:Q52" si="170">SUM(K3:K51)</f>
        <v>16139</v>
      </c>
      <c r="L52" s="16">
        <f t="shared" si="170"/>
        <v>16475</v>
      </c>
      <c r="M52" s="16">
        <f t="shared" si="170"/>
        <v>17052</v>
      </c>
      <c r="N52" s="16">
        <f t="shared" si="170"/>
        <v>17558</v>
      </c>
      <c r="O52" s="16">
        <f t="shared" si="170"/>
        <v>17505</v>
      </c>
      <c r="P52" s="16">
        <f t="shared" si="170"/>
        <v>17877</v>
      </c>
      <c r="Q52" s="16">
        <f t="shared" si="170"/>
        <v>17575</v>
      </c>
      <c r="R52" s="16">
        <f>SUM(R3:R51)</f>
        <v>18355</v>
      </c>
      <c r="S52" s="16">
        <f t="shared" ref="S52:AD52" si="171">SUM(S3:S51)</f>
        <v>18115</v>
      </c>
      <c r="T52" s="16">
        <f t="shared" si="171"/>
        <v>19495</v>
      </c>
      <c r="U52" s="16">
        <f t="shared" si="171"/>
        <v>18467</v>
      </c>
      <c r="V52" s="16">
        <f t="shared" si="171"/>
        <v>18254</v>
      </c>
      <c r="W52" s="16">
        <f t="shared" si="171"/>
        <v>17374</v>
      </c>
      <c r="X52" s="16">
        <f t="shared" si="171"/>
        <v>17787</v>
      </c>
      <c r="Y52" s="16">
        <f t="shared" si="171"/>
        <v>17102</v>
      </c>
      <c r="Z52" s="16">
        <f t="shared" si="171"/>
        <v>17811</v>
      </c>
      <c r="AA52" s="16">
        <f t="shared" si="171"/>
        <v>17482</v>
      </c>
      <c r="AB52" s="16">
        <f t="shared" si="171"/>
        <v>18482</v>
      </c>
      <c r="AC52" s="16">
        <f t="shared" si="171"/>
        <v>17820</v>
      </c>
      <c r="AD52" s="16">
        <f t="shared" si="171"/>
        <v>17566.18</v>
      </c>
      <c r="AE52" s="16">
        <f t="shared" ref="AE52:AH52" si="172">SUM(AE3:AE51)</f>
        <v>17568.926200000005</v>
      </c>
      <c r="AF52" s="16">
        <f t="shared" si="172"/>
        <v>17948.917337999999</v>
      </c>
      <c r="AG52" s="16">
        <f t="shared" si="172"/>
        <v>17867.602164619999</v>
      </c>
      <c r="AH52" s="16">
        <f t="shared" si="172"/>
        <v>17635.557442973801</v>
      </c>
      <c r="AL52" s="16">
        <f t="shared" ref="AL52:BD52" si="173">SUM(AL3:AL51)</f>
        <v>67224</v>
      </c>
      <c r="AM52" s="16">
        <f t="shared" si="173"/>
        <v>71312</v>
      </c>
      <c r="AN52" s="16">
        <f t="shared" si="173"/>
        <v>74331</v>
      </c>
      <c r="AO52" s="16">
        <f t="shared" si="173"/>
        <v>70074</v>
      </c>
      <c r="AP52" s="16">
        <f t="shared" si="173"/>
        <v>71350.180000000008</v>
      </c>
      <c r="AQ52" s="16">
        <f t="shared" si="173"/>
        <v>72744.170999999988</v>
      </c>
      <c r="AR52" s="16">
        <f t="shared" si="173"/>
        <v>72323.671950000018</v>
      </c>
      <c r="AS52" s="16">
        <f t="shared" si="173"/>
        <v>72556.203752500005</v>
      </c>
      <c r="AT52" s="16">
        <f t="shared" si="173"/>
        <v>73579.57006087499</v>
      </c>
      <c r="AU52" s="16">
        <f t="shared" si="173"/>
        <v>74911.094895091286</v>
      </c>
      <c r="AV52" s="16">
        <f t="shared" si="173"/>
        <v>75907.68295770431</v>
      </c>
      <c r="AW52" s="16">
        <f t="shared" si="173"/>
        <v>76265.892986049323</v>
      </c>
      <c r="AX52" s="16">
        <f t="shared" si="173"/>
        <v>76649.842895177775</v>
      </c>
      <c r="AY52" s="16">
        <f t="shared" si="173"/>
        <v>73781.641535253366</v>
      </c>
      <c r="AZ52" s="16">
        <f t="shared" si="173"/>
        <v>71066.955856270142</v>
      </c>
      <c r="BA52" s="16">
        <f t="shared" si="173"/>
        <v>68541.446542539357</v>
      </c>
      <c r="BB52" s="16">
        <f t="shared" si="173"/>
        <v>66000.526768030657</v>
      </c>
      <c r="BC52" s="16">
        <f t="shared" si="173"/>
        <v>64899.850548262955</v>
      </c>
      <c r="BD52" s="16">
        <f t="shared" si="173"/>
        <v>59349.18717728847</v>
      </c>
    </row>
    <row r="53" spans="2:119" s="11" customFormat="1" x14ac:dyDescent="0.2">
      <c r="B53" s="11" t="s">
        <v>67</v>
      </c>
      <c r="C53" s="14"/>
      <c r="D53" s="14"/>
      <c r="E53" s="14"/>
      <c r="F53" s="14"/>
      <c r="G53" s="14"/>
      <c r="H53" s="14"/>
      <c r="I53" s="14"/>
      <c r="J53" s="14"/>
      <c r="K53" s="14">
        <v>4915</v>
      </c>
      <c r="L53" s="14">
        <v>5143</v>
      </c>
      <c r="M53" s="14">
        <v>5597</v>
      </c>
      <c r="N53" s="14">
        <v>6003</v>
      </c>
      <c r="O53" s="14">
        <v>5554</v>
      </c>
      <c r="P53" s="14">
        <v>5489</v>
      </c>
      <c r="Q53" s="14">
        <v>5344</v>
      </c>
      <c r="R53" s="14">
        <v>5955</v>
      </c>
      <c r="S53" s="14">
        <v>5455</v>
      </c>
      <c r="T53" s="14">
        <v>6039</v>
      </c>
      <c r="U53" s="14">
        <f>5399-417</f>
        <v>4982</v>
      </c>
      <c r="V53" s="14">
        <f>5853-371</f>
        <v>5482</v>
      </c>
      <c r="W53" s="14">
        <v>5282</v>
      </c>
      <c r="X53" s="14">
        <v>5357</v>
      </c>
      <c r="Y53" s="14">
        <f>5224-639</f>
        <v>4585</v>
      </c>
      <c r="Z53" s="14">
        <f>5673-301</f>
        <v>5372</v>
      </c>
      <c r="AA53" s="14">
        <v>5329</v>
      </c>
      <c r="AB53" s="14">
        <v>5336</v>
      </c>
      <c r="AC53" s="14">
        <v>5486</v>
      </c>
      <c r="AD53" s="14">
        <f t="shared" ref="AD53" si="174">+AD52-AD54</f>
        <v>5269.8540000000012</v>
      </c>
      <c r="AE53" s="14">
        <f t="shared" ref="AE53:AH53" si="175">+AE52-AE54</f>
        <v>5270.6778600000016</v>
      </c>
      <c r="AF53" s="14">
        <f t="shared" si="175"/>
        <v>5384.6752014000012</v>
      </c>
      <c r="AG53" s="14">
        <f t="shared" si="175"/>
        <v>5360.2806493860007</v>
      </c>
      <c r="AH53" s="14">
        <f t="shared" si="175"/>
        <v>5290.6672328921413</v>
      </c>
      <c r="AL53" s="11">
        <f t="shared" ref="AL53" si="176">SUM(K53:N53)</f>
        <v>21658</v>
      </c>
      <c r="AM53" s="11">
        <f t="shared" ref="AM53" si="177">SUM(O53:R53)</f>
        <v>22342</v>
      </c>
      <c r="AN53" s="11">
        <f t="shared" ref="AN53" si="178">SUM(S53:V53)</f>
        <v>21958</v>
      </c>
      <c r="AO53" s="11">
        <f t="shared" ref="AO53" si="179">SUM(W53:Z53)</f>
        <v>20596</v>
      </c>
      <c r="AP53" s="11">
        <f>SUM(AA53:AD53)</f>
        <v>21420.853999999999</v>
      </c>
      <c r="AQ53" s="11">
        <f>+AQ52-AQ54</f>
        <v>21823.251299999996</v>
      </c>
      <c r="AR53" s="11">
        <f t="shared" ref="AR53:BD53" si="180">+AR52-AR54</f>
        <v>21697.101585000011</v>
      </c>
      <c r="AS53" s="11">
        <f t="shared" si="180"/>
        <v>21766.861125750002</v>
      </c>
      <c r="AT53" s="11">
        <f t="shared" si="180"/>
        <v>22073.8710182625</v>
      </c>
      <c r="AU53" s="11">
        <f t="shared" si="180"/>
        <v>22473.32846852739</v>
      </c>
      <c r="AV53" s="11">
        <f t="shared" si="180"/>
        <v>22772.304887311293</v>
      </c>
      <c r="AW53" s="11">
        <f t="shared" si="180"/>
        <v>22879.767895814803</v>
      </c>
      <c r="AX53" s="11">
        <f t="shared" si="180"/>
        <v>22994.952868553337</v>
      </c>
      <c r="AY53" s="11">
        <f t="shared" si="180"/>
        <v>22134.49246057601</v>
      </c>
      <c r="AZ53" s="11">
        <f t="shared" si="180"/>
        <v>21320.086756881043</v>
      </c>
      <c r="BA53" s="11">
        <f t="shared" si="180"/>
        <v>20562.43396276181</v>
      </c>
      <c r="BB53" s="11">
        <f t="shared" si="180"/>
        <v>19800.158030409199</v>
      </c>
      <c r="BC53" s="11">
        <f t="shared" si="180"/>
        <v>19469.955164478888</v>
      </c>
      <c r="BD53" s="11">
        <f t="shared" si="180"/>
        <v>17804.756153186543</v>
      </c>
    </row>
    <row r="54" spans="2:119" s="11" customFormat="1" x14ac:dyDescent="0.2">
      <c r="B54" s="11" t="s">
        <v>66</v>
      </c>
      <c r="C54" s="14"/>
      <c r="D54" s="14"/>
      <c r="E54" s="14"/>
      <c r="F54" s="14"/>
      <c r="G54" s="14"/>
      <c r="H54" s="14"/>
      <c r="I54" s="14"/>
      <c r="J54" s="14"/>
      <c r="K54" s="14">
        <f t="shared" ref="K54:W54" si="181">+K52-K53</f>
        <v>11224</v>
      </c>
      <c r="L54" s="14">
        <f t="shared" si="181"/>
        <v>11332</v>
      </c>
      <c r="M54" s="14">
        <f t="shared" si="181"/>
        <v>11455</v>
      </c>
      <c r="N54" s="14">
        <f t="shared" si="181"/>
        <v>11555</v>
      </c>
      <c r="O54" s="14">
        <f t="shared" si="181"/>
        <v>11951</v>
      </c>
      <c r="P54" s="14">
        <f t="shared" si="181"/>
        <v>12388</v>
      </c>
      <c r="Q54" s="14">
        <f t="shared" si="181"/>
        <v>12231</v>
      </c>
      <c r="R54" s="14">
        <f t="shared" si="181"/>
        <v>12400</v>
      </c>
      <c r="S54" s="14">
        <f t="shared" si="181"/>
        <v>12660</v>
      </c>
      <c r="T54" s="14">
        <f t="shared" si="181"/>
        <v>13456</v>
      </c>
      <c r="U54" s="14">
        <f t="shared" si="181"/>
        <v>13485</v>
      </c>
      <c r="V54" s="14">
        <f t="shared" si="181"/>
        <v>12772</v>
      </c>
      <c r="W54" s="14">
        <f t="shared" si="181"/>
        <v>12092</v>
      </c>
      <c r="X54" s="14">
        <f t="shared" ref="X54:Y54" si="182">+X52-X53</f>
        <v>12430</v>
      </c>
      <c r="Y54" s="14">
        <f t="shared" si="182"/>
        <v>12517</v>
      </c>
      <c r="Z54" s="14">
        <f>+Z52-Z53</f>
        <v>12439</v>
      </c>
      <c r="AA54" s="14">
        <f>+AA52-AA53</f>
        <v>12153</v>
      </c>
      <c r="AB54" s="14">
        <f>+AB52-AB53</f>
        <v>13146</v>
      </c>
      <c r="AC54" s="14">
        <f>+AC52-AC53</f>
        <v>12334</v>
      </c>
      <c r="AD54" s="14">
        <f t="shared" ref="AD54" si="183">+AD52*0.7</f>
        <v>12296.325999999999</v>
      </c>
      <c r="AE54" s="14">
        <f t="shared" ref="AE54:AH54" si="184">+AE52*0.7</f>
        <v>12298.248340000004</v>
      </c>
      <c r="AF54" s="14">
        <f t="shared" si="184"/>
        <v>12564.242136599998</v>
      </c>
      <c r="AG54" s="14">
        <f t="shared" si="184"/>
        <v>12507.321515233998</v>
      </c>
      <c r="AH54" s="14">
        <f t="shared" si="184"/>
        <v>12344.890210081659</v>
      </c>
      <c r="AL54" s="11">
        <f t="shared" ref="AL54:AO54" si="185">AL52-AL53</f>
        <v>45566</v>
      </c>
      <c r="AM54" s="11">
        <f t="shared" si="185"/>
        <v>48970</v>
      </c>
      <c r="AN54" s="11">
        <f t="shared" si="185"/>
        <v>52373</v>
      </c>
      <c r="AO54" s="11">
        <f t="shared" si="185"/>
        <v>49478</v>
      </c>
      <c r="AP54" s="11">
        <f>AP52-AP53</f>
        <v>49929.326000000008</v>
      </c>
      <c r="AQ54" s="11">
        <f>+AQ52*0.7</f>
        <v>50920.919699999991</v>
      </c>
      <c r="AR54" s="11">
        <f t="shared" ref="AR54:BD54" si="186">+AR52*0.7</f>
        <v>50626.570365000007</v>
      </c>
      <c r="AS54" s="11">
        <f t="shared" si="186"/>
        <v>50789.342626750004</v>
      </c>
      <c r="AT54" s="11">
        <f t="shared" si="186"/>
        <v>51505.69904261249</v>
      </c>
      <c r="AU54" s="11">
        <f t="shared" si="186"/>
        <v>52437.766426563896</v>
      </c>
      <c r="AV54" s="11">
        <f t="shared" si="186"/>
        <v>53135.378070393017</v>
      </c>
      <c r="AW54" s="11">
        <f t="shared" si="186"/>
        <v>53386.12509023452</v>
      </c>
      <c r="AX54" s="11">
        <f t="shared" si="186"/>
        <v>53654.890026624438</v>
      </c>
      <c r="AY54" s="11">
        <f t="shared" si="186"/>
        <v>51647.149074677356</v>
      </c>
      <c r="AZ54" s="11">
        <f t="shared" si="186"/>
        <v>49746.8690993891</v>
      </c>
      <c r="BA54" s="11">
        <f t="shared" si="186"/>
        <v>47979.012579777547</v>
      </c>
      <c r="BB54" s="11">
        <f t="shared" si="186"/>
        <v>46200.368737621458</v>
      </c>
      <c r="BC54" s="11">
        <f t="shared" si="186"/>
        <v>45429.895383784067</v>
      </c>
      <c r="BD54" s="11">
        <f t="shared" si="186"/>
        <v>41544.431024101927</v>
      </c>
    </row>
    <row r="55" spans="2:119" s="11" customFormat="1" x14ac:dyDescent="0.2">
      <c r="B55" s="11" t="s">
        <v>65</v>
      </c>
      <c r="C55" s="14"/>
      <c r="D55" s="14"/>
      <c r="E55" s="14"/>
      <c r="F55" s="14"/>
      <c r="G55" s="14"/>
      <c r="H55" s="14"/>
      <c r="I55" s="14"/>
      <c r="J55" s="14"/>
      <c r="K55" s="14">
        <v>5015</v>
      </c>
      <c r="L55" s="14">
        <v>4965</v>
      </c>
      <c r="M55" s="14">
        <v>5228</v>
      </c>
      <c r="N55" s="14">
        <v>5661</v>
      </c>
      <c r="O55" s="14">
        <v>5223</v>
      </c>
      <c r="P55" s="14">
        <v>5376</v>
      </c>
      <c r="Q55" s="14">
        <v>5314</v>
      </c>
      <c r="R55" s="14">
        <v>5917</v>
      </c>
      <c r="S55" s="14">
        <v>5183</v>
      </c>
      <c r="T55" s="14">
        <v>5481</v>
      </c>
      <c r="U55" s="14">
        <f>5468-167</f>
        <v>5301</v>
      </c>
      <c r="V55" s="14">
        <f>5822-325</f>
        <v>5497</v>
      </c>
      <c r="W55" s="14">
        <v>4847</v>
      </c>
      <c r="X55" s="14">
        <v>5384</v>
      </c>
      <c r="Y55" s="14">
        <f>5081-32</f>
        <v>5049</v>
      </c>
      <c r="Z55" s="14">
        <f>5891-83+33-81</f>
        <v>5760</v>
      </c>
      <c r="AA55" s="14">
        <v>4688</v>
      </c>
      <c r="AB55" s="14">
        <v>5176</v>
      </c>
      <c r="AC55" s="14">
        <v>4772</v>
      </c>
      <c r="AD55" s="14">
        <f t="shared" ref="AD55" si="187">+Z55*0.95</f>
        <v>5472</v>
      </c>
      <c r="AE55" s="14">
        <f t="shared" ref="AE55" si="188">+AA55*0.95</f>
        <v>4453.5999999999995</v>
      </c>
      <c r="AF55" s="14">
        <f t="shared" ref="AF55" si="189">+AB55*0.95</f>
        <v>4917.2</v>
      </c>
      <c r="AG55" s="14">
        <f t="shared" ref="AG55" si="190">+AC55*0.95</f>
        <v>4533.3999999999996</v>
      </c>
      <c r="AH55" s="14">
        <f t="shared" ref="AH55" si="191">+AD55*0.95</f>
        <v>5198.3999999999996</v>
      </c>
      <c r="AL55" s="11">
        <f t="shared" ref="AL55:AL56" si="192">SUM(K55:N55)</f>
        <v>20869</v>
      </c>
      <c r="AM55" s="11">
        <f t="shared" ref="AM55:AM56" si="193">SUM(O55:R55)</f>
        <v>21830</v>
      </c>
      <c r="AN55" s="11">
        <f t="shared" ref="AN55:AN56" si="194">SUM(S55:V55)</f>
        <v>21462</v>
      </c>
      <c r="AO55" s="11">
        <f t="shared" ref="AO55:AO56" si="195">SUM(W55:Z55)</f>
        <v>21040</v>
      </c>
      <c r="AP55" s="11">
        <f t="shared" ref="AP55:AP56" si="196">SUM(AA55:AD55)</f>
        <v>20108</v>
      </c>
      <c r="AQ55" s="11">
        <f>+AP55*0.98</f>
        <v>19705.84</v>
      </c>
      <c r="AR55" s="11">
        <f t="shared" ref="AR55:BD55" si="197">+AQ55*0.98</f>
        <v>19311.7232</v>
      </c>
      <c r="AS55" s="11">
        <f t="shared" si="197"/>
        <v>18925.488735999999</v>
      </c>
      <c r="AT55" s="11">
        <f t="shared" si="197"/>
        <v>18546.978961279998</v>
      </c>
      <c r="AU55" s="11">
        <f t="shared" si="197"/>
        <v>18176.039382054398</v>
      </c>
      <c r="AV55" s="11">
        <f t="shared" si="197"/>
        <v>17812.518594413308</v>
      </c>
      <c r="AW55" s="11">
        <f t="shared" si="197"/>
        <v>17456.268222525043</v>
      </c>
      <c r="AX55" s="11">
        <f t="shared" si="197"/>
        <v>17107.142858074541</v>
      </c>
      <c r="AY55" s="11">
        <f t="shared" si="197"/>
        <v>16765.000000913049</v>
      </c>
      <c r="AZ55" s="11">
        <f t="shared" si="197"/>
        <v>16429.700000894787</v>
      </c>
      <c r="BA55" s="11">
        <f t="shared" si="197"/>
        <v>16101.106000876891</v>
      </c>
      <c r="BB55" s="11">
        <f t="shared" si="197"/>
        <v>15779.083880859353</v>
      </c>
      <c r="BC55" s="11">
        <f t="shared" si="197"/>
        <v>15463.502203242166</v>
      </c>
      <c r="BD55" s="11">
        <f t="shared" si="197"/>
        <v>15154.232159177322</v>
      </c>
    </row>
    <row r="56" spans="2:119" s="11" customFormat="1" x14ac:dyDescent="0.2">
      <c r="B56" s="11" t="s">
        <v>64</v>
      </c>
      <c r="C56" s="14"/>
      <c r="D56" s="14"/>
      <c r="E56" s="14"/>
      <c r="F56" s="14"/>
      <c r="G56" s="14"/>
      <c r="H56" s="14"/>
      <c r="I56" s="14"/>
      <c r="J56" s="14"/>
      <c r="K56" s="14">
        <v>1645</v>
      </c>
      <c r="L56" s="14">
        <v>1766</v>
      </c>
      <c r="M56" s="14">
        <v>1923</v>
      </c>
      <c r="N56" s="14">
        <v>2331</v>
      </c>
      <c r="O56" s="14">
        <v>1784</v>
      </c>
      <c r="P56" s="14">
        <v>1946</v>
      </c>
      <c r="Q56" s="14">
        <v>2042</v>
      </c>
      <c r="R56" s="14">
        <v>2411</v>
      </c>
      <c r="S56" s="14">
        <v>1831</v>
      </c>
      <c r="T56" s="14">
        <v>2005</v>
      </c>
      <c r="U56" s="14">
        <v>2023</v>
      </c>
      <c r="V56" s="14">
        <v>2635</v>
      </c>
      <c r="W56" s="14">
        <v>1899</v>
      </c>
      <c r="X56" s="14">
        <v>2129</v>
      </c>
      <c r="Y56" s="14">
        <v>2154</v>
      </c>
      <c r="Z56" s="14">
        <v>2864</v>
      </c>
      <c r="AA56" s="14">
        <v>2013</v>
      </c>
      <c r="AB56" s="14">
        <v>2264</v>
      </c>
      <c r="AC56" s="14">
        <v>2178</v>
      </c>
      <c r="AD56" s="14">
        <f t="shared" ref="AD56" si="198">+Z56</f>
        <v>2864</v>
      </c>
      <c r="AE56" s="14">
        <f t="shared" ref="AE56" si="199">+AA56</f>
        <v>2013</v>
      </c>
      <c r="AF56" s="14">
        <f t="shared" ref="AF56" si="200">+AB56</f>
        <v>2264</v>
      </c>
      <c r="AG56" s="14">
        <f t="shared" ref="AG56" si="201">+AC56</f>
        <v>2178</v>
      </c>
      <c r="AH56" s="14">
        <f t="shared" ref="AH56" si="202">+AD56</f>
        <v>2864</v>
      </c>
      <c r="AL56" s="11">
        <f t="shared" si="192"/>
        <v>7665</v>
      </c>
      <c r="AM56" s="11">
        <f t="shared" si="193"/>
        <v>8183</v>
      </c>
      <c r="AN56" s="11">
        <f t="shared" si="194"/>
        <v>8494</v>
      </c>
      <c r="AO56" s="11">
        <f t="shared" si="195"/>
        <v>9046</v>
      </c>
      <c r="AP56" s="11">
        <f t="shared" si="196"/>
        <v>9319</v>
      </c>
      <c r="AQ56" s="11">
        <f>+AP56</f>
        <v>9319</v>
      </c>
      <c r="AR56" s="11">
        <v>2000</v>
      </c>
      <c r="AS56" s="11">
        <v>2000</v>
      </c>
      <c r="AT56" s="11">
        <v>2000</v>
      </c>
      <c r="AU56" s="11">
        <v>2000</v>
      </c>
      <c r="AV56" s="11">
        <v>2000</v>
      </c>
      <c r="AW56" s="11">
        <v>2000</v>
      </c>
      <c r="AX56" s="11">
        <v>2000</v>
      </c>
      <c r="AY56" s="11">
        <v>2000</v>
      </c>
      <c r="AZ56" s="11">
        <v>2000</v>
      </c>
      <c r="BA56" s="11">
        <v>2000</v>
      </c>
      <c r="BB56" s="11">
        <v>2000</v>
      </c>
      <c r="BC56" s="11">
        <v>2000</v>
      </c>
      <c r="BD56" s="11">
        <v>2000</v>
      </c>
    </row>
    <row r="57" spans="2:119" s="11" customFormat="1" x14ac:dyDescent="0.2">
      <c r="B57" s="11" t="s">
        <v>62</v>
      </c>
      <c r="C57" s="14"/>
      <c r="D57" s="14"/>
      <c r="E57" s="14"/>
      <c r="F57" s="14"/>
      <c r="G57" s="14"/>
      <c r="H57" s="14"/>
      <c r="I57" s="14"/>
      <c r="J57" s="14"/>
      <c r="K57" s="14">
        <f t="shared" ref="K57:W57" si="203">+K56+K55</f>
        <v>6660</v>
      </c>
      <c r="L57" s="14">
        <f t="shared" si="203"/>
        <v>6731</v>
      </c>
      <c r="M57" s="14">
        <f t="shared" si="203"/>
        <v>7151</v>
      </c>
      <c r="N57" s="14">
        <f t="shared" si="203"/>
        <v>7992</v>
      </c>
      <c r="O57" s="14">
        <f t="shared" si="203"/>
        <v>7007</v>
      </c>
      <c r="P57" s="14">
        <f t="shared" si="203"/>
        <v>7322</v>
      </c>
      <c r="Q57" s="14">
        <f t="shared" si="203"/>
        <v>7356</v>
      </c>
      <c r="R57" s="14">
        <f t="shared" si="203"/>
        <v>8328</v>
      </c>
      <c r="S57" s="14">
        <f t="shared" si="203"/>
        <v>7014</v>
      </c>
      <c r="T57" s="14">
        <f t="shared" si="203"/>
        <v>7486</v>
      </c>
      <c r="U57" s="14">
        <f t="shared" si="203"/>
        <v>7324</v>
      </c>
      <c r="V57" s="14">
        <f t="shared" si="203"/>
        <v>8132</v>
      </c>
      <c r="W57" s="14">
        <f t="shared" si="203"/>
        <v>6746</v>
      </c>
      <c r="X57" s="14">
        <f t="shared" ref="X57:Y57" si="204">+X56+X55</f>
        <v>7513</v>
      </c>
      <c r="Y57" s="14">
        <f t="shared" si="204"/>
        <v>7203</v>
      </c>
      <c r="Z57" s="14">
        <f>+Z56+Z55</f>
        <v>8624</v>
      </c>
      <c r="AA57" s="14">
        <f>+AA56+AA55</f>
        <v>6701</v>
      </c>
      <c r="AB57" s="14">
        <f t="shared" ref="AB57:AD57" si="205">+AB56+AB55</f>
        <v>7440</v>
      </c>
      <c r="AC57" s="14">
        <f t="shared" si="205"/>
        <v>6950</v>
      </c>
      <c r="AD57" s="14">
        <f t="shared" si="205"/>
        <v>8336</v>
      </c>
      <c r="AE57" s="14">
        <f t="shared" ref="AE57:AH57" si="206">+AE56+AE55</f>
        <v>6466.5999999999995</v>
      </c>
      <c r="AF57" s="14">
        <f t="shared" si="206"/>
        <v>7181.2</v>
      </c>
      <c r="AG57" s="14">
        <f t="shared" si="206"/>
        <v>6711.4</v>
      </c>
      <c r="AH57" s="14">
        <f t="shared" si="206"/>
        <v>8062.4</v>
      </c>
      <c r="AL57" s="14">
        <f t="shared" ref="AL57:AM57" si="207">+AL56+AL55</f>
        <v>28534</v>
      </c>
      <c r="AM57" s="14">
        <f t="shared" si="207"/>
        <v>30013</v>
      </c>
      <c r="AN57" s="14">
        <f t="shared" ref="AN57:AP57" si="208">+AN56+AN55</f>
        <v>29956</v>
      </c>
      <c r="AO57" s="14">
        <f t="shared" si="208"/>
        <v>30086</v>
      </c>
      <c r="AP57" s="14">
        <f t="shared" si="208"/>
        <v>29427</v>
      </c>
      <c r="AQ57" s="14">
        <f t="shared" ref="AQ57" si="209">+AQ56+AQ55</f>
        <v>29024.84</v>
      </c>
      <c r="AR57" s="14">
        <f t="shared" ref="AR57" si="210">+AR56+AR55</f>
        <v>21311.7232</v>
      </c>
      <c r="AS57" s="14">
        <f t="shared" ref="AS57" si="211">+AS56+AS55</f>
        <v>20925.488735999999</v>
      </c>
      <c r="AT57" s="14">
        <f t="shared" ref="AT57" si="212">+AT56+AT55</f>
        <v>20546.978961279998</v>
      </c>
      <c r="AU57" s="14">
        <f t="shared" ref="AU57" si="213">+AU56+AU55</f>
        <v>20176.039382054398</v>
      </c>
      <c r="AV57" s="14">
        <f t="shared" ref="AV57" si="214">+AV56+AV55</f>
        <v>19812.518594413308</v>
      </c>
      <c r="AW57" s="14">
        <f t="shared" ref="AW57" si="215">+AW56+AW55</f>
        <v>19456.268222525043</v>
      </c>
      <c r="AX57" s="14">
        <f t="shared" ref="AX57" si="216">+AX56+AX55</f>
        <v>19107.142858074541</v>
      </c>
      <c r="AY57" s="14">
        <f t="shared" ref="AY57" si="217">+AY56+AY55</f>
        <v>18765.000000913049</v>
      </c>
      <c r="AZ57" s="14">
        <f t="shared" ref="AZ57" si="218">+AZ56+AZ55</f>
        <v>18429.700000894787</v>
      </c>
      <c r="BA57" s="14">
        <f t="shared" ref="BA57" si="219">+BA56+BA55</f>
        <v>18101.106000876891</v>
      </c>
      <c r="BB57" s="14">
        <f t="shared" ref="BB57" si="220">+BB56+BB55</f>
        <v>17779.083880859354</v>
      </c>
      <c r="BC57" s="14">
        <f t="shared" ref="BC57" si="221">+BC56+BC55</f>
        <v>17463.502203242166</v>
      </c>
      <c r="BD57" s="14">
        <f t="shared" ref="BD57" si="222">+BD56+BD55</f>
        <v>17154.232159177322</v>
      </c>
    </row>
    <row r="58" spans="2:119" s="11" customFormat="1" x14ac:dyDescent="0.2">
      <c r="B58" s="11" t="s">
        <v>63</v>
      </c>
      <c r="C58" s="14"/>
      <c r="D58" s="14"/>
      <c r="E58" s="14"/>
      <c r="F58" s="14"/>
      <c r="G58" s="14"/>
      <c r="H58" s="14"/>
      <c r="I58" s="14"/>
      <c r="J58" s="14"/>
      <c r="K58" s="14">
        <f t="shared" ref="K58:W58" si="223">+K54-K57</f>
        <v>4564</v>
      </c>
      <c r="L58" s="14">
        <f t="shared" si="223"/>
        <v>4601</v>
      </c>
      <c r="M58" s="14">
        <f t="shared" si="223"/>
        <v>4304</v>
      </c>
      <c r="N58" s="14">
        <f t="shared" si="223"/>
        <v>3563</v>
      </c>
      <c r="O58" s="14">
        <f t="shared" si="223"/>
        <v>4944</v>
      </c>
      <c r="P58" s="14">
        <f t="shared" si="223"/>
        <v>5066</v>
      </c>
      <c r="Q58" s="14">
        <f t="shared" si="223"/>
        <v>4875</v>
      </c>
      <c r="R58" s="14">
        <f t="shared" si="223"/>
        <v>4072</v>
      </c>
      <c r="S58" s="14">
        <f t="shared" si="223"/>
        <v>5646</v>
      </c>
      <c r="T58" s="14">
        <f t="shared" si="223"/>
        <v>5970</v>
      </c>
      <c r="U58" s="14">
        <f t="shared" si="223"/>
        <v>6161</v>
      </c>
      <c r="V58" s="14">
        <f t="shared" si="223"/>
        <v>4640</v>
      </c>
      <c r="W58" s="14">
        <f t="shared" si="223"/>
        <v>5346</v>
      </c>
      <c r="X58" s="14">
        <f t="shared" ref="X58:Y58" si="224">+X54-X57</f>
        <v>4917</v>
      </c>
      <c r="Y58" s="14">
        <f t="shared" si="224"/>
        <v>5314</v>
      </c>
      <c r="Z58" s="14">
        <f>+Z54-Z57</f>
        <v>3815</v>
      </c>
      <c r="AA58" s="14">
        <f>+AA54-AA57</f>
        <v>5452</v>
      </c>
      <c r="AB58" s="14">
        <f t="shared" ref="AB58:AD58" si="225">+AB54-AB57</f>
        <v>5706</v>
      </c>
      <c r="AC58" s="14">
        <f t="shared" si="225"/>
        <v>5384</v>
      </c>
      <c r="AD58" s="14">
        <f t="shared" si="225"/>
        <v>3960.3259999999991</v>
      </c>
      <c r="AE58" s="14">
        <f t="shared" ref="AE58:AH58" si="226">+AE54-AE57</f>
        <v>5831.6483400000043</v>
      </c>
      <c r="AF58" s="14">
        <f t="shared" si="226"/>
        <v>5383.0421365999982</v>
      </c>
      <c r="AG58" s="14">
        <f t="shared" si="226"/>
        <v>5795.9215152339984</v>
      </c>
      <c r="AH58" s="14">
        <f t="shared" si="226"/>
        <v>4282.4902100816598</v>
      </c>
      <c r="AL58" s="14">
        <f t="shared" ref="AL58:AM58" si="227">+AL54-AL57</f>
        <v>17032</v>
      </c>
      <c r="AM58" s="14">
        <f t="shared" si="227"/>
        <v>18957</v>
      </c>
      <c r="AN58" s="14">
        <f t="shared" ref="AN58:AP58" si="228">+AN54-AN57</f>
        <v>22417</v>
      </c>
      <c r="AO58" s="14">
        <f t="shared" si="228"/>
        <v>19392</v>
      </c>
      <c r="AP58" s="14">
        <f t="shared" si="228"/>
        <v>20502.326000000008</v>
      </c>
      <c r="AQ58" s="14">
        <f t="shared" ref="AQ58" si="229">+AQ54-AQ57</f>
        <v>21896.079699999991</v>
      </c>
      <c r="AR58" s="14">
        <f t="shared" ref="AR58" si="230">+AR54-AR57</f>
        <v>29314.847165000006</v>
      </c>
      <c r="AS58" s="14">
        <f t="shared" ref="AS58" si="231">+AS54-AS57</f>
        <v>29863.853890750004</v>
      </c>
      <c r="AT58" s="14">
        <f t="shared" ref="AT58" si="232">+AT54-AT57</f>
        <v>30958.720081332493</v>
      </c>
      <c r="AU58" s="14">
        <f t="shared" ref="AU58" si="233">+AU54-AU57</f>
        <v>32261.727044509498</v>
      </c>
      <c r="AV58" s="14">
        <f t="shared" ref="AV58" si="234">+AV54-AV57</f>
        <v>33322.859475979712</v>
      </c>
      <c r="AW58" s="14">
        <f t="shared" ref="AW58" si="235">+AW54-AW57</f>
        <v>33929.856867709474</v>
      </c>
      <c r="AX58" s="14">
        <f t="shared" ref="AX58" si="236">+AX54-AX57</f>
        <v>34547.747168549897</v>
      </c>
      <c r="AY58" s="14">
        <f t="shared" ref="AY58" si="237">+AY54-AY57</f>
        <v>32882.149073764303</v>
      </c>
      <c r="AZ58" s="14">
        <f t="shared" ref="AZ58" si="238">+AZ54-AZ57</f>
        <v>31317.169098494312</v>
      </c>
      <c r="BA58" s="14">
        <f t="shared" ref="BA58" si="239">+BA54-BA57</f>
        <v>29877.906578900656</v>
      </c>
      <c r="BB58" s="14">
        <f t="shared" ref="BB58" si="240">+BB54-BB57</f>
        <v>28421.284856762104</v>
      </c>
      <c r="BC58" s="14">
        <f t="shared" ref="BC58" si="241">+BC54-BC57</f>
        <v>27966.393180541902</v>
      </c>
      <c r="BD58" s="14">
        <f t="shared" ref="BD58" si="242">+BD54-BD57</f>
        <v>24390.198864924605</v>
      </c>
    </row>
    <row r="59" spans="2:119" s="11" customFormat="1" x14ac:dyDescent="0.2">
      <c r="B59" s="11" t="s">
        <v>61</v>
      </c>
      <c r="C59" s="14"/>
      <c r="D59" s="14"/>
      <c r="E59" s="14"/>
      <c r="F59" s="14"/>
      <c r="G59" s="14"/>
      <c r="H59" s="14"/>
      <c r="I59" s="14"/>
      <c r="J59" s="14"/>
      <c r="K59" s="14">
        <f>-130+611</f>
        <v>481</v>
      </c>
      <c r="L59" s="14">
        <f>-129-2008</f>
        <v>-2137</v>
      </c>
      <c r="M59" s="14">
        <f>-120+90</f>
        <v>-30</v>
      </c>
      <c r="N59" s="14">
        <f>-89-319</f>
        <v>-408</v>
      </c>
      <c r="O59" s="14">
        <f>-104-515</f>
        <v>-619</v>
      </c>
      <c r="P59" s="14">
        <f>-101-175</f>
        <v>-276</v>
      </c>
      <c r="Q59" s="14">
        <f>-87-943</f>
        <v>-1030</v>
      </c>
      <c r="R59" s="14">
        <f>-116-868</f>
        <v>-984</v>
      </c>
      <c r="S59" s="14">
        <f>-118-86</f>
        <v>-204</v>
      </c>
      <c r="T59" s="14">
        <f>-114-226</f>
        <v>-340</v>
      </c>
      <c r="U59" s="14">
        <f>-112+1345-1948+285</f>
        <v>-430</v>
      </c>
      <c r="V59" s="14">
        <f>-122-963+692+49</f>
        <v>-344</v>
      </c>
      <c r="W59" s="14">
        <f>19-138+348</f>
        <v>229</v>
      </c>
      <c r="X59" s="14">
        <f>-107+931</f>
        <v>824</v>
      </c>
      <c r="Y59" s="14">
        <f>-91-420+409</f>
        <v>-102</v>
      </c>
      <c r="Z59" s="14">
        <f>-107+1205</f>
        <v>1098</v>
      </c>
      <c r="AA59" s="14">
        <f>83-160+39</f>
        <v>-38</v>
      </c>
      <c r="AB59" s="14">
        <f>-102-557</f>
        <v>-659</v>
      </c>
      <c r="AC59" s="14">
        <f>-95+54</f>
        <v>-41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L59" s="11">
        <f t="shared" ref="AL59" si="243">SUM(K59:N59)</f>
        <v>-2094</v>
      </c>
      <c r="AM59" s="11">
        <f t="shared" ref="AM59" si="244">SUM(O59:R59)</f>
        <v>-2909</v>
      </c>
      <c r="AN59" s="11">
        <f t="shared" ref="AN59" si="245">SUM(S59:V59)</f>
        <v>-1318</v>
      </c>
      <c r="AO59" s="11">
        <f t="shared" ref="AO59" si="246">SUM(W59:Z59)</f>
        <v>2049</v>
      </c>
      <c r="AP59" s="11">
        <f>SUM(AA59:AD59)</f>
        <v>-738</v>
      </c>
      <c r="AQ59" s="11">
        <f t="shared" ref="AQ59:BD59" si="247">+AP75*$BH$66</f>
        <v>476.86521600000003</v>
      </c>
      <c r="AR59" s="11">
        <f t="shared" si="247"/>
        <v>834.83233465599972</v>
      </c>
      <c r="AS59" s="11">
        <f t="shared" si="247"/>
        <v>1317.2272066504956</v>
      </c>
      <c r="AT59" s="11">
        <f t="shared" si="247"/>
        <v>1816.1245042089035</v>
      </c>
      <c r="AU59" s="11">
        <f t="shared" si="247"/>
        <v>2340.5220175775657</v>
      </c>
      <c r="AV59" s="11">
        <f t="shared" si="247"/>
        <v>2894.1580025709591</v>
      </c>
      <c r="AW59" s="11">
        <f t="shared" si="247"/>
        <v>3473.6302822277694</v>
      </c>
      <c r="AX59" s="11">
        <f t="shared" si="247"/>
        <v>4072.0860766267656</v>
      </c>
      <c r="AY59" s="11">
        <f t="shared" si="247"/>
        <v>4690.0034085495927</v>
      </c>
      <c r="AZ59" s="11">
        <f t="shared" si="247"/>
        <v>5291.1578482666146</v>
      </c>
      <c r="BA59" s="11">
        <f t="shared" si="247"/>
        <v>5876.8910794147896</v>
      </c>
      <c r="BB59" s="11">
        <f t="shared" si="247"/>
        <v>6448.9678419478369</v>
      </c>
      <c r="BC59" s="11">
        <f t="shared" si="247"/>
        <v>7006.8918851271956</v>
      </c>
      <c r="BD59" s="11">
        <f t="shared" si="247"/>
        <v>7566.4644461779017</v>
      </c>
    </row>
    <row r="60" spans="2:119" s="11" customFormat="1" x14ac:dyDescent="0.2">
      <c r="B60" s="11" t="s">
        <v>60</v>
      </c>
      <c r="C60" s="14"/>
      <c r="D60" s="14"/>
      <c r="E60" s="14"/>
      <c r="F60" s="14"/>
      <c r="G60" s="14"/>
      <c r="H60" s="14"/>
      <c r="I60" s="14"/>
      <c r="J60" s="14"/>
      <c r="K60" s="14">
        <f t="shared" ref="K60:W60" si="248">+K58+K59</f>
        <v>5045</v>
      </c>
      <c r="L60" s="14">
        <f t="shared" si="248"/>
        <v>2464</v>
      </c>
      <c r="M60" s="14">
        <f t="shared" si="248"/>
        <v>4274</v>
      </c>
      <c r="N60" s="14">
        <f t="shared" si="248"/>
        <v>3155</v>
      </c>
      <c r="O60" s="14">
        <f t="shared" si="248"/>
        <v>4325</v>
      </c>
      <c r="P60" s="14">
        <f t="shared" si="248"/>
        <v>4790</v>
      </c>
      <c r="Q60" s="14">
        <f t="shared" si="248"/>
        <v>3845</v>
      </c>
      <c r="R60" s="14">
        <f t="shared" si="248"/>
        <v>3088</v>
      </c>
      <c r="S60" s="14">
        <f t="shared" si="248"/>
        <v>5442</v>
      </c>
      <c r="T60" s="14">
        <f t="shared" si="248"/>
        <v>5630</v>
      </c>
      <c r="U60" s="14">
        <f t="shared" si="248"/>
        <v>5731</v>
      </c>
      <c r="V60" s="14">
        <f t="shared" si="248"/>
        <v>4296</v>
      </c>
      <c r="W60" s="14">
        <f t="shared" si="248"/>
        <v>5575</v>
      </c>
      <c r="X60" s="14">
        <f t="shared" ref="X60:Y60" si="249">+X58+X59</f>
        <v>5741</v>
      </c>
      <c r="Y60" s="14">
        <f t="shared" si="249"/>
        <v>5212</v>
      </c>
      <c r="Z60" s="14">
        <f>+Z58+Z59</f>
        <v>4913</v>
      </c>
      <c r="AA60" s="14">
        <f>+AA58+AA59</f>
        <v>5414</v>
      </c>
      <c r="AB60" s="14">
        <f t="shared" ref="AB60:AD60" si="250">+AB58+AB59</f>
        <v>5047</v>
      </c>
      <c r="AC60" s="14">
        <f t="shared" si="250"/>
        <v>5343</v>
      </c>
      <c r="AD60" s="14">
        <f t="shared" si="250"/>
        <v>3960.3259999999991</v>
      </c>
      <c r="AE60" s="14">
        <f t="shared" ref="AE60:AH60" si="251">+AE58+AE59</f>
        <v>5831.6483400000043</v>
      </c>
      <c r="AF60" s="14">
        <f t="shared" si="251"/>
        <v>5383.0421365999982</v>
      </c>
      <c r="AG60" s="14">
        <f t="shared" si="251"/>
        <v>5795.9215152339984</v>
      </c>
      <c r="AH60" s="14">
        <f t="shared" si="251"/>
        <v>4282.4902100816598</v>
      </c>
      <c r="AL60" s="14">
        <f t="shared" ref="AL60:AO60" si="252">+AL58+AL59</f>
        <v>14938</v>
      </c>
      <c r="AM60" s="14">
        <f t="shared" si="252"/>
        <v>16048</v>
      </c>
      <c r="AN60" s="14">
        <f t="shared" si="252"/>
        <v>21099</v>
      </c>
      <c r="AO60" s="14">
        <f t="shared" si="252"/>
        <v>21441</v>
      </c>
      <c r="AP60" s="14">
        <f>+AP58+AP59</f>
        <v>19764.326000000008</v>
      </c>
      <c r="AQ60" s="14">
        <f t="shared" ref="AQ60" si="253">+AQ58+AQ59</f>
        <v>22372.944915999989</v>
      </c>
      <c r="AR60" s="14">
        <f t="shared" ref="AR60" si="254">+AR58+AR59</f>
        <v>30149.679499656006</v>
      </c>
      <c r="AS60" s="14">
        <f t="shared" ref="AS60" si="255">+AS58+AS59</f>
        <v>31181.0810974005</v>
      </c>
      <c r="AT60" s="14">
        <f t="shared" ref="AT60" si="256">+AT58+AT59</f>
        <v>32774.844585541396</v>
      </c>
      <c r="AU60" s="14">
        <f t="shared" ref="AU60" si="257">+AU58+AU59</f>
        <v>34602.249062087067</v>
      </c>
      <c r="AV60" s="14">
        <f t="shared" ref="AV60" si="258">+AV58+AV59</f>
        <v>36217.017478550668</v>
      </c>
      <c r="AW60" s="14">
        <f t="shared" ref="AW60" si="259">+AW58+AW59</f>
        <v>37403.487149937246</v>
      </c>
      <c r="AX60" s="14">
        <f t="shared" ref="AX60" si="260">+AX58+AX59</f>
        <v>38619.833245176662</v>
      </c>
      <c r="AY60" s="14">
        <f t="shared" ref="AY60" si="261">+AY58+AY59</f>
        <v>37572.152482313897</v>
      </c>
      <c r="AZ60" s="14">
        <f t="shared" ref="AZ60" si="262">+AZ58+AZ59</f>
        <v>36608.326946760928</v>
      </c>
      <c r="BA60" s="14">
        <f t="shared" ref="BA60" si="263">+BA58+BA59</f>
        <v>35754.797658315445</v>
      </c>
      <c r="BB60" s="14">
        <f t="shared" ref="BB60" si="264">+BB58+BB59</f>
        <v>34870.252698709941</v>
      </c>
      <c r="BC60" s="14">
        <f t="shared" ref="BC60" si="265">+BC58+BC59</f>
        <v>34973.285065669101</v>
      </c>
      <c r="BD60" s="14">
        <f t="shared" ref="BD60" si="266">+BD58+BD59</f>
        <v>31956.663311102508</v>
      </c>
    </row>
    <row r="61" spans="2:119" s="11" customFormat="1" x14ac:dyDescent="0.2">
      <c r="B61" s="11" t="s">
        <v>58</v>
      </c>
      <c r="C61" s="14"/>
      <c r="D61" s="14"/>
      <c r="E61" s="14"/>
      <c r="F61" s="14"/>
      <c r="G61" s="14"/>
      <c r="H61" s="14"/>
      <c r="I61" s="14"/>
      <c r="J61" s="14"/>
      <c r="K61" s="14">
        <v>1135</v>
      </c>
      <c r="L61" s="14">
        <v>627</v>
      </c>
      <c r="M61" s="14">
        <v>966</v>
      </c>
      <c r="N61" s="14">
        <v>533</v>
      </c>
      <c r="O61" s="14">
        <v>764</v>
      </c>
      <c r="P61" s="14">
        <v>960</v>
      </c>
      <c r="Q61" s="14">
        <v>685</v>
      </c>
      <c r="R61" s="14">
        <v>769</v>
      </c>
      <c r="S61" s="14">
        <v>697</v>
      </c>
      <c r="T61" s="14">
        <v>1300</v>
      </c>
      <c r="U61" s="14">
        <f>2061-935</f>
        <v>1126</v>
      </c>
      <c r="V61" s="14">
        <f>182+227</f>
        <v>409</v>
      </c>
      <c r="W61" s="14">
        <v>1255</v>
      </c>
      <c r="X61" s="14">
        <v>1225</v>
      </c>
      <c r="Y61" s="14">
        <f>764+276</f>
        <v>1040</v>
      </c>
      <c r="Z61" s="14">
        <f>543+327</f>
        <v>870</v>
      </c>
      <c r="AA61" s="14">
        <v>1002</v>
      </c>
      <c r="AB61" s="14">
        <v>907</v>
      </c>
      <c r="AC61" s="14">
        <v>1009</v>
      </c>
      <c r="AD61" s="14">
        <f t="shared" ref="AD61" si="267">+AD60*0.2</f>
        <v>792.06519999999989</v>
      </c>
      <c r="AE61" s="14">
        <f t="shared" ref="AE61:AH61" si="268">+AE60*0.2</f>
        <v>1166.329668000001</v>
      </c>
      <c r="AF61" s="14">
        <f t="shared" si="268"/>
        <v>1076.6084273199997</v>
      </c>
      <c r="AG61" s="14">
        <f t="shared" si="268"/>
        <v>1159.1843030467996</v>
      </c>
      <c r="AH61" s="14">
        <f t="shared" si="268"/>
        <v>856.49804201633196</v>
      </c>
      <c r="AL61" s="11">
        <f t="shared" ref="AL61" si="269">SUM(K61:N61)</f>
        <v>3261</v>
      </c>
      <c r="AM61" s="11">
        <f t="shared" ref="AM61" si="270">SUM(O61:R61)</f>
        <v>3178</v>
      </c>
      <c r="AN61" s="11">
        <f t="shared" ref="AN61" si="271">SUM(S61:V61)</f>
        <v>3532</v>
      </c>
      <c r="AO61" s="11">
        <f t="shared" ref="AO61" si="272">SUM(W61:Z61)</f>
        <v>4390</v>
      </c>
      <c r="AP61" s="14">
        <f>SUM(AA61:AD61)</f>
        <v>3710.0652</v>
      </c>
      <c r="AQ61" s="14">
        <f t="shared" ref="AQ61" si="273">+AQ60*0.2</f>
        <v>4474.5889831999984</v>
      </c>
      <c r="AR61" s="14">
        <f t="shared" ref="AR61" si="274">+AR60*0.2</f>
        <v>6029.9358999312017</v>
      </c>
      <c r="AS61" s="14">
        <f t="shared" ref="AS61" si="275">+AS60*0.2</f>
        <v>6236.2162194801003</v>
      </c>
      <c r="AT61" s="14">
        <f t="shared" ref="AT61" si="276">+AT60*0.2</f>
        <v>6554.9689171082791</v>
      </c>
      <c r="AU61" s="14">
        <f t="shared" ref="AU61" si="277">+AU60*0.2</f>
        <v>6920.4498124174133</v>
      </c>
      <c r="AV61" s="14">
        <f t="shared" ref="AV61" si="278">+AV60*0.2</f>
        <v>7243.4034957101339</v>
      </c>
      <c r="AW61" s="14">
        <f t="shared" ref="AW61" si="279">+AW60*0.2</f>
        <v>7480.6974299874491</v>
      </c>
      <c r="AX61" s="14">
        <f t="shared" ref="AX61" si="280">+AX60*0.2</f>
        <v>7723.9666490353329</v>
      </c>
      <c r="AY61" s="14">
        <f t="shared" ref="AY61" si="281">+AY60*0.2</f>
        <v>7514.43049646278</v>
      </c>
      <c r="AZ61" s="14">
        <f t="shared" ref="AZ61" si="282">+AZ60*0.2</f>
        <v>7321.6653893521861</v>
      </c>
      <c r="BA61" s="14">
        <f t="shared" ref="BA61" si="283">+BA60*0.2</f>
        <v>7150.9595316630894</v>
      </c>
      <c r="BB61" s="14">
        <f t="shared" ref="BB61" si="284">+BB60*0.2</f>
        <v>6974.0505397419884</v>
      </c>
      <c r="BC61" s="14">
        <f t="shared" ref="BC61" si="285">+BC60*0.2</f>
        <v>6994.6570131338203</v>
      </c>
      <c r="BD61" s="14">
        <f t="shared" ref="BD61" si="286">+BD60*0.2</f>
        <v>6391.3326622205022</v>
      </c>
    </row>
    <row r="62" spans="2:119" s="11" customFormat="1" x14ac:dyDescent="0.2">
      <c r="B62" s="11" t="s">
        <v>59</v>
      </c>
      <c r="C62" s="14"/>
      <c r="D62" s="14"/>
      <c r="E62" s="14"/>
      <c r="F62" s="14"/>
      <c r="G62" s="14"/>
      <c r="H62" s="14"/>
      <c r="I62" s="14"/>
      <c r="J62" s="14"/>
      <c r="K62" s="14">
        <f t="shared" ref="K62:W62" si="287">+K60-K61</f>
        <v>3910</v>
      </c>
      <c r="L62" s="14">
        <f t="shared" si="287"/>
        <v>1837</v>
      </c>
      <c r="M62" s="14">
        <f t="shared" si="287"/>
        <v>3308</v>
      </c>
      <c r="N62" s="14">
        <f t="shared" si="287"/>
        <v>2622</v>
      </c>
      <c r="O62" s="14">
        <f t="shared" si="287"/>
        <v>3561</v>
      </c>
      <c r="P62" s="14">
        <f t="shared" si="287"/>
        <v>3830</v>
      </c>
      <c r="Q62" s="14">
        <f t="shared" si="287"/>
        <v>3160</v>
      </c>
      <c r="R62" s="14">
        <f t="shared" si="287"/>
        <v>2319</v>
      </c>
      <c r="S62" s="14">
        <f t="shared" si="287"/>
        <v>4745</v>
      </c>
      <c r="T62" s="14">
        <f t="shared" si="287"/>
        <v>4330</v>
      </c>
      <c r="U62" s="14">
        <f t="shared" si="287"/>
        <v>4605</v>
      </c>
      <c r="V62" s="14">
        <f t="shared" si="287"/>
        <v>3887</v>
      </c>
      <c r="W62" s="14">
        <f t="shared" si="287"/>
        <v>4320</v>
      </c>
      <c r="X62" s="14">
        <f t="shared" ref="X62:Y62" si="288">+X60-X61</f>
        <v>4516</v>
      </c>
      <c r="Y62" s="14">
        <f t="shared" si="288"/>
        <v>4172</v>
      </c>
      <c r="Z62" s="14">
        <f>+Z60-Z61</f>
        <v>4043</v>
      </c>
      <c r="AA62" s="14">
        <f>+AA60-AA61</f>
        <v>4412</v>
      </c>
      <c r="AB62" s="14">
        <f t="shared" ref="AB62:AD62" si="289">+AB60-AB61</f>
        <v>4140</v>
      </c>
      <c r="AC62" s="14">
        <f t="shared" si="289"/>
        <v>4334</v>
      </c>
      <c r="AD62" s="14">
        <f t="shared" si="289"/>
        <v>3168.2607999999991</v>
      </c>
      <c r="AE62" s="14">
        <f t="shared" ref="AE62:AH62" si="290">+AE60-AE61</f>
        <v>4665.3186720000031</v>
      </c>
      <c r="AF62" s="14">
        <f t="shared" si="290"/>
        <v>4306.4337092799988</v>
      </c>
      <c r="AG62" s="14">
        <f t="shared" si="290"/>
        <v>4636.7372121871986</v>
      </c>
      <c r="AH62" s="14">
        <f t="shared" si="290"/>
        <v>3425.9921680653279</v>
      </c>
      <c r="AL62" s="14">
        <f t="shared" ref="AL62:AP62" si="291">+AL60-AL61</f>
        <v>11677</v>
      </c>
      <c r="AM62" s="14">
        <f t="shared" si="291"/>
        <v>12870</v>
      </c>
      <c r="AN62" s="14">
        <f t="shared" si="291"/>
        <v>17567</v>
      </c>
      <c r="AO62" s="14">
        <f t="shared" si="291"/>
        <v>17051</v>
      </c>
      <c r="AP62" s="14">
        <f t="shared" si="291"/>
        <v>16054.260800000007</v>
      </c>
      <c r="AQ62" s="14">
        <f t="shared" ref="AQ62" si="292">+AQ60-AQ61</f>
        <v>17898.35593279999</v>
      </c>
      <c r="AR62" s="14">
        <f t="shared" ref="AR62" si="293">+AR60-AR61</f>
        <v>24119.743599724803</v>
      </c>
      <c r="AS62" s="14">
        <f t="shared" ref="AS62" si="294">+AS60-AS61</f>
        <v>24944.864877920401</v>
      </c>
      <c r="AT62" s="14">
        <f t="shared" ref="AT62" si="295">+AT60-AT61</f>
        <v>26219.875668433117</v>
      </c>
      <c r="AU62" s="14">
        <f t="shared" ref="AU62" si="296">+AU60-AU61</f>
        <v>27681.799249669653</v>
      </c>
      <c r="AV62" s="14">
        <f t="shared" ref="AV62" si="297">+AV60-AV61</f>
        <v>28973.613982840536</v>
      </c>
      <c r="AW62" s="14">
        <f t="shared" ref="AW62" si="298">+AW60-AW61</f>
        <v>29922.789719949797</v>
      </c>
      <c r="AX62" s="14">
        <f t="shared" ref="AX62" si="299">+AX60-AX61</f>
        <v>30895.866596141328</v>
      </c>
      <c r="AY62" s="14">
        <f t="shared" ref="AY62" si="300">+AY60-AY61</f>
        <v>30057.721985851116</v>
      </c>
      <c r="AZ62" s="14">
        <f t="shared" ref="AZ62" si="301">+AZ60-AZ61</f>
        <v>29286.661557408741</v>
      </c>
      <c r="BA62" s="14">
        <f t="shared" ref="BA62" si="302">+BA60-BA61</f>
        <v>28603.838126652357</v>
      </c>
      <c r="BB62" s="14">
        <f t="shared" ref="BB62" si="303">+BB60-BB61</f>
        <v>27896.202158967953</v>
      </c>
      <c r="BC62" s="14">
        <f t="shared" ref="BC62" si="304">+BC60-BC61</f>
        <v>27978.628052535281</v>
      </c>
      <c r="BD62" s="14">
        <f t="shared" ref="BD62" si="305">+BD60-BD61</f>
        <v>25565.330648882005</v>
      </c>
      <c r="BE62" s="11">
        <f t="shared" ref="BE62:CJ62" si="306">+BD62*(1+$BH$71)</f>
        <v>25309.677342393185</v>
      </c>
      <c r="BF62" s="11">
        <f t="shared" si="306"/>
        <v>25056.580568969253</v>
      </c>
      <c r="BG62" s="11">
        <f t="shared" si="306"/>
        <v>24806.01476327956</v>
      </c>
      <c r="BH62" s="11">
        <f t="shared" si="306"/>
        <v>24557.954615646762</v>
      </c>
      <c r="BI62" s="11">
        <f t="shared" si="306"/>
        <v>24312.375069490296</v>
      </c>
      <c r="BJ62" s="11">
        <f t="shared" si="306"/>
        <v>24069.251318795392</v>
      </c>
      <c r="BK62" s="11">
        <f t="shared" si="306"/>
        <v>23828.558805607438</v>
      </c>
      <c r="BL62" s="11">
        <f t="shared" si="306"/>
        <v>23590.273217551363</v>
      </c>
      <c r="BM62" s="11">
        <f t="shared" si="306"/>
        <v>23354.37048537585</v>
      </c>
      <c r="BN62" s="11">
        <f t="shared" si="306"/>
        <v>23120.826780522093</v>
      </c>
      <c r="BO62" s="11">
        <f t="shared" si="306"/>
        <v>22889.618512716872</v>
      </c>
      <c r="BP62" s="11">
        <f t="shared" si="306"/>
        <v>22660.722327589701</v>
      </c>
      <c r="BQ62" s="11">
        <f t="shared" si="306"/>
        <v>22434.115104313805</v>
      </c>
      <c r="BR62" s="11">
        <f t="shared" si="306"/>
        <v>22209.773953270666</v>
      </c>
      <c r="BS62" s="11">
        <f t="shared" si="306"/>
        <v>21987.676213737959</v>
      </c>
      <c r="BT62" s="11">
        <f t="shared" si="306"/>
        <v>21767.799451600578</v>
      </c>
      <c r="BU62" s="11">
        <f t="shared" si="306"/>
        <v>21550.121457084573</v>
      </c>
      <c r="BV62" s="11">
        <f t="shared" si="306"/>
        <v>21334.620242513727</v>
      </c>
      <c r="BW62" s="11">
        <f t="shared" si="306"/>
        <v>21121.274040088589</v>
      </c>
      <c r="BX62" s="11">
        <f t="shared" si="306"/>
        <v>20910.061299687703</v>
      </c>
      <c r="BY62" s="11">
        <f t="shared" si="306"/>
        <v>20700.960686690825</v>
      </c>
      <c r="BZ62" s="11">
        <f t="shared" si="306"/>
        <v>20493.951079823917</v>
      </c>
      <c r="CA62" s="11">
        <f t="shared" si="306"/>
        <v>20289.011569025679</v>
      </c>
      <c r="CB62" s="11">
        <f t="shared" si="306"/>
        <v>20086.121453335421</v>
      </c>
      <c r="CC62" s="11">
        <f t="shared" si="306"/>
        <v>19885.260238802068</v>
      </c>
      <c r="CD62" s="11">
        <f t="shared" si="306"/>
        <v>19686.407636414046</v>
      </c>
      <c r="CE62" s="11">
        <f t="shared" si="306"/>
        <v>19489.543560049904</v>
      </c>
      <c r="CF62" s="11">
        <f t="shared" si="306"/>
        <v>19294.648124449406</v>
      </c>
      <c r="CG62" s="11">
        <f t="shared" si="306"/>
        <v>19101.701643204913</v>
      </c>
      <c r="CH62" s="11">
        <f t="shared" si="306"/>
        <v>18910.684626772865</v>
      </c>
      <c r="CI62" s="11">
        <f t="shared" si="306"/>
        <v>18721.577780505137</v>
      </c>
      <c r="CJ62" s="11">
        <f t="shared" si="306"/>
        <v>18534.362002700083</v>
      </c>
      <c r="CK62" s="11">
        <f t="shared" ref="CK62:DO62" si="307">+CJ62*(1+$BH$71)</f>
        <v>18349.018382673083</v>
      </c>
      <c r="CL62" s="11">
        <f t="shared" si="307"/>
        <v>18165.52819884635</v>
      </c>
      <c r="CM62" s="11">
        <f t="shared" si="307"/>
        <v>17983.872916857887</v>
      </c>
      <c r="CN62" s="11">
        <f t="shared" si="307"/>
        <v>17804.034187689307</v>
      </c>
      <c r="CO62" s="11">
        <f t="shared" si="307"/>
        <v>17625.993845812412</v>
      </c>
      <c r="CP62" s="11">
        <f t="shared" si="307"/>
        <v>17449.73390735429</v>
      </c>
      <c r="CQ62" s="11">
        <f t="shared" si="307"/>
        <v>17275.236568280747</v>
      </c>
      <c r="CR62" s="11">
        <f t="shared" si="307"/>
        <v>17102.484202597938</v>
      </c>
      <c r="CS62" s="11">
        <f t="shared" si="307"/>
        <v>16931.459360571956</v>
      </c>
      <c r="CT62" s="11">
        <f t="shared" si="307"/>
        <v>16762.144766966238</v>
      </c>
      <c r="CU62" s="11">
        <f t="shared" si="307"/>
        <v>16594.523319296575</v>
      </c>
      <c r="CV62" s="11">
        <f t="shared" si="307"/>
        <v>16428.578086103611</v>
      </c>
      <c r="CW62" s="11">
        <f t="shared" si="307"/>
        <v>16264.292305242574</v>
      </c>
      <c r="CX62" s="11">
        <f t="shared" si="307"/>
        <v>16101.649382190148</v>
      </c>
      <c r="CY62" s="11">
        <f t="shared" si="307"/>
        <v>15940.632888368245</v>
      </c>
      <c r="CZ62" s="11">
        <f t="shared" si="307"/>
        <v>15781.226559484563</v>
      </c>
      <c r="DA62" s="11">
        <f t="shared" si="307"/>
        <v>15623.414293889717</v>
      </c>
      <c r="DB62" s="11">
        <f t="shared" si="307"/>
        <v>15467.180150950819</v>
      </c>
      <c r="DC62" s="11">
        <f t="shared" si="307"/>
        <v>15312.50834944131</v>
      </c>
      <c r="DD62" s="11">
        <f t="shared" si="307"/>
        <v>15159.383265946897</v>
      </c>
      <c r="DE62" s="11">
        <f t="shared" si="307"/>
        <v>15007.789433287428</v>
      </c>
      <c r="DF62" s="11">
        <f t="shared" si="307"/>
        <v>14857.711538954552</v>
      </c>
      <c r="DG62" s="11">
        <f t="shared" si="307"/>
        <v>14709.134423565007</v>
      </c>
      <c r="DH62" s="11">
        <f t="shared" si="307"/>
        <v>14562.043079329356</v>
      </c>
      <c r="DI62" s="11">
        <f t="shared" si="307"/>
        <v>14416.422648536063</v>
      </c>
      <c r="DJ62" s="11">
        <f t="shared" si="307"/>
        <v>14272.258422050703</v>
      </c>
      <c r="DK62" s="11">
        <f t="shared" si="307"/>
        <v>14129.535837830195</v>
      </c>
      <c r="DL62" s="11">
        <f t="shared" si="307"/>
        <v>13988.240479451893</v>
      </c>
      <c r="DM62" s="11">
        <f t="shared" si="307"/>
        <v>13848.358074657375</v>
      </c>
      <c r="DN62" s="11">
        <f t="shared" si="307"/>
        <v>13709.874493910802</v>
      </c>
      <c r="DO62" s="11">
        <f t="shared" si="307"/>
        <v>13572.775748971693</v>
      </c>
    </row>
    <row r="63" spans="2:119" x14ac:dyDescent="0.2">
      <c r="B63" t="s">
        <v>57</v>
      </c>
      <c r="C63" s="17"/>
      <c r="D63" s="17"/>
      <c r="E63" s="17"/>
      <c r="F63" s="17"/>
      <c r="G63" s="17"/>
      <c r="H63" s="17"/>
      <c r="I63" s="17"/>
      <c r="J63" s="17"/>
      <c r="K63" s="17">
        <f t="shared" ref="K63:W63" si="308">K62/K64</f>
        <v>1.4090597859382319</v>
      </c>
      <c r="L63" s="17">
        <f t="shared" si="308"/>
        <v>0.65649346008148102</v>
      </c>
      <c r="M63" s="17">
        <f t="shared" si="308"/>
        <v>1.1738405308541215</v>
      </c>
      <c r="N63" s="17">
        <f t="shared" si="308"/>
        <v>0.92538999082374529</v>
      </c>
      <c r="O63" s="17">
        <f t="shared" si="308"/>
        <v>1.2456275360291031</v>
      </c>
      <c r="P63" s="17">
        <f t="shared" si="308"/>
        <v>1.3238852402350501</v>
      </c>
      <c r="Q63" s="17">
        <f t="shared" si="308"/>
        <v>1.0967652367069278</v>
      </c>
      <c r="R63" s="17">
        <f t="shared" si="308"/>
        <v>0.80745125348189417</v>
      </c>
      <c r="S63" s="17">
        <f t="shared" si="308"/>
        <v>1.6506070198629423</v>
      </c>
      <c r="T63" s="17">
        <f t="shared" si="308"/>
        <v>1.5065061582353352</v>
      </c>
      <c r="U63" s="17">
        <f t="shared" si="308"/>
        <v>1.6077226547498515</v>
      </c>
      <c r="V63" s="17">
        <f t="shared" si="308"/>
        <v>1.3661125364636417</v>
      </c>
      <c r="W63" s="17">
        <f t="shared" si="308"/>
        <v>1.5286624203821657</v>
      </c>
      <c r="X63" s="17">
        <f t="shared" ref="X63:Y63" si="309">X62/X64</f>
        <v>1.6059743954480796</v>
      </c>
      <c r="Y63" s="17">
        <f t="shared" si="309"/>
        <v>1.4861783984041039</v>
      </c>
      <c r="Z63" s="17">
        <f>Z62/Z64</f>
        <v>1.4422288017693432</v>
      </c>
      <c r="AA63" s="17">
        <f>AA62/AA64</f>
        <v>1.5783072190026473</v>
      </c>
      <c r="AB63" s="17">
        <f t="shared" ref="AB63:AD63" si="310">AB62/AB64</f>
        <v>1.4816405411208933</v>
      </c>
      <c r="AC63" s="17">
        <f t="shared" si="310"/>
        <v>1.5559704171752711</v>
      </c>
      <c r="AD63" s="17">
        <f t="shared" si="310"/>
        <v>1.1374527177425142</v>
      </c>
      <c r="AE63" s="17">
        <f t="shared" ref="AE63:AH63" si="311">AE62/AE64</f>
        <v>1.6749187448840392</v>
      </c>
      <c r="AF63" s="17">
        <f t="shared" si="311"/>
        <v>1.5460737090830756</v>
      </c>
      <c r="AG63" s="17">
        <f t="shared" si="311"/>
        <v>1.6646575759988507</v>
      </c>
      <c r="AH63" s="17">
        <f t="shared" si="311"/>
        <v>1.2299821095947898</v>
      </c>
      <c r="AL63" s="1">
        <f>AL62/AL64</f>
        <v>4.1612173262298882</v>
      </c>
      <c r="AM63" s="1">
        <f>AM62/AM64</f>
        <v>4.4745762711864403</v>
      </c>
      <c r="AN63" s="1">
        <f>AN62/AN64</f>
        <v>6.1323908015883406</v>
      </c>
      <c r="AO63" s="1">
        <f>AO62/AO64</f>
        <v>6.0633862292750145</v>
      </c>
      <c r="AP63" s="1">
        <f>AP62/AP64</f>
        <v>5.7540091036163608</v>
      </c>
      <c r="AQ63" s="1">
        <f t="shared" ref="AQ63" si="312">AQ62/AQ64</f>
        <v>6.4149514113472605</v>
      </c>
      <c r="AR63" s="1">
        <f t="shared" ref="AR63" si="313">AR62/AR64</f>
        <v>8.6447595425700889</v>
      </c>
      <c r="AS63" s="1">
        <f t="shared" ref="AS63" si="314">AS62/AS64</f>
        <v>8.9404913364827081</v>
      </c>
      <c r="AT63" s="1">
        <f t="shared" ref="AT63" si="315">AT62/AT64</f>
        <v>9.397468072267344</v>
      </c>
      <c r="AU63" s="1">
        <f t="shared" ref="AU63" si="316">AU62/AU64</f>
        <v>9.9214362387260859</v>
      </c>
      <c r="AV63" s="1">
        <f t="shared" ref="AV63" si="317">AV62/AV64</f>
        <v>10.384435677158717</v>
      </c>
      <c r="AW63" s="1">
        <f t="shared" ref="AW63" si="318">AW62/AW64</f>
        <v>10.724629841206335</v>
      </c>
      <c r="AX63" s="1">
        <f t="shared" ref="AX63" si="319">AX62/AX64</f>
        <v>11.073390414731131</v>
      </c>
      <c r="AY63" s="1">
        <f t="shared" ref="AY63" si="320">AY62/AY64</f>
        <v>10.772990927153549</v>
      </c>
      <c r="AZ63" s="1">
        <f t="shared" ref="AZ63" si="321">AZ62/AZ64</f>
        <v>10.496635087419355</v>
      </c>
      <c r="BA63" s="1">
        <f t="shared" ref="BA63" si="322">BA62/BA64</f>
        <v>10.25190427821668</v>
      </c>
      <c r="BB63" s="1">
        <f t="shared" ref="BB63" si="323">BB62/BB64</f>
        <v>9.9982804053503287</v>
      </c>
      <c r="BC63" s="1">
        <f t="shared" ref="BC63" si="324">BC62/BC64</f>
        <v>10.027822677515244</v>
      </c>
      <c r="BD63" s="1">
        <f t="shared" ref="BD63" si="325">BD62/BD64</f>
        <v>9.1628725310497856</v>
      </c>
    </row>
    <row r="64" spans="2:119" s="11" customFormat="1" x14ac:dyDescent="0.2">
      <c r="B64" s="11" t="s">
        <v>1</v>
      </c>
      <c r="C64" s="14"/>
      <c r="D64" s="14"/>
      <c r="E64" s="14"/>
      <c r="F64" s="14"/>
      <c r="G64" s="14"/>
      <c r="H64" s="14"/>
      <c r="I64" s="14"/>
      <c r="J64" s="14"/>
      <c r="K64" s="14">
        <v>2774.9</v>
      </c>
      <c r="L64" s="14">
        <v>2798.2</v>
      </c>
      <c r="M64" s="14">
        <v>2818.1</v>
      </c>
      <c r="N64" s="14">
        <v>2833.4</v>
      </c>
      <c r="O64" s="14">
        <v>2858.8</v>
      </c>
      <c r="P64" s="14">
        <v>2893</v>
      </c>
      <c r="Q64" s="14">
        <v>2881.2</v>
      </c>
      <c r="R64" s="14">
        <v>2872</v>
      </c>
      <c r="S64" s="14">
        <v>2874.7</v>
      </c>
      <c r="T64" s="14">
        <v>2874.2</v>
      </c>
      <c r="U64" s="14">
        <v>2864.3</v>
      </c>
      <c r="V64" s="14">
        <v>2845.3</v>
      </c>
      <c r="W64" s="14">
        <v>2826</v>
      </c>
      <c r="X64" s="14">
        <v>2812</v>
      </c>
      <c r="Y64" s="14">
        <v>2807.2</v>
      </c>
      <c r="Z64" s="14">
        <v>2803.3</v>
      </c>
      <c r="AA64" s="14">
        <v>2795.4</v>
      </c>
      <c r="AB64" s="14">
        <v>2794.2</v>
      </c>
      <c r="AC64" s="14">
        <v>2785.4</v>
      </c>
      <c r="AD64" s="14">
        <f t="shared" ref="AD64" si="326">+AC64</f>
        <v>2785.4</v>
      </c>
      <c r="AE64" s="14">
        <f t="shared" ref="AE64" si="327">+AD64</f>
        <v>2785.4</v>
      </c>
      <c r="AF64" s="14">
        <f t="shared" ref="AF64" si="328">+AE64</f>
        <v>2785.4</v>
      </c>
      <c r="AG64" s="14">
        <f t="shared" ref="AG64" si="329">+AF64</f>
        <v>2785.4</v>
      </c>
      <c r="AH64" s="14">
        <f t="shared" ref="AH64" si="330">+AG64</f>
        <v>2785.4</v>
      </c>
      <c r="AL64" s="11">
        <f>AVERAGE(K64:N64)</f>
        <v>2806.15</v>
      </c>
      <c r="AM64" s="11">
        <f>AVERAGE(O64:R64)</f>
        <v>2876.25</v>
      </c>
      <c r="AN64" s="11">
        <f>AVERAGE(S64:V64)</f>
        <v>2864.625</v>
      </c>
      <c r="AO64" s="11">
        <f>AVERAGE(W64:Z64)</f>
        <v>2812.125</v>
      </c>
      <c r="AP64" s="11">
        <f>AVERAGE(AA64:AD64)</f>
        <v>2790.1</v>
      </c>
      <c r="AQ64" s="11">
        <f>AP64</f>
        <v>2790.1</v>
      </c>
      <c r="AR64" s="11">
        <f t="shared" ref="AR64:BD64" si="331">AQ64</f>
        <v>2790.1</v>
      </c>
      <c r="AS64" s="11">
        <f t="shared" si="331"/>
        <v>2790.1</v>
      </c>
      <c r="AT64" s="11">
        <f t="shared" si="331"/>
        <v>2790.1</v>
      </c>
      <c r="AU64" s="11">
        <f t="shared" si="331"/>
        <v>2790.1</v>
      </c>
      <c r="AV64" s="11">
        <f t="shared" si="331"/>
        <v>2790.1</v>
      </c>
      <c r="AW64" s="11">
        <f t="shared" si="331"/>
        <v>2790.1</v>
      </c>
      <c r="AX64" s="11">
        <f t="shared" si="331"/>
        <v>2790.1</v>
      </c>
      <c r="AY64" s="11">
        <f t="shared" si="331"/>
        <v>2790.1</v>
      </c>
      <c r="AZ64" s="11">
        <f t="shared" si="331"/>
        <v>2790.1</v>
      </c>
      <c r="BA64" s="11">
        <f t="shared" si="331"/>
        <v>2790.1</v>
      </c>
      <c r="BB64" s="11">
        <f t="shared" si="331"/>
        <v>2790.1</v>
      </c>
      <c r="BC64" s="11">
        <f t="shared" si="331"/>
        <v>2790.1</v>
      </c>
      <c r="BD64" s="11">
        <f t="shared" si="331"/>
        <v>2790.1</v>
      </c>
    </row>
    <row r="66" spans="2:60" s="35" customFormat="1" x14ac:dyDescent="0.2">
      <c r="B66" s="35" t="s">
        <v>85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>
        <f t="shared" ref="O66:W66" si="332">O52/K52-1</f>
        <v>8.4639692669929989E-2</v>
      </c>
      <c r="P66" s="34">
        <f t="shared" si="332"/>
        <v>8.5098634294385356E-2</v>
      </c>
      <c r="Q66" s="34">
        <f t="shared" si="332"/>
        <v>3.0670889045273375E-2</v>
      </c>
      <c r="R66" s="34">
        <f t="shared" si="332"/>
        <v>4.5392413714546054E-2</v>
      </c>
      <c r="S66" s="34">
        <f t="shared" si="332"/>
        <v>3.4847186518137674E-2</v>
      </c>
      <c r="T66" s="34">
        <f t="shared" si="332"/>
        <v>9.0507355820327762E-2</v>
      </c>
      <c r="U66" s="34">
        <f t="shared" si="332"/>
        <v>5.0753911806543428E-2</v>
      </c>
      <c r="V66" s="34">
        <f t="shared" si="332"/>
        <v>-5.5025878507218851E-3</v>
      </c>
      <c r="W66" s="34">
        <f t="shared" si="332"/>
        <v>-4.0905327077008002E-2</v>
      </c>
      <c r="X66" s="34">
        <f t="shared" ref="X66" si="333">X52/T52-1</f>
        <v>-8.7612208258527779E-2</v>
      </c>
      <c r="Y66" s="34">
        <f t="shared" ref="Y66" si="334">Y52/U52-1</f>
        <v>-7.3915633291817828E-2</v>
      </c>
      <c r="Z66" s="34">
        <f t="shared" ref="Z66" si="335">Z52/V52-1</f>
        <v>-2.4268653445820076E-2</v>
      </c>
      <c r="AA66" s="34">
        <f>AA52/W52-1</f>
        <v>6.2161851041786509E-3</v>
      </c>
      <c r="AB66" s="34">
        <f t="shared" ref="AB66:AD66" si="336">AB52/X52-1</f>
        <v>3.9073480631922175E-2</v>
      </c>
      <c r="AC66" s="34">
        <f>AC52/Y52-1</f>
        <v>4.1983393755116394E-2</v>
      </c>
      <c r="AD66" s="34">
        <f t="shared" si="336"/>
        <v>-1.3745438212340644E-2</v>
      </c>
      <c r="AE66" s="34">
        <f t="shared" ref="AE66" si="337">AE52/AA52-1</f>
        <v>4.9723258208445031E-3</v>
      </c>
      <c r="AF66" s="34">
        <f t="shared" ref="AF66" si="338">AF52/AB52-1</f>
        <v>-2.8843342820041196E-2</v>
      </c>
      <c r="AG66" s="34">
        <f t="shared" ref="AG66" si="339">AG52/AC52-1</f>
        <v>2.6712774758697044E-3</v>
      </c>
      <c r="AH66" s="34">
        <f t="shared" ref="AH66" si="340">AH52/AD52-1</f>
        <v>3.9494894720308871E-3</v>
      </c>
      <c r="AM66" s="35">
        <f t="shared" ref="AM66" si="341">AM52/AL52-1</f>
        <v>6.0811614899440647E-2</v>
      </c>
      <c r="AN66" s="35">
        <f t="shared" ref="AN66" si="342">AN52/AM52-1</f>
        <v>4.2335090868297121E-2</v>
      </c>
      <c r="AO66" s="35">
        <f t="shared" ref="AO66" si="343">AO52/AN52-1</f>
        <v>-5.7270856035839701E-2</v>
      </c>
      <c r="AP66" s="35">
        <f>AP52/AO52-1</f>
        <v>1.8211890287410659E-2</v>
      </c>
      <c r="AQ66" s="35">
        <f t="shared" ref="AQ66:BD66" si="344">AQ52/AP52-1</f>
        <v>1.9537315813358491E-2</v>
      </c>
      <c r="AR66" s="35">
        <f t="shared" si="344"/>
        <v>-5.7805188267245899E-3</v>
      </c>
      <c r="AS66" s="35">
        <f t="shared" si="344"/>
        <v>3.2151548204126801E-3</v>
      </c>
      <c r="AT66" s="35">
        <f t="shared" si="344"/>
        <v>1.4104463236056741E-2</v>
      </c>
      <c r="AU66" s="35">
        <f t="shared" si="344"/>
        <v>1.8096393239518394E-2</v>
      </c>
      <c r="AV66" s="35">
        <f t="shared" si="344"/>
        <v>1.3303610953874001E-2</v>
      </c>
      <c r="AW66" s="35">
        <f t="shared" si="344"/>
        <v>4.7190220329160759E-3</v>
      </c>
      <c r="AX66" s="35">
        <f t="shared" si="344"/>
        <v>5.0343593196855441E-3</v>
      </c>
      <c r="AY66" s="35">
        <f t="shared" si="344"/>
        <v>-3.7419533447013209E-2</v>
      </c>
      <c r="AZ66" s="35">
        <f t="shared" si="344"/>
        <v>-3.6793511536147183E-2</v>
      </c>
      <c r="BA66" s="35">
        <f t="shared" si="344"/>
        <v>-3.5537040855366242E-2</v>
      </c>
      <c r="BB66" s="35">
        <f t="shared" si="344"/>
        <v>-3.7071289018268838E-2</v>
      </c>
      <c r="BC66" s="35">
        <f t="shared" si="344"/>
        <v>-1.6676779317780333E-2</v>
      </c>
      <c r="BD66" s="35">
        <f t="shared" si="344"/>
        <v>-8.5526597119768732E-2</v>
      </c>
      <c r="BG66" s="36" t="s">
        <v>126</v>
      </c>
      <c r="BH66" s="36">
        <v>0.02</v>
      </c>
    </row>
    <row r="67" spans="2:60" s="35" customFormat="1" x14ac:dyDescent="0.2">
      <c r="B67" s="35" t="s">
        <v>184</v>
      </c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>
        <v>-1E-3</v>
      </c>
      <c r="AD67" s="34"/>
      <c r="AE67" s="34"/>
      <c r="AF67" s="34"/>
      <c r="AG67" s="34"/>
      <c r="AH67" s="34"/>
      <c r="BG67" s="36"/>
      <c r="BH67" s="36"/>
    </row>
    <row r="68" spans="2:60" x14ac:dyDescent="0.2">
      <c r="B68" s="11" t="s">
        <v>7</v>
      </c>
      <c r="O68" s="18">
        <f t="shared" ref="O68:AD68" si="345">O3/K3-1</f>
        <v>5.1939513477974986E-2</v>
      </c>
      <c r="P68" s="18">
        <f t="shared" si="345"/>
        <v>9.7833223900196886E-2</v>
      </c>
      <c r="Q68" s="18">
        <f t="shared" si="345"/>
        <v>6.1596480201131287E-2</v>
      </c>
      <c r="R68" s="18">
        <f t="shared" si="345"/>
        <v>0.13829787234042556</v>
      </c>
      <c r="S68" s="18">
        <f t="shared" si="345"/>
        <v>6.2500000000000888E-3</v>
      </c>
      <c r="T68" s="18">
        <f t="shared" si="345"/>
        <v>7.8947368421052655E-2</v>
      </c>
      <c r="U68" s="18">
        <f t="shared" si="345"/>
        <v>5.5062166962699832E-2</v>
      </c>
      <c r="V68" s="18">
        <f t="shared" si="345"/>
        <v>-2.3364485981308358E-2</v>
      </c>
      <c r="W68" s="18">
        <f t="shared" si="345"/>
        <v>-6.2111801242236142E-3</v>
      </c>
      <c r="X68" s="18">
        <f t="shared" si="345"/>
        <v>-7.5388026607538849E-2</v>
      </c>
      <c r="Y68" s="18">
        <f t="shared" si="345"/>
        <v>-9.4837261503928127E-2</v>
      </c>
      <c r="Z68" s="18">
        <f t="shared" si="345"/>
        <v>4.7846889952152249E-3</v>
      </c>
      <c r="AA68" s="18">
        <f t="shared" si="345"/>
        <v>0.11187499999999995</v>
      </c>
      <c r="AB68" s="18">
        <f t="shared" si="345"/>
        <v>6.714628297362113E-2</v>
      </c>
      <c r="AC68" s="18">
        <f t="shared" si="345"/>
        <v>0.10539367637941721</v>
      </c>
      <c r="AD68" s="18">
        <f t="shared" si="345"/>
        <v>1.0000000000000009E-2</v>
      </c>
      <c r="AE68" s="18">
        <f t="shared" ref="AE68" si="346">AE3/AA3-1</f>
        <v>1.0000000000000009E-2</v>
      </c>
      <c r="AF68" s="18">
        <f t="shared" ref="AF68" si="347">AF3/AB3-1</f>
        <v>1.0000000000000009E-2</v>
      </c>
      <c r="AG68" s="18">
        <f t="shared" ref="AG68" si="348">AG3/AC3-1</f>
        <v>1.0000000000000009E-2</v>
      </c>
      <c r="AH68" s="18">
        <f t="shared" ref="AH68" si="349">AH3/AD3-1</f>
        <v>1.0000000000000009E-2</v>
      </c>
      <c r="AM68" s="21">
        <f t="shared" ref="AM68" si="350">AM3/AL3-1</f>
        <v>8.6984850952923853E-2</v>
      </c>
      <c r="AN68" s="21">
        <f t="shared" ref="AN68" si="351">AN3/AM3-1</f>
        <v>2.9222238873070516E-2</v>
      </c>
      <c r="AO68" s="21">
        <f t="shared" ref="AO68:BD68" si="352">AO3/AN3-1</f>
        <v>-4.4700058241118223E-2</v>
      </c>
      <c r="AP68" s="21">
        <f t="shared" si="352"/>
        <v>7.2824264593811971E-2</v>
      </c>
      <c r="AQ68" s="21">
        <f t="shared" si="352"/>
        <v>-5.0000000000000044E-2</v>
      </c>
      <c r="AR68" s="21">
        <f t="shared" si="352"/>
        <v>-9.9999999999999978E-2</v>
      </c>
      <c r="AS68" s="21">
        <f t="shared" si="352"/>
        <v>-9.9999999999999978E-2</v>
      </c>
      <c r="AT68" s="21">
        <f t="shared" si="352"/>
        <v>-9.9999999999999978E-2</v>
      </c>
      <c r="AU68" s="21">
        <f t="shared" si="352"/>
        <v>-9.9999999999999978E-2</v>
      </c>
      <c r="AV68" s="21">
        <f t="shared" si="352"/>
        <v>-9.9999999999999978E-2</v>
      </c>
      <c r="AW68" s="21">
        <f t="shared" si="352"/>
        <v>-9.9999999999999978E-2</v>
      </c>
      <c r="AX68" s="21">
        <f t="shared" si="352"/>
        <v>-9.9999999999999978E-2</v>
      </c>
      <c r="AY68" s="21">
        <f t="shared" si="352"/>
        <v>-9.9999999999999867E-2</v>
      </c>
      <c r="AZ68" s="21">
        <f t="shared" si="352"/>
        <v>-9.9999999999999978E-2</v>
      </c>
      <c r="BA68" s="21">
        <f t="shared" si="352"/>
        <v>-9.9999999999999978E-2</v>
      </c>
      <c r="BB68" s="21">
        <f t="shared" si="352"/>
        <v>-9.9999999999999867E-2</v>
      </c>
      <c r="BC68" s="21">
        <f t="shared" si="352"/>
        <v>-9.9999999999999978E-2</v>
      </c>
      <c r="BD68" s="21">
        <f t="shared" si="352"/>
        <v>-9.9999999999999978E-2</v>
      </c>
      <c r="BG68" s="11" t="s">
        <v>125</v>
      </c>
      <c r="BH68" s="21">
        <v>0.06</v>
      </c>
    </row>
    <row r="69" spans="2:60" x14ac:dyDescent="0.2">
      <c r="B69" s="11" t="s">
        <v>29</v>
      </c>
      <c r="O69" s="18">
        <f>O5/K5-1</f>
        <v>0.56561085972850678</v>
      </c>
      <c r="P69" s="18">
        <f>P5/L5-1</f>
        <v>0.49596774193548376</v>
      </c>
      <c r="Q69" s="18">
        <f>Q5/M5-1</f>
        <v>0.28919860627177707</v>
      </c>
      <c r="R69" s="18">
        <f>R5/N5-1</f>
        <v>0.55018587360594795</v>
      </c>
      <c r="S69" s="18">
        <f>S5/O5-1</f>
        <v>0.31791907514450868</v>
      </c>
      <c r="T69" s="18">
        <f>T5/P5-1</f>
        <v>0.42318059299191368</v>
      </c>
      <c r="U69" s="18">
        <f>U5/Q5-1</f>
        <v>0.46756756756756768</v>
      </c>
      <c r="V69" s="18">
        <f>V5/R5-1</f>
        <v>0.30695443645083942</v>
      </c>
      <c r="W69" s="18">
        <f>W5/S5-1</f>
        <v>0.20394736842105265</v>
      </c>
      <c r="X69" s="18">
        <f t="shared" ref="X69:AA69" si="353">X5/T5-1</f>
        <v>7.9545454545454586E-2</v>
      </c>
      <c r="Y69" s="18">
        <f t="shared" si="353"/>
        <v>0.1289134438305708</v>
      </c>
      <c r="Z69" s="18">
        <f t="shared" si="353"/>
        <v>0.36146788990825685</v>
      </c>
      <c r="AA69" s="18">
        <f t="shared" si="353"/>
        <v>0.33879781420765021</v>
      </c>
      <c r="AB69" s="18">
        <f>AB5/X5-1</f>
        <v>0.41052631578947363</v>
      </c>
      <c r="AC69" s="18">
        <f t="shared" ref="AC69:AH69" si="354">AC5/Y5-1</f>
        <v>0.32789559543230018</v>
      </c>
      <c r="AD69" s="18">
        <f t="shared" si="354"/>
        <v>0.11725067385444743</v>
      </c>
      <c r="AE69" s="18">
        <f t="shared" si="354"/>
        <v>0.14829931972789123</v>
      </c>
      <c r="AF69" s="18">
        <f t="shared" si="354"/>
        <v>6.840796019900508E-2</v>
      </c>
      <c r="AG69" s="18">
        <f t="shared" si="354"/>
        <v>7.3710073710073765E-2</v>
      </c>
      <c r="AH69" s="18">
        <f t="shared" si="354"/>
        <v>7.2376357056694873E-2</v>
      </c>
      <c r="AM69" s="21">
        <f t="shared" ref="AM69" si="355">AM5/AL5-1</f>
        <v>0.46731707317073168</v>
      </c>
      <c r="AN69" s="21">
        <f t="shared" ref="AN69" si="356">AN5/AM5-1</f>
        <v>0.37765957446808507</v>
      </c>
      <c r="AO69" s="21">
        <f t="shared" ref="AO69" si="357">AO5/AN5-1</f>
        <v>0.19401544401544402</v>
      </c>
      <c r="AP69" s="21">
        <f>AP5/AO5-1</f>
        <v>0.28617623282134197</v>
      </c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G69" s="11"/>
      <c r="BH69" s="21"/>
    </row>
    <row r="70" spans="2:60" x14ac:dyDescent="0.2">
      <c r="B70" s="11" t="s">
        <v>39</v>
      </c>
      <c r="O70" s="18">
        <f>O6/K6-1</f>
        <v>4.8518518518518521</v>
      </c>
      <c r="P70" s="18">
        <f>P6/L6-1</f>
        <v>2.8571428571428572</v>
      </c>
      <c r="Q70" s="18">
        <f>Q6/M6-1</f>
        <v>2.6176470588235294</v>
      </c>
      <c r="R70" s="18">
        <f>R6/N6-1</f>
        <v>1.8526315789473684</v>
      </c>
      <c r="S70" s="18">
        <f>S6/O6-1</f>
        <v>1.018987341772152</v>
      </c>
      <c r="T70" s="18">
        <f>T6/P6-1</f>
        <v>0.91005291005291</v>
      </c>
      <c r="U70" s="18">
        <f>U6/Q6-1</f>
        <v>0.68292682926829262</v>
      </c>
      <c r="V70" s="18">
        <f>V6/R6-1</f>
        <v>0.5793357933579335</v>
      </c>
      <c r="W70" s="18">
        <f>W6/S6-1</f>
        <v>0.38244514106583072</v>
      </c>
      <c r="X70" s="18">
        <f t="shared" ref="X70:AA70" si="358">X6/T6-1</f>
        <v>0.30747922437673125</v>
      </c>
      <c r="Y70" s="18">
        <f t="shared" si="358"/>
        <v>0.11352657004830924</v>
      </c>
      <c r="Z70" s="18">
        <f t="shared" si="358"/>
        <v>0.15420560747663559</v>
      </c>
      <c r="AA70" s="18">
        <f t="shared" si="358"/>
        <v>0.28571428571428581</v>
      </c>
      <c r="AB70" s="18">
        <f>AB6/X6-1</f>
        <v>0.25847457627118642</v>
      </c>
      <c r="AC70" s="18">
        <f t="shared" ref="AC70:AH70" si="359">AC6/Y6-1</f>
        <v>0.14750542299349245</v>
      </c>
      <c r="AD70" s="18">
        <f t="shared" si="359"/>
        <v>0.12145748987854255</v>
      </c>
      <c r="AE70" s="18">
        <f t="shared" si="359"/>
        <v>3.5273368606703048E-3</v>
      </c>
      <c r="AF70" s="18">
        <f t="shared" si="359"/>
        <v>-1.6835016835016869E-2</v>
      </c>
      <c r="AG70" s="18">
        <f t="shared" si="359"/>
        <v>0.13232514177693755</v>
      </c>
      <c r="AH70" s="18">
        <f t="shared" si="359"/>
        <v>0.10830324909747291</v>
      </c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G70" s="11"/>
      <c r="BH70" s="21"/>
    </row>
    <row r="71" spans="2:60" x14ac:dyDescent="0.2">
      <c r="B71" s="11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G71" t="s">
        <v>127</v>
      </c>
      <c r="BH71" s="21">
        <v>-0.01</v>
      </c>
    </row>
    <row r="72" spans="2:60" x14ac:dyDescent="0.2">
      <c r="B72" s="11" t="s">
        <v>86</v>
      </c>
      <c r="C72" s="18"/>
      <c r="D72" s="18"/>
      <c r="E72" s="18"/>
      <c r="F72" s="18"/>
      <c r="G72" s="18"/>
      <c r="H72" s="18"/>
      <c r="I72" s="18"/>
      <c r="J72" s="18"/>
      <c r="K72" s="18">
        <f t="shared" ref="K72:L72" si="360">K54/K52</f>
        <v>0.69545820682818016</v>
      </c>
      <c r="L72" s="18">
        <f t="shared" si="360"/>
        <v>0.68783004552352045</v>
      </c>
      <c r="M72" s="18">
        <f t="shared" ref="M72:R72" si="361">M54/M52</f>
        <v>0.67176870748299322</v>
      </c>
      <c r="N72" s="18">
        <f t="shared" si="361"/>
        <v>0.65810456771841896</v>
      </c>
      <c r="O72" s="18">
        <f t="shared" si="361"/>
        <v>0.68271922307912025</v>
      </c>
      <c r="P72" s="18">
        <f t="shared" si="361"/>
        <v>0.69295743133635401</v>
      </c>
      <c r="Q72" s="18">
        <f t="shared" si="361"/>
        <v>0.69593172119487912</v>
      </c>
      <c r="R72" s="18">
        <f t="shared" si="361"/>
        <v>0.67556524107872518</v>
      </c>
      <c r="S72" s="18">
        <f t="shared" ref="S72" si="362">S54/S52</f>
        <v>0.69886834115373997</v>
      </c>
      <c r="T72" s="18">
        <f t="shared" ref="T72:U72" si="363">T54/T52</f>
        <v>0.69022826365734802</v>
      </c>
      <c r="U72" s="18">
        <f t="shared" si="363"/>
        <v>0.7302214761466399</v>
      </c>
      <c r="V72" s="18">
        <f>V54/V52</f>
        <v>0.69968226142215406</v>
      </c>
      <c r="W72" s="18">
        <f t="shared" ref="W72" si="364">W54/W52</f>
        <v>0.6959825025900771</v>
      </c>
      <c r="X72" s="18">
        <f t="shared" ref="X72:Y72" si="365">X54/X52</f>
        <v>0.69882498453927022</v>
      </c>
      <c r="Y72" s="18">
        <f t="shared" si="365"/>
        <v>0.73190270143842828</v>
      </c>
      <c r="Z72" s="18">
        <f t="shared" ref="Z72:AA72" si="366">Z54/Z52</f>
        <v>0.69838863623603387</v>
      </c>
      <c r="AA72" s="18">
        <f t="shared" si="366"/>
        <v>0.69517217709644208</v>
      </c>
      <c r="AB72" s="18">
        <f t="shared" ref="AB72:AD72" si="367">AB54/AB52</f>
        <v>0.71128665728817231</v>
      </c>
      <c r="AC72" s="18">
        <f t="shared" si="367"/>
        <v>0.69214365881032547</v>
      </c>
      <c r="AD72" s="18">
        <f t="shared" si="367"/>
        <v>0.7</v>
      </c>
      <c r="AE72" s="18">
        <f t="shared" ref="AE72:AH72" si="368">AE54/AE52</f>
        <v>0.7</v>
      </c>
      <c r="AF72" s="18">
        <f t="shared" si="368"/>
        <v>0.7</v>
      </c>
      <c r="AG72" s="18">
        <f t="shared" si="368"/>
        <v>0.7</v>
      </c>
      <c r="AH72" s="18">
        <f t="shared" si="368"/>
        <v>0.7</v>
      </c>
      <c r="AM72" s="18">
        <f t="shared" ref="AM72" si="369">AM54/AM52</f>
        <v>0.68670069553511326</v>
      </c>
      <c r="AN72" s="18">
        <f t="shared" ref="AN72:BD72" si="370">AN54/AN52</f>
        <v>0.70459162395232133</v>
      </c>
      <c r="AO72" s="18">
        <f t="shared" si="370"/>
        <v>0.70608214173587924</v>
      </c>
      <c r="AP72" s="18">
        <f t="shared" si="370"/>
        <v>0.69977855697070424</v>
      </c>
      <c r="AQ72" s="18">
        <f t="shared" si="370"/>
        <v>0.7</v>
      </c>
      <c r="AR72" s="18">
        <f t="shared" si="370"/>
        <v>0.7</v>
      </c>
      <c r="AS72" s="18">
        <f t="shared" si="370"/>
        <v>0.7</v>
      </c>
      <c r="AT72" s="18">
        <f t="shared" si="370"/>
        <v>0.7</v>
      </c>
      <c r="AU72" s="18">
        <f t="shared" si="370"/>
        <v>0.7</v>
      </c>
      <c r="AV72" s="18">
        <f t="shared" si="370"/>
        <v>0.7</v>
      </c>
      <c r="AW72" s="18">
        <f t="shared" si="370"/>
        <v>0.7</v>
      </c>
      <c r="AX72" s="18">
        <f t="shared" si="370"/>
        <v>0.7</v>
      </c>
      <c r="AY72" s="18">
        <f t="shared" si="370"/>
        <v>0.7</v>
      </c>
      <c r="AZ72" s="18">
        <f t="shared" si="370"/>
        <v>0.7</v>
      </c>
      <c r="BA72" s="18">
        <f t="shared" si="370"/>
        <v>0.7</v>
      </c>
      <c r="BB72" s="18">
        <f t="shared" si="370"/>
        <v>0.7</v>
      </c>
      <c r="BC72" s="18">
        <f t="shared" si="370"/>
        <v>0.7</v>
      </c>
      <c r="BD72" s="18">
        <f t="shared" si="370"/>
        <v>0.7</v>
      </c>
      <c r="BG72" s="23" t="s">
        <v>128</v>
      </c>
      <c r="BH72" s="22">
        <f>NPV(BH68,AQ62:DO62)+AD75</f>
        <v>429565.033385847</v>
      </c>
    </row>
    <row r="73" spans="2:60" x14ac:dyDescent="0.2">
      <c r="B73" s="11" t="s">
        <v>90</v>
      </c>
      <c r="C73" s="18"/>
      <c r="D73" s="18"/>
      <c r="E73" s="18"/>
      <c r="F73" s="18"/>
      <c r="G73" s="18"/>
      <c r="H73" s="18"/>
      <c r="I73" s="18"/>
      <c r="J73" s="18"/>
      <c r="K73" s="18">
        <f t="shared" ref="K73:L73" si="371">K61/K60</f>
        <v>0.22497522299306244</v>
      </c>
      <c r="L73" s="18">
        <f t="shared" si="371"/>
        <v>0.2544642857142857</v>
      </c>
      <c r="M73" s="18">
        <f t="shared" ref="M73:R73" si="372">M61/M60</f>
        <v>0.22601778193729527</v>
      </c>
      <c r="N73" s="18">
        <f t="shared" si="372"/>
        <v>0.16893819334389856</v>
      </c>
      <c r="O73" s="18">
        <f t="shared" si="372"/>
        <v>0.17664739884393063</v>
      </c>
      <c r="P73" s="18">
        <f t="shared" si="372"/>
        <v>0.20041753653444677</v>
      </c>
      <c r="Q73" s="18">
        <f t="shared" si="372"/>
        <v>0.17815344603381014</v>
      </c>
      <c r="R73" s="18">
        <f t="shared" si="372"/>
        <v>0.24902849740932642</v>
      </c>
      <c r="S73" s="18">
        <f t="shared" ref="S73" si="373">S61/S60</f>
        <v>0.12807791253215731</v>
      </c>
      <c r="T73" s="18">
        <f>T61/T60</f>
        <v>0.23090586145648312</v>
      </c>
      <c r="U73" s="18">
        <f t="shared" ref="U73:AD73" si="374">U61/U60</f>
        <v>0.19647530971907171</v>
      </c>
      <c r="V73" s="18">
        <f t="shared" si="374"/>
        <v>9.5204841713221605E-2</v>
      </c>
      <c r="W73" s="18">
        <f t="shared" si="374"/>
        <v>0.22511210762331837</v>
      </c>
      <c r="X73" s="18">
        <f t="shared" si="374"/>
        <v>0.21337746037275737</v>
      </c>
      <c r="Y73" s="18">
        <f t="shared" si="374"/>
        <v>0.1995395241749808</v>
      </c>
      <c r="Z73" s="18">
        <f t="shared" si="374"/>
        <v>0.17708121310808062</v>
      </c>
      <c r="AA73" s="18">
        <f t="shared" si="374"/>
        <v>0.18507572958995197</v>
      </c>
      <c r="AB73" s="18">
        <f t="shared" si="374"/>
        <v>0.17971071923915197</v>
      </c>
      <c r="AC73" s="18">
        <f t="shared" si="374"/>
        <v>0.18884521804229834</v>
      </c>
      <c r="AD73" s="18">
        <f t="shared" si="374"/>
        <v>0.2</v>
      </c>
      <c r="AE73" s="18">
        <f t="shared" ref="AE73:AH73" si="375">AE61/AE60</f>
        <v>0.2</v>
      </c>
      <c r="AF73" s="18">
        <f t="shared" si="375"/>
        <v>0.2</v>
      </c>
      <c r="AG73" s="18">
        <f t="shared" si="375"/>
        <v>0.19999999999999998</v>
      </c>
      <c r="AH73" s="18">
        <f t="shared" si="375"/>
        <v>0.2</v>
      </c>
      <c r="AM73" s="18">
        <f t="shared" ref="AM73" si="376">AM61/AM60</f>
        <v>0.1980309072781655</v>
      </c>
      <c r="AN73" s="18">
        <f t="shared" ref="AN73:BD73" si="377">AN61/AN60</f>
        <v>0.16740129863974595</v>
      </c>
      <c r="AO73" s="18">
        <f t="shared" si="377"/>
        <v>0.2047479128771979</v>
      </c>
      <c r="AP73" s="18">
        <f t="shared" si="377"/>
        <v>0.18771524007446541</v>
      </c>
      <c r="AQ73" s="18">
        <f t="shared" si="377"/>
        <v>0.2</v>
      </c>
      <c r="AR73" s="18">
        <f t="shared" si="377"/>
        <v>0.2</v>
      </c>
      <c r="AS73" s="18">
        <f t="shared" si="377"/>
        <v>0.2</v>
      </c>
      <c r="AT73" s="18">
        <f t="shared" si="377"/>
        <v>0.2</v>
      </c>
      <c r="AU73" s="18">
        <f t="shared" si="377"/>
        <v>0.2</v>
      </c>
      <c r="AV73" s="18">
        <f t="shared" si="377"/>
        <v>0.2</v>
      </c>
      <c r="AW73" s="18">
        <f t="shared" si="377"/>
        <v>0.2</v>
      </c>
      <c r="AX73" s="18">
        <f t="shared" si="377"/>
        <v>0.2</v>
      </c>
      <c r="AY73" s="18">
        <f t="shared" si="377"/>
        <v>0.2</v>
      </c>
      <c r="AZ73" s="18">
        <f t="shared" si="377"/>
        <v>0.2</v>
      </c>
      <c r="BA73" s="18">
        <f t="shared" si="377"/>
        <v>0.2</v>
      </c>
      <c r="BB73" s="18">
        <f t="shared" si="377"/>
        <v>0.2</v>
      </c>
      <c r="BC73" s="18">
        <f t="shared" si="377"/>
        <v>0.2</v>
      </c>
      <c r="BD73" s="18">
        <f t="shared" si="377"/>
        <v>0.2</v>
      </c>
      <c r="BG73" s="23" t="s">
        <v>129</v>
      </c>
      <c r="BH73">
        <f>BH72/Main!L3</f>
        <v>153.74553807653794</v>
      </c>
    </row>
    <row r="74" spans="2:60" x14ac:dyDescent="0.2">
      <c r="B74" s="11"/>
      <c r="Z74" s="18"/>
      <c r="AA74" s="18"/>
      <c r="BG74" s="23" t="s">
        <v>130</v>
      </c>
      <c r="BH74" s="1">
        <f>Main!L2</f>
        <v>114.59</v>
      </c>
    </row>
    <row r="75" spans="2:60" x14ac:dyDescent="0.2">
      <c r="B75" t="s">
        <v>84</v>
      </c>
      <c r="Z75" s="14">
        <f>Z76-Z86</f>
        <v>18515</v>
      </c>
      <c r="AA75" s="14">
        <f>AA76-AA86</f>
        <v>16506</v>
      </c>
      <c r="AB75" s="14">
        <f>AB76-AB86</f>
        <v>16341</v>
      </c>
      <c r="AC75" s="14">
        <f t="shared" ref="AC75:AD75" si="378">+AB75+AC62</f>
        <v>20675</v>
      </c>
      <c r="AD75" s="14">
        <f t="shared" si="378"/>
        <v>23843.2608</v>
      </c>
      <c r="AE75" s="14"/>
      <c r="AF75" s="14"/>
      <c r="AG75" s="14"/>
      <c r="AH75" s="14"/>
      <c r="AP75" s="11">
        <f>+AD75</f>
        <v>23843.2608</v>
      </c>
      <c r="AQ75" s="11">
        <f>+AP75+AQ62</f>
        <v>41741.616732799986</v>
      </c>
      <c r="AR75" s="11">
        <f t="shared" ref="AR75:BD75" si="379">+AQ75+AR62</f>
        <v>65861.360332524782</v>
      </c>
      <c r="AS75" s="11">
        <f t="shared" si="379"/>
        <v>90806.225210445176</v>
      </c>
      <c r="AT75" s="11">
        <f t="shared" si="379"/>
        <v>117026.10087887829</v>
      </c>
      <c r="AU75" s="11">
        <f t="shared" si="379"/>
        <v>144707.90012854795</v>
      </c>
      <c r="AV75" s="11">
        <f t="shared" si="379"/>
        <v>173681.51411138847</v>
      </c>
      <c r="AW75" s="11">
        <f t="shared" si="379"/>
        <v>203604.30383133827</v>
      </c>
      <c r="AX75" s="11">
        <f t="shared" si="379"/>
        <v>234500.17042747961</v>
      </c>
      <c r="AY75" s="11">
        <f t="shared" si="379"/>
        <v>264557.89241333073</v>
      </c>
      <c r="AZ75" s="11">
        <f t="shared" si="379"/>
        <v>293844.55397073948</v>
      </c>
      <c r="BA75" s="11">
        <f t="shared" si="379"/>
        <v>322448.39209739183</v>
      </c>
      <c r="BB75" s="11">
        <f t="shared" si="379"/>
        <v>350344.59425635979</v>
      </c>
      <c r="BC75" s="11">
        <f t="shared" si="379"/>
        <v>378323.22230889509</v>
      </c>
      <c r="BD75" s="11">
        <f t="shared" si="379"/>
        <v>403888.55295777711</v>
      </c>
      <c r="BG75" s="11" t="s">
        <v>131</v>
      </c>
      <c r="BH75" s="21">
        <f>BH73/BH74-1</f>
        <v>0.3417011787812021</v>
      </c>
    </row>
    <row r="76" spans="2:60" s="11" customFormat="1" x14ac:dyDescent="0.2">
      <c r="B76" s="11" t="s">
        <v>3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>
        <f>13732+24644</f>
        <v>38376</v>
      </c>
      <c r="AA76" s="14">
        <f>13861+25994</f>
        <v>39855</v>
      </c>
      <c r="AB76" s="14">
        <f>18640+23944</f>
        <v>42584</v>
      </c>
      <c r="AC76" s="14"/>
      <c r="AD76" s="14"/>
      <c r="AE76" s="14"/>
      <c r="AF76" s="14"/>
      <c r="AG76" s="14"/>
      <c r="AH76" s="14"/>
    </row>
    <row r="77" spans="2:60" s="11" customFormat="1" x14ac:dyDescent="0.2">
      <c r="B77" s="11" t="s">
        <v>68</v>
      </c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>
        <v>10734</v>
      </c>
      <c r="AA77" s="14">
        <v>11406</v>
      </c>
      <c r="AB77" s="14">
        <v>12062</v>
      </c>
      <c r="AC77" s="14"/>
      <c r="AD77" s="14"/>
      <c r="AE77" s="14"/>
      <c r="AF77" s="14"/>
      <c r="AG77" s="14"/>
      <c r="AH77" s="14"/>
    </row>
    <row r="78" spans="2:60" s="11" customFormat="1" x14ac:dyDescent="0.2">
      <c r="B78" s="11" t="s">
        <v>69</v>
      </c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>
        <v>8053</v>
      </c>
      <c r="AA78" s="14">
        <v>8170</v>
      </c>
      <c r="AB78" s="14">
        <v>8523</v>
      </c>
      <c r="AC78" s="14"/>
      <c r="AD78" s="14"/>
      <c r="AE78" s="14"/>
      <c r="AF78" s="14"/>
      <c r="AG78" s="14"/>
      <c r="AH78" s="14"/>
    </row>
    <row r="79" spans="2:60" s="11" customFormat="1" x14ac:dyDescent="0.2">
      <c r="B79" s="11" t="s">
        <v>70</v>
      </c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>
        <v>3047</v>
      </c>
      <c r="AA79" s="14">
        <v>3307</v>
      </c>
      <c r="AB79" s="14">
        <v>3122</v>
      </c>
      <c r="AC79" s="14"/>
      <c r="AD79" s="14"/>
      <c r="AE79" s="14"/>
      <c r="AF79" s="14"/>
      <c r="AG79" s="14"/>
      <c r="AH79" s="14"/>
    </row>
    <row r="80" spans="2:60" s="11" customFormat="1" x14ac:dyDescent="0.2">
      <c r="B80" s="11" t="s">
        <v>71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>
        <v>15905</v>
      </c>
      <c r="AA80" s="14">
        <v>15964</v>
      </c>
      <c r="AB80" s="14">
        <v>15972</v>
      </c>
      <c r="AC80" s="14"/>
      <c r="AD80" s="14"/>
      <c r="AE80" s="14"/>
      <c r="AF80" s="14"/>
      <c r="AG80" s="14"/>
      <c r="AH80" s="14"/>
    </row>
    <row r="81" spans="2:34" s="11" customFormat="1" x14ac:dyDescent="0.2">
      <c r="B81" s="11" t="s">
        <v>72</v>
      </c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>
        <f>25764+21629</f>
        <v>47393</v>
      </c>
      <c r="AA81" s="14">
        <f>25840+21848</f>
        <v>47688</v>
      </c>
      <c r="AB81" s="14">
        <f>25694+22104</f>
        <v>47798</v>
      </c>
      <c r="AC81" s="14"/>
      <c r="AD81" s="14"/>
      <c r="AE81" s="14"/>
      <c r="AF81" s="14"/>
      <c r="AG81" s="14"/>
      <c r="AH81" s="14"/>
    </row>
    <row r="82" spans="2:34" s="11" customFormat="1" x14ac:dyDescent="0.2">
      <c r="B82" s="11" t="s">
        <v>73</v>
      </c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>
        <v>5490</v>
      </c>
      <c r="AA82" s="14">
        <v>5678</v>
      </c>
      <c r="AB82" s="14">
        <v>5776</v>
      </c>
      <c r="AC82" s="14"/>
      <c r="AD82" s="14"/>
      <c r="AE82" s="14"/>
      <c r="AF82" s="14"/>
      <c r="AG82" s="14"/>
      <c r="AH82" s="14"/>
    </row>
    <row r="83" spans="2:34" s="11" customFormat="1" x14ac:dyDescent="0.2">
      <c r="B83" s="11" t="s">
        <v>74</v>
      </c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>
        <v>4413</v>
      </c>
      <c r="AA83" s="14">
        <v>4163</v>
      </c>
      <c r="AB83" s="14">
        <v>3977</v>
      </c>
      <c r="AC83" s="14"/>
      <c r="AD83" s="14"/>
      <c r="AE83" s="14"/>
      <c r="AF83" s="14"/>
      <c r="AG83" s="14"/>
      <c r="AH83" s="14"/>
    </row>
    <row r="84" spans="2:34" s="11" customFormat="1" x14ac:dyDescent="0.2">
      <c r="B84" s="11" t="s">
        <v>75</v>
      </c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>
        <f>SUM(Z76:Z83)</f>
        <v>133411</v>
      </c>
      <c r="AA84" s="14">
        <f>SUM(AA76:AA83)</f>
        <v>136231</v>
      </c>
      <c r="AB84" s="14">
        <f>SUM(AB76:AB83)</f>
        <v>139814</v>
      </c>
      <c r="AC84" s="14"/>
      <c r="AD84" s="14"/>
      <c r="AE84" s="14"/>
      <c r="AF84" s="14"/>
      <c r="AG84" s="14"/>
      <c r="AH84" s="14"/>
    </row>
    <row r="85" spans="2:34" s="11" customFormat="1" x14ac:dyDescent="0.2"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</row>
    <row r="86" spans="2:34" s="11" customFormat="1" x14ac:dyDescent="0.2">
      <c r="B86" s="11" t="s">
        <v>4</v>
      </c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>
        <f>7004+12857</f>
        <v>19861</v>
      </c>
      <c r="AA86" s="14">
        <f>3116+20233</f>
        <v>23349</v>
      </c>
      <c r="AB86" s="14">
        <f>24535+1708</f>
        <v>26243</v>
      </c>
      <c r="AC86" s="14"/>
      <c r="AD86" s="14"/>
      <c r="AE86" s="14"/>
      <c r="AF86" s="14"/>
      <c r="AG86" s="14"/>
      <c r="AH86" s="14"/>
    </row>
    <row r="87" spans="2:34" s="11" customFormat="1" x14ac:dyDescent="0.2">
      <c r="B87" s="11" t="s">
        <v>76</v>
      </c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>
        <v>6668</v>
      </c>
      <c r="AA87" s="14">
        <v>5965</v>
      </c>
      <c r="AB87" s="14">
        <v>6061</v>
      </c>
      <c r="AC87" s="14"/>
      <c r="AD87" s="14"/>
      <c r="AE87" s="14"/>
      <c r="AF87" s="14"/>
      <c r="AG87" s="14"/>
      <c r="AH87" s="14"/>
    </row>
    <row r="88" spans="2:34" s="11" customFormat="1" x14ac:dyDescent="0.2">
      <c r="B88" s="11" t="s">
        <v>77</v>
      </c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>
        <v>5411</v>
      </c>
      <c r="AA88" s="14">
        <v>4996</v>
      </c>
      <c r="AB88" s="14">
        <v>5650</v>
      </c>
      <c r="AC88" s="14"/>
      <c r="AD88" s="14"/>
      <c r="AE88" s="14"/>
      <c r="AF88" s="14"/>
      <c r="AG88" s="14"/>
      <c r="AH88" s="14"/>
    </row>
    <row r="89" spans="2:34" s="11" customFormat="1" x14ac:dyDescent="0.2">
      <c r="B89" s="11" t="s">
        <v>78</v>
      </c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>
        <v>5440</v>
      </c>
      <c r="AA89" s="14">
        <v>5259</v>
      </c>
      <c r="AB89" s="14">
        <v>5259</v>
      </c>
      <c r="AC89" s="14"/>
      <c r="AD89" s="14"/>
      <c r="AE89" s="14"/>
      <c r="AF89" s="14"/>
      <c r="AG89" s="14"/>
      <c r="AH89" s="14"/>
    </row>
    <row r="90" spans="2:34" s="11" customFormat="1" x14ac:dyDescent="0.2">
      <c r="B90" s="11" t="s">
        <v>79</v>
      </c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>
        <v>2474</v>
      </c>
      <c r="AA90" s="14">
        <v>1830</v>
      </c>
      <c r="AB90" s="14">
        <v>2168</v>
      </c>
      <c r="AC90" s="14"/>
      <c r="AD90" s="14"/>
      <c r="AE90" s="14"/>
      <c r="AF90" s="14"/>
      <c r="AG90" s="14"/>
      <c r="AH90" s="14"/>
    </row>
    <row r="91" spans="2:34" s="11" customFormat="1" x14ac:dyDescent="0.2">
      <c r="B91" s="11" t="s">
        <v>58</v>
      </c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>
        <v>750</v>
      </c>
      <c r="AA91" s="14">
        <v>968</v>
      </c>
      <c r="AB91" s="14">
        <v>690</v>
      </c>
      <c r="AC91" s="14"/>
      <c r="AD91" s="14"/>
      <c r="AE91" s="14"/>
      <c r="AF91" s="14"/>
      <c r="AG91" s="14"/>
      <c r="AH91" s="14"/>
    </row>
    <row r="92" spans="2:34" s="11" customFormat="1" x14ac:dyDescent="0.2">
      <c r="B92" s="11" t="s">
        <v>73</v>
      </c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>
        <v>2562</v>
      </c>
      <c r="AA92" s="14">
        <v>2877</v>
      </c>
      <c r="AB92" s="14">
        <v>2849</v>
      </c>
      <c r="AC92" s="14"/>
      <c r="AD92" s="14"/>
      <c r="AE92" s="14"/>
      <c r="AF92" s="14"/>
      <c r="AG92" s="14"/>
      <c r="AH92" s="14"/>
    </row>
    <row r="93" spans="2:34" s="11" customFormat="1" x14ac:dyDescent="0.2">
      <c r="B93" s="11" t="s">
        <v>80</v>
      </c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>
        <v>8854</v>
      </c>
      <c r="AA93" s="14">
        <v>8591</v>
      </c>
      <c r="AB93" s="14">
        <v>8359</v>
      </c>
      <c r="AC93" s="14"/>
      <c r="AD93" s="14"/>
      <c r="AE93" s="14"/>
      <c r="AF93" s="14"/>
      <c r="AG93" s="14"/>
      <c r="AH93" s="14"/>
    </row>
    <row r="94" spans="2:34" s="11" customFormat="1" x14ac:dyDescent="0.2">
      <c r="B94" s="11" t="s">
        <v>81</v>
      </c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>
        <v>10241</v>
      </c>
      <c r="AA94" s="14">
        <v>9749</v>
      </c>
      <c r="AB94" s="14">
        <v>10062</v>
      </c>
      <c r="AC94" s="14"/>
      <c r="AD94" s="14"/>
      <c r="AE94" s="14"/>
      <c r="AF94" s="14"/>
      <c r="AG94" s="14"/>
      <c r="AH94" s="14"/>
    </row>
    <row r="95" spans="2:34" s="11" customFormat="1" x14ac:dyDescent="0.2">
      <c r="B95" s="11" t="s">
        <v>82</v>
      </c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>
        <v>71150</v>
      </c>
      <c r="AA95" s="14">
        <v>72647</v>
      </c>
      <c r="AB95" s="14">
        <v>72473</v>
      </c>
      <c r="AC95" s="14"/>
      <c r="AD95" s="14"/>
      <c r="AE95" s="14"/>
      <c r="AF95" s="14"/>
      <c r="AG95" s="14"/>
      <c r="AH95" s="14"/>
    </row>
    <row r="96" spans="2:34" s="11" customFormat="1" x14ac:dyDescent="0.2">
      <c r="B96" s="11" t="s">
        <v>83</v>
      </c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>
        <f t="shared" ref="Z96" si="380">SUM(Z86:Z95)</f>
        <v>133411</v>
      </c>
      <c r="AA96" s="14">
        <f>SUM(AA86:AA95)</f>
        <v>136231</v>
      </c>
      <c r="AB96" s="14">
        <f>SUM(AB86:AB95)</f>
        <v>139814</v>
      </c>
      <c r="AC96" s="14"/>
      <c r="AD96" s="14"/>
      <c r="AE96" s="14"/>
      <c r="AF96" s="14"/>
      <c r="AG96" s="14"/>
      <c r="AH96" s="14"/>
    </row>
    <row r="98" spans="2:34" s="11" customFormat="1" x14ac:dyDescent="0.2">
      <c r="B98" s="11" t="s">
        <v>164</v>
      </c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>
        <f t="shared" ref="Z98:AA98" si="381">Z62</f>
        <v>4043</v>
      </c>
      <c r="AA98" s="14">
        <f>AA62</f>
        <v>4412</v>
      </c>
      <c r="AB98" s="14">
        <f t="shared" ref="AB98:AD98" si="382">AB62</f>
        <v>4140</v>
      </c>
      <c r="AC98" s="14">
        <f t="shared" si="382"/>
        <v>4334</v>
      </c>
      <c r="AD98" s="14">
        <f t="shared" si="382"/>
        <v>3168.2607999999991</v>
      </c>
      <c r="AE98" s="14"/>
      <c r="AF98" s="14"/>
      <c r="AG98" s="14"/>
      <c r="AH98" s="14"/>
    </row>
    <row r="99" spans="2:34" s="11" customFormat="1" x14ac:dyDescent="0.2">
      <c r="B99" s="11" t="s">
        <v>165</v>
      </c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>
        <v>4292</v>
      </c>
      <c r="AB99" s="14">
        <f>8454-AA99</f>
        <v>4162</v>
      </c>
      <c r="AC99" s="14"/>
      <c r="AD99" s="14"/>
      <c r="AE99" s="14"/>
      <c r="AF99" s="14"/>
      <c r="AG99" s="14"/>
      <c r="AH99" s="14"/>
    </row>
    <row r="100" spans="2:34" s="11" customFormat="1" x14ac:dyDescent="0.2">
      <c r="B100" s="11" t="s">
        <v>173</v>
      </c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>
        <v>891</v>
      </c>
      <c r="AB100" s="14">
        <f>1791-AA100</f>
        <v>900</v>
      </c>
      <c r="AC100" s="14"/>
      <c r="AD100" s="14"/>
      <c r="AE100" s="14"/>
      <c r="AF100" s="14"/>
      <c r="AG100" s="14"/>
      <c r="AH100" s="14"/>
    </row>
    <row r="101" spans="2:34" s="11" customFormat="1" x14ac:dyDescent="0.2">
      <c r="B101" s="11" t="s">
        <v>174</v>
      </c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>
        <v>205</v>
      </c>
      <c r="AB101" s="14">
        <f>479-AA101</f>
        <v>274</v>
      </c>
      <c r="AC101" s="14"/>
      <c r="AD101" s="14"/>
      <c r="AE101" s="14"/>
      <c r="AF101" s="14"/>
      <c r="AG101" s="14"/>
      <c r="AH101" s="14"/>
    </row>
    <row r="102" spans="2:34" s="11" customFormat="1" x14ac:dyDescent="0.2">
      <c r="B102" s="11" t="s">
        <v>175</v>
      </c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>
        <v>82</v>
      </c>
      <c r="AB102" s="14">
        <f>187-AA102</f>
        <v>105</v>
      </c>
      <c r="AC102" s="14"/>
      <c r="AD102" s="14"/>
      <c r="AE102" s="14"/>
      <c r="AF102" s="14"/>
      <c r="AG102" s="14"/>
      <c r="AH102" s="14"/>
    </row>
    <row r="103" spans="2:34" s="11" customFormat="1" x14ac:dyDescent="0.2">
      <c r="B103" s="11" t="s">
        <v>198</v>
      </c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>
        <v>0</v>
      </c>
      <c r="AB103" s="14">
        <f>-185-AA103</f>
        <v>-185</v>
      </c>
      <c r="AC103" s="14"/>
      <c r="AD103" s="14"/>
      <c r="AE103" s="14"/>
      <c r="AF103" s="14"/>
      <c r="AG103" s="14"/>
      <c r="AH103" s="14"/>
    </row>
    <row r="104" spans="2:34" s="11" customFormat="1" x14ac:dyDescent="0.2">
      <c r="B104" s="11" t="s">
        <v>177</v>
      </c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>
        <v>393</v>
      </c>
      <c r="AB104" s="14">
        <f>115-AA104</f>
        <v>-278</v>
      </c>
      <c r="AC104" s="14"/>
      <c r="AD104" s="14"/>
      <c r="AE104" s="14"/>
      <c r="AF104" s="14"/>
      <c r="AG104" s="14"/>
      <c r="AH104" s="14"/>
    </row>
    <row r="105" spans="2:34" s="11" customFormat="1" x14ac:dyDescent="0.2">
      <c r="B105" s="11" t="s">
        <v>176</v>
      </c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>
        <v>-1</v>
      </c>
      <c r="AB105" s="14">
        <f>-4-AA105</f>
        <v>-3</v>
      </c>
      <c r="AC105" s="14"/>
      <c r="AD105" s="14"/>
      <c r="AE105" s="14"/>
      <c r="AF105" s="14"/>
      <c r="AG105" s="14"/>
      <c r="AH105" s="14"/>
    </row>
    <row r="106" spans="2:34" s="11" customFormat="1" x14ac:dyDescent="0.2">
      <c r="B106" s="11" t="s">
        <v>178</v>
      </c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>
        <v>-389</v>
      </c>
      <c r="AB106" s="14">
        <f>-1098-AA106</f>
        <v>-709</v>
      </c>
      <c r="AC106" s="14"/>
      <c r="AD106" s="14"/>
      <c r="AE106" s="14"/>
      <c r="AF106" s="14"/>
      <c r="AG106" s="14"/>
      <c r="AH106" s="14"/>
    </row>
    <row r="107" spans="2:34" s="11" customFormat="1" x14ac:dyDescent="0.2">
      <c r="B107" s="11" t="s">
        <v>179</v>
      </c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>
        <v>-190</v>
      </c>
      <c r="AB107" s="14">
        <f>-443-AA107</f>
        <v>-253</v>
      </c>
      <c r="AC107" s="14"/>
      <c r="AD107" s="14"/>
      <c r="AE107" s="14"/>
      <c r="AF107" s="14"/>
      <c r="AG107" s="14"/>
      <c r="AH107" s="14"/>
    </row>
    <row r="108" spans="2:34" s="11" customFormat="1" x14ac:dyDescent="0.2">
      <c r="B108" s="11" t="s">
        <v>76</v>
      </c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>
        <v>-2333</v>
      </c>
      <c r="AB108" s="14">
        <f>-1047-AA108</f>
        <v>1286</v>
      </c>
      <c r="AC108" s="14"/>
      <c r="AD108" s="14"/>
      <c r="AE108" s="14"/>
      <c r="AF108" s="14"/>
      <c r="AG108" s="14"/>
      <c r="AH108" s="14"/>
    </row>
    <row r="109" spans="2:34" s="11" customFormat="1" x14ac:dyDescent="0.2">
      <c r="B109" s="11" t="s">
        <v>180</v>
      </c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>
        <v>-802</v>
      </c>
      <c r="AB109" s="14">
        <f>-630-AA109</f>
        <v>172</v>
      </c>
      <c r="AC109" s="14"/>
      <c r="AD109" s="14"/>
      <c r="AE109" s="14"/>
      <c r="AF109" s="14"/>
      <c r="AG109" s="14"/>
      <c r="AH109" s="14"/>
    </row>
    <row r="110" spans="2:34" s="11" customFormat="1" x14ac:dyDescent="0.2">
      <c r="B110" s="11" t="s">
        <v>181</v>
      </c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>
        <v>-385</v>
      </c>
      <c r="AB110" s="14">
        <f>-866-AA110</f>
        <v>-481</v>
      </c>
      <c r="AC110" s="14"/>
      <c r="AD110" s="14"/>
      <c r="AE110" s="14"/>
      <c r="AF110" s="14"/>
      <c r="AG110" s="14"/>
      <c r="AH110" s="14"/>
    </row>
    <row r="111" spans="2:34" s="15" customFormat="1" x14ac:dyDescent="0.2">
      <c r="B111" s="15" t="s">
        <v>182</v>
      </c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>
        <f>SUM(AA99:AA110)</f>
        <v>1763</v>
      </c>
      <c r="AB111" s="16">
        <f>SUM(AB99:AB110)</f>
        <v>4990</v>
      </c>
      <c r="AC111" s="16"/>
      <c r="AD111" s="16"/>
      <c r="AE111" s="16"/>
      <c r="AF111" s="16"/>
      <c r="AG111" s="16"/>
      <c r="AH111" s="16"/>
    </row>
    <row r="112" spans="2:34" s="11" customFormat="1" x14ac:dyDescent="0.2"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</row>
    <row r="113" spans="2:34" s="11" customFormat="1" x14ac:dyDescent="0.2">
      <c r="B113" s="11" t="s">
        <v>187</v>
      </c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>
        <v>-639</v>
      </c>
      <c r="AB113" s="14">
        <f>-1396-AA113</f>
        <v>-757</v>
      </c>
      <c r="AC113" s="14"/>
      <c r="AD113" s="14"/>
      <c r="AE113" s="14"/>
      <c r="AF113" s="14"/>
      <c r="AG113" s="14"/>
      <c r="AH113" s="14"/>
    </row>
    <row r="114" spans="2:34" s="11" customFormat="1" x14ac:dyDescent="0.2">
      <c r="B114" s="11" t="s">
        <v>188</v>
      </c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>
        <v>25</v>
      </c>
      <c r="AB114" s="14">
        <f>685-AA114</f>
        <v>660</v>
      </c>
      <c r="AC114" s="14"/>
      <c r="AD114" s="14"/>
      <c r="AE114" s="14"/>
      <c r="AF114" s="14"/>
      <c r="AG114" s="14"/>
      <c r="AH114" s="14"/>
    </row>
    <row r="115" spans="2:34" s="11" customFormat="1" x14ac:dyDescent="0.2">
      <c r="B115" s="11" t="s">
        <v>189</v>
      </c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>
        <v>-5</v>
      </c>
      <c r="AB115" s="14">
        <f>-730-AA115</f>
        <v>-725</v>
      </c>
      <c r="AC115" s="14"/>
      <c r="AD115" s="14"/>
      <c r="AE115" s="14"/>
      <c r="AF115" s="14"/>
      <c r="AG115" s="14"/>
      <c r="AH115" s="14"/>
    </row>
    <row r="116" spans="2:34" s="11" customFormat="1" x14ac:dyDescent="0.2">
      <c r="B116" s="11" t="s">
        <v>190</v>
      </c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>
        <f>-10062+9145</f>
        <v>-917</v>
      </c>
      <c r="AB116" s="14">
        <f>-17511+18775-AA116</f>
        <v>2181</v>
      </c>
      <c r="AC116" s="14"/>
      <c r="AD116" s="14"/>
      <c r="AE116" s="14"/>
      <c r="AF116" s="14"/>
      <c r="AG116" s="14"/>
      <c r="AH116" s="14"/>
    </row>
    <row r="117" spans="2:34" s="11" customFormat="1" x14ac:dyDescent="0.2">
      <c r="B117" s="11" t="s">
        <v>191</v>
      </c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>
        <v>-1</v>
      </c>
      <c r="AB117" s="14">
        <f>-38-AA117</f>
        <v>-37</v>
      </c>
      <c r="AC117" s="14"/>
      <c r="AD117" s="14"/>
      <c r="AE117" s="14"/>
      <c r="AF117" s="14"/>
      <c r="AG117" s="14"/>
      <c r="AH117" s="14"/>
    </row>
    <row r="118" spans="2:34" s="15" customFormat="1" x14ac:dyDescent="0.2">
      <c r="B118" s="15" t="s">
        <v>186</v>
      </c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>
        <f>SUM(AA113:AA117)</f>
        <v>-1537</v>
      </c>
      <c r="AB118" s="16">
        <f>SUM(AB113:AB117)</f>
        <v>1322</v>
      </c>
      <c r="AC118" s="16"/>
      <c r="AD118" s="16"/>
      <c r="AE118" s="16"/>
      <c r="AF118" s="16"/>
      <c r="AG118" s="16"/>
      <c r="AH118" s="16"/>
    </row>
    <row r="119" spans="2:34" s="11" customFormat="1" x14ac:dyDescent="0.2"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</row>
    <row r="120" spans="2:34" s="11" customFormat="1" x14ac:dyDescent="0.2">
      <c r="B120" s="11" t="s">
        <v>192</v>
      </c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>
        <v>-2069</v>
      </c>
      <c r="AB120" s="14">
        <f>-4266-AA120</f>
        <v>-2197</v>
      </c>
      <c r="AC120" s="14"/>
      <c r="AD120" s="14"/>
      <c r="AE120" s="14"/>
      <c r="AF120" s="14"/>
      <c r="AG120" s="14"/>
      <c r="AH120" s="14"/>
    </row>
    <row r="121" spans="2:34" s="11" customFormat="1" x14ac:dyDescent="0.2">
      <c r="B121" s="11" t="s">
        <v>193</v>
      </c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>
        <v>-2389</v>
      </c>
      <c r="AB121" s="14">
        <f>-4751-AA121</f>
        <v>-2362</v>
      </c>
      <c r="AC121" s="14"/>
      <c r="AD121" s="14"/>
      <c r="AE121" s="14"/>
      <c r="AF121" s="14"/>
      <c r="AG121" s="14"/>
      <c r="AH121" s="14"/>
    </row>
    <row r="122" spans="2:34" s="11" customFormat="1" x14ac:dyDescent="0.2">
      <c r="B122" s="11" t="s">
        <v>194</v>
      </c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>
        <f>95-4172</f>
        <v>-4077</v>
      </c>
      <c r="AB122" s="14">
        <f>118-4687-AA122</f>
        <v>-492</v>
      </c>
      <c r="AC122" s="14"/>
      <c r="AD122" s="14"/>
      <c r="AE122" s="14"/>
      <c r="AF122" s="14"/>
      <c r="AG122" s="14"/>
      <c r="AH122" s="14"/>
    </row>
    <row r="123" spans="2:34" s="11" customFormat="1" x14ac:dyDescent="0.2">
      <c r="B123" s="11" t="s">
        <v>195</v>
      </c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>
        <f>7435-14</f>
        <v>7421</v>
      </c>
      <c r="AB123" s="14">
        <f>11951-936-AA123</f>
        <v>3594</v>
      </c>
      <c r="AC123" s="14"/>
      <c r="AD123" s="14"/>
      <c r="AE123" s="14"/>
      <c r="AF123" s="14"/>
      <c r="AG123" s="14"/>
      <c r="AH123" s="14"/>
    </row>
    <row r="124" spans="2:34" s="11" customFormat="1" x14ac:dyDescent="0.2">
      <c r="B124" s="11" t="s">
        <v>196</v>
      </c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>
        <v>936</v>
      </c>
      <c r="AB124" s="14">
        <f>929-AA124</f>
        <v>-7</v>
      </c>
      <c r="AC124" s="14"/>
      <c r="AD124" s="14"/>
      <c r="AE124" s="14"/>
      <c r="AF124" s="14"/>
      <c r="AG124" s="14"/>
      <c r="AH124" s="14"/>
    </row>
    <row r="125" spans="2:34" s="15" customFormat="1" x14ac:dyDescent="0.2">
      <c r="B125" s="15" t="s">
        <v>185</v>
      </c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>
        <f>SUM(AA120:AA124)</f>
        <v>-178</v>
      </c>
      <c r="AB125" s="16">
        <f>SUM(AB120:AB124)</f>
        <v>-1464</v>
      </c>
      <c r="AC125" s="16"/>
      <c r="AD125" s="16"/>
      <c r="AE125" s="16"/>
      <c r="AF125" s="16"/>
      <c r="AG125" s="16"/>
      <c r="AH125" s="16"/>
    </row>
    <row r="126" spans="2:34" s="11" customFormat="1" x14ac:dyDescent="0.2">
      <c r="B126" s="11" t="s">
        <v>184</v>
      </c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>
        <v>81</v>
      </c>
      <c r="AB126" s="14">
        <f>12-AA126</f>
        <v>-69</v>
      </c>
      <c r="AC126" s="14"/>
      <c r="AD126" s="14"/>
      <c r="AE126" s="14"/>
      <c r="AF126" s="14"/>
      <c r="AG126" s="14"/>
      <c r="AH126" s="14"/>
    </row>
    <row r="127" spans="2:34" s="11" customFormat="1" x14ac:dyDescent="0.2">
      <c r="B127" s="11" t="s">
        <v>183</v>
      </c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>
        <f>+AA126+AA125+AA118+AA111</f>
        <v>129</v>
      </c>
      <c r="AB127" s="14">
        <f>+AB126+AB125+AB118+AB111</f>
        <v>4779</v>
      </c>
      <c r="AC127" s="14"/>
      <c r="AD127" s="14"/>
      <c r="AE127" s="14"/>
      <c r="AF127" s="14"/>
      <c r="AG127" s="14"/>
      <c r="AH127" s="14"/>
    </row>
    <row r="130" spans="2:28" x14ac:dyDescent="0.2">
      <c r="B130" t="s">
        <v>197</v>
      </c>
      <c r="AA130" s="14">
        <f>+AA111+AA113-AA101</f>
        <v>919</v>
      </c>
      <c r="AB130" s="14">
        <f>+AB111+AB113-AB101</f>
        <v>3959</v>
      </c>
    </row>
  </sheetData>
  <hyperlinks>
    <hyperlink ref="A1" location="Main!A1" display="Main"/>
  </hyperlink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7" sqref="D7"/>
    </sheetView>
  </sheetViews>
  <sheetFormatPr defaultRowHeight="12.75" x14ac:dyDescent="0.2"/>
  <cols>
    <col min="1" max="1" width="5" bestFit="1" customWidth="1"/>
    <col min="2" max="2" width="10.5703125" bestFit="1" customWidth="1"/>
  </cols>
  <sheetData>
    <row r="1" spans="1:3" x14ac:dyDescent="0.2">
      <c r="A1" s="13" t="s">
        <v>12</v>
      </c>
    </row>
    <row r="2" spans="1:3" x14ac:dyDescent="0.2">
      <c r="B2" t="s">
        <v>6</v>
      </c>
      <c r="C2" t="s">
        <v>39</v>
      </c>
    </row>
    <row r="3" spans="1:3" x14ac:dyDescent="0.2">
      <c r="B3" t="s">
        <v>8</v>
      </c>
      <c r="C3" t="s">
        <v>91</v>
      </c>
    </row>
    <row r="4" spans="1:3" x14ac:dyDescent="0.2">
      <c r="B4" t="s">
        <v>93</v>
      </c>
      <c r="C4" t="s">
        <v>94</v>
      </c>
    </row>
    <row r="5" spans="1:3" x14ac:dyDescent="0.2">
      <c r="B5" t="s">
        <v>92</v>
      </c>
      <c r="C5" t="s">
        <v>98</v>
      </c>
    </row>
    <row r="6" spans="1:3" x14ac:dyDescent="0.2">
      <c r="C6" t="s">
        <v>99</v>
      </c>
    </row>
    <row r="7" spans="1:3" x14ac:dyDescent="0.2">
      <c r="C7" t="s">
        <v>100</v>
      </c>
    </row>
    <row r="8" spans="1:3" x14ac:dyDescent="0.2">
      <c r="B8" t="s">
        <v>95</v>
      </c>
      <c r="C8" t="s">
        <v>96</v>
      </c>
    </row>
    <row r="9" spans="1:3" x14ac:dyDescent="0.2">
      <c r="B9" t="s">
        <v>97</v>
      </c>
      <c r="C9" s="19">
        <v>40728</v>
      </c>
    </row>
  </sheetData>
  <hyperlinks>
    <hyperlink ref="A1" location="Main!A1" display="Mai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Xarelto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2016-05-11T01:09:03Z</dcterms:created>
  <dcterms:modified xsi:type="dcterms:W3CDTF">2016-10-20T01:01:19Z</dcterms:modified>
</cp:coreProperties>
</file>