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270" windowHeight="10995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0" i="2" l="1"/>
  <c r="J68" i="2"/>
  <c r="J67" i="2"/>
  <c r="J66" i="2"/>
  <c r="J65" i="2"/>
  <c r="J69" i="2" s="1"/>
  <c r="J64" i="2"/>
  <c r="J61" i="2"/>
  <c r="J60" i="2"/>
  <c r="J59" i="2"/>
  <c r="J58" i="2"/>
  <c r="J57" i="2"/>
  <c r="J56" i="2"/>
  <c r="J53" i="2"/>
  <c r="J52" i="2"/>
  <c r="J51" i="2"/>
  <c r="J50" i="2"/>
  <c r="J49" i="2"/>
  <c r="J48" i="2"/>
  <c r="J47" i="2"/>
  <c r="J46" i="2"/>
  <c r="J45" i="2"/>
  <c r="J44" i="2"/>
  <c r="J35" i="2"/>
  <c r="J41" i="2"/>
  <c r="J21" i="2"/>
  <c r="J32" i="2" s="1"/>
  <c r="J14" i="2"/>
  <c r="J13" i="2"/>
  <c r="J12" i="2"/>
  <c r="J11" i="2"/>
  <c r="J10" i="2"/>
  <c r="J9" i="2"/>
  <c r="J8" i="2"/>
  <c r="J5" i="2"/>
  <c r="F14" i="2"/>
  <c r="F13" i="2"/>
  <c r="F12" i="2"/>
  <c r="F11" i="2"/>
  <c r="F10" i="2"/>
  <c r="F9" i="2"/>
  <c r="F8" i="2"/>
  <c r="F5" i="2"/>
  <c r="I70" i="2"/>
  <c r="I68" i="2"/>
  <c r="I67" i="2"/>
  <c r="I66" i="2"/>
  <c r="I65" i="2"/>
  <c r="I64" i="2"/>
  <c r="I61" i="2"/>
  <c r="I60" i="2"/>
  <c r="I59" i="2"/>
  <c r="I58" i="2"/>
  <c r="I57" i="2"/>
  <c r="I56" i="2"/>
  <c r="I53" i="2"/>
  <c r="I52" i="2"/>
  <c r="I51" i="2"/>
  <c r="I50" i="2"/>
  <c r="I49" i="2"/>
  <c r="I48" i="2"/>
  <c r="I47" i="2"/>
  <c r="I46" i="2"/>
  <c r="I45" i="2"/>
  <c r="I44" i="2"/>
  <c r="I35" i="2"/>
  <c r="I20" i="2" s="1"/>
  <c r="I21" i="2"/>
  <c r="L17" i="2"/>
  <c r="K17" i="2"/>
  <c r="J17" i="2"/>
  <c r="I17" i="2"/>
  <c r="I14" i="2"/>
  <c r="I13" i="2"/>
  <c r="I43" i="2" s="1"/>
  <c r="I12" i="2"/>
  <c r="I11" i="2"/>
  <c r="I10" i="2"/>
  <c r="I9" i="2"/>
  <c r="I8" i="2"/>
  <c r="I5" i="2"/>
  <c r="E14" i="2"/>
  <c r="E12" i="2"/>
  <c r="E13" i="2" s="1"/>
  <c r="E11" i="2"/>
  <c r="E10" i="2"/>
  <c r="E9" i="2"/>
  <c r="E8" i="2"/>
  <c r="E5" i="2"/>
  <c r="H70" i="2"/>
  <c r="H68" i="2"/>
  <c r="H67" i="2"/>
  <c r="H66" i="2"/>
  <c r="H65" i="2"/>
  <c r="H64" i="2"/>
  <c r="H61" i="2"/>
  <c r="H60" i="2"/>
  <c r="H59" i="2"/>
  <c r="H58" i="2"/>
  <c r="H57" i="2"/>
  <c r="H56" i="2"/>
  <c r="H62" i="2" s="1"/>
  <c r="H53" i="2"/>
  <c r="H52" i="2"/>
  <c r="H51" i="2"/>
  <c r="H50" i="2"/>
  <c r="H49" i="2"/>
  <c r="H48" i="2"/>
  <c r="H47" i="2"/>
  <c r="H46" i="2"/>
  <c r="H45" i="2"/>
  <c r="H44" i="2"/>
  <c r="H35" i="2"/>
  <c r="H41" i="2" s="1"/>
  <c r="H21" i="2"/>
  <c r="H20" i="2" s="1"/>
  <c r="G71" i="2"/>
  <c r="G69" i="2"/>
  <c r="G64" i="2"/>
  <c r="G62" i="2"/>
  <c r="G56" i="2"/>
  <c r="G54" i="2"/>
  <c r="G43" i="2"/>
  <c r="H43" i="2"/>
  <c r="J43" i="2"/>
  <c r="G41" i="2"/>
  <c r="I41" i="2"/>
  <c r="G35" i="2"/>
  <c r="G32" i="2"/>
  <c r="H32" i="2"/>
  <c r="I32" i="2"/>
  <c r="G21" i="2"/>
  <c r="L71" i="2"/>
  <c r="L70" i="2"/>
  <c r="L69" i="2"/>
  <c r="L68" i="2"/>
  <c r="L67" i="2"/>
  <c r="L66" i="2"/>
  <c r="L65" i="2"/>
  <c r="L64" i="2"/>
  <c r="L62" i="2"/>
  <c r="L61" i="2"/>
  <c r="L60" i="2"/>
  <c r="L59" i="2"/>
  <c r="L58" i="2"/>
  <c r="L57" i="2"/>
  <c r="L56" i="2"/>
  <c r="L54" i="2"/>
  <c r="L53" i="2"/>
  <c r="L52" i="2"/>
  <c r="L51" i="2"/>
  <c r="L50" i="2"/>
  <c r="L49" i="2"/>
  <c r="L48" i="2"/>
  <c r="L47" i="2"/>
  <c r="L46" i="2"/>
  <c r="L45" i="2"/>
  <c r="L44" i="2"/>
  <c r="K71" i="2"/>
  <c r="K69" i="2"/>
  <c r="K64" i="2"/>
  <c r="K62" i="2"/>
  <c r="K56" i="2"/>
  <c r="K54" i="2"/>
  <c r="L43" i="2"/>
  <c r="K43" i="2"/>
  <c r="K35" i="2"/>
  <c r="K41" i="2" s="1"/>
  <c r="K21" i="2"/>
  <c r="K32" i="2" s="1"/>
  <c r="G12" i="2"/>
  <c r="G10" i="2"/>
  <c r="G8" i="2"/>
  <c r="G5" i="2"/>
  <c r="K12" i="2"/>
  <c r="K10" i="2"/>
  <c r="K8" i="2"/>
  <c r="K5" i="2"/>
  <c r="L20" i="2"/>
  <c r="L41" i="2"/>
  <c r="L35" i="2"/>
  <c r="L32" i="2"/>
  <c r="L21" i="2"/>
  <c r="H12" i="2"/>
  <c r="H10" i="2"/>
  <c r="H8" i="2"/>
  <c r="H9" i="2" s="1"/>
  <c r="H11" i="2" s="1"/>
  <c r="H13" i="2" s="1"/>
  <c r="H14" i="2" s="1"/>
  <c r="H5" i="2"/>
  <c r="L14" i="2"/>
  <c r="L13" i="2"/>
  <c r="L12" i="2"/>
  <c r="L11" i="2"/>
  <c r="L10" i="2"/>
  <c r="L9" i="2"/>
  <c r="L8" i="2"/>
  <c r="L5" i="2"/>
  <c r="J62" i="2" l="1"/>
  <c r="J54" i="2"/>
  <c r="J71" i="2" s="1"/>
  <c r="J20" i="2"/>
  <c r="I69" i="2"/>
  <c r="I62" i="2"/>
  <c r="I54" i="2"/>
  <c r="H69" i="2"/>
  <c r="H54" i="2"/>
  <c r="G20" i="2"/>
  <c r="K20" i="2"/>
  <c r="G9" i="2"/>
  <c r="G11" i="2" s="1"/>
  <c r="G13" i="2" s="1"/>
  <c r="G14" i="2" s="1"/>
  <c r="K9" i="2"/>
  <c r="K11" i="2" s="1"/>
  <c r="K13" i="2" s="1"/>
  <c r="K14" i="2" s="1"/>
  <c r="I71" i="2" l="1"/>
  <c r="H71" i="2"/>
</calcChain>
</file>

<file path=xl/sharedStrings.xml><?xml version="1.0" encoding="utf-8"?>
<sst xmlns="http://schemas.openxmlformats.org/spreadsheetml/2006/main" count="81" uniqueCount="69">
  <si>
    <t>Price</t>
  </si>
  <si>
    <t>Shares</t>
  </si>
  <si>
    <t>MC</t>
  </si>
  <si>
    <t>Cash</t>
  </si>
  <si>
    <t>Debt</t>
  </si>
  <si>
    <t>EV</t>
  </si>
  <si>
    <t>Main</t>
  </si>
  <si>
    <t>Revenue</t>
  </si>
  <si>
    <t>Q114</t>
  </si>
  <si>
    <t>Q214</t>
  </si>
  <si>
    <t>Q314</t>
  </si>
  <si>
    <t>Q414</t>
  </si>
  <si>
    <t>Q115</t>
  </si>
  <si>
    <t>Q215</t>
  </si>
  <si>
    <t>Q316</t>
  </si>
  <si>
    <t>Q315</t>
  </si>
  <si>
    <t>Q415</t>
  </si>
  <si>
    <t>Q116</t>
  </si>
  <si>
    <t>Q216</t>
  </si>
  <si>
    <t>Q416</t>
  </si>
  <si>
    <t>EPS</t>
  </si>
  <si>
    <t>Net Income</t>
  </si>
  <si>
    <t>Taxes</t>
  </si>
  <si>
    <t>Pretax Income</t>
  </si>
  <si>
    <t>Other Income</t>
  </si>
  <si>
    <t>Operating Income</t>
  </si>
  <si>
    <t>Operating Expenses</t>
  </si>
  <si>
    <t>SG&amp;A</t>
  </si>
  <si>
    <t>Gross Profit</t>
  </si>
  <si>
    <t>COGS</t>
  </si>
  <si>
    <t>Assets</t>
  </si>
  <si>
    <t>AR</t>
  </si>
  <si>
    <t>Inventories</t>
  </si>
  <si>
    <t>Prepaids</t>
  </si>
  <si>
    <t>Held for Sale</t>
  </si>
  <si>
    <t>OA</t>
  </si>
  <si>
    <t>PP&amp;E</t>
  </si>
  <si>
    <t>Trademarks</t>
  </si>
  <si>
    <t>Bottlers</t>
  </si>
  <si>
    <t>Goodwill</t>
  </si>
  <si>
    <t>Other Intangibles</t>
  </si>
  <si>
    <t>L+SE</t>
  </si>
  <si>
    <t>SE</t>
  </si>
  <si>
    <t>DT</t>
  </si>
  <si>
    <t>OL</t>
  </si>
  <si>
    <t>AP</t>
  </si>
  <si>
    <t>Net Cash</t>
  </si>
  <si>
    <t>Model NI</t>
  </si>
  <si>
    <t>Reported NI</t>
  </si>
  <si>
    <t>FX</t>
  </si>
  <si>
    <t>D&amp;A</t>
  </si>
  <si>
    <t>SBC</t>
  </si>
  <si>
    <t>Equity Loss</t>
  </si>
  <si>
    <t>Sale of Assets</t>
  </si>
  <si>
    <t>Other Operating</t>
  </si>
  <si>
    <t>Other Items</t>
  </si>
  <si>
    <t>Working Capital</t>
  </si>
  <si>
    <t>CFFO</t>
  </si>
  <si>
    <t>Investments</t>
  </si>
  <si>
    <t>Acquisitions</t>
  </si>
  <si>
    <t>Disposals</t>
  </si>
  <si>
    <t>Other Investing</t>
  </si>
  <si>
    <t>CFFI</t>
  </si>
  <si>
    <t>Issuance of Stock</t>
  </si>
  <si>
    <t>Buyback</t>
  </si>
  <si>
    <t>Dividends</t>
  </si>
  <si>
    <t>Other</t>
  </si>
  <si>
    <t>CFFF</t>
  </si>
  <si>
    <t>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</si>
</sst>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0</xdr:rowOff>
    </xdr:from>
    <xdr:to>
      <xdr:col>12</xdr:col>
      <xdr:colOff>28575</xdr:colOff>
      <xdr:row>78</xdr:row>
      <xdr:rowOff>104775</xdr:rowOff>
    </xdr:to>
    <xdr:cxnSp macro="">
      <xdr:nvCxnSpPr>
        <xdr:cNvPr id="3" name="Straight Connector 2"/>
        <xdr:cNvCxnSpPr/>
      </xdr:nvCxnSpPr>
      <xdr:spPr>
        <a:xfrm>
          <a:off x="7667625" y="0"/>
          <a:ext cx="0" cy="1241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L7"/>
  <sheetViews>
    <sheetView workbookViewId="0">
      <selection activeCell="L3" sqref="L3"/>
    </sheetView>
  </sheetViews>
  <sheetFormatPr defaultRowHeight="12.75" x14ac:dyDescent="0.2"/>
  <sheetData>
    <row r="2" spans="11:12" x14ac:dyDescent="0.2">
      <c r="K2" t="s">
        <v>0</v>
      </c>
      <c r="L2" s="1">
        <v>42.32</v>
      </c>
    </row>
    <row r="3" spans="11:12" x14ac:dyDescent="0.2">
      <c r="K3" t="s">
        <v>1</v>
      </c>
    </row>
    <row r="4" spans="11:12" x14ac:dyDescent="0.2">
      <c r="K4" t="s">
        <v>2</v>
      </c>
    </row>
    <row r="5" spans="11:12" x14ac:dyDescent="0.2">
      <c r="K5" t="s">
        <v>3</v>
      </c>
    </row>
    <row r="6" spans="11:12" x14ac:dyDescent="0.2">
      <c r="K6" t="s">
        <v>4</v>
      </c>
    </row>
    <row r="7" spans="11:12" x14ac:dyDescent="0.2">
      <c r="K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pane xSplit="2" ySplit="2" topLeftCell="G29" activePane="bottomRight" state="frozen"/>
      <selection pane="topRight" activeCell="C1" sqref="C1"/>
      <selection pane="bottomLeft" activeCell="A3" sqref="A3"/>
      <selection pane="bottomRight" activeCell="J71" sqref="G71:J71"/>
    </sheetView>
  </sheetViews>
  <sheetFormatPr defaultRowHeight="12.75" x14ac:dyDescent="0.2"/>
  <cols>
    <col min="1" max="1" width="5" bestFit="1" customWidth="1"/>
    <col min="2" max="2" width="18.140625" bestFit="1" customWidth="1"/>
    <col min="3" max="5" width="9.140625" style="2"/>
    <col min="6" max="6" width="10.140625" style="2" bestFit="1" customWidth="1"/>
    <col min="7" max="9" width="9.140625" style="2"/>
    <col min="10" max="10" width="10.140625" style="2" bestFit="1" customWidth="1"/>
    <col min="11" max="19" width="9.140625" style="2"/>
  </cols>
  <sheetData>
    <row r="1" spans="1:19" x14ac:dyDescent="0.2">
      <c r="A1" s="7" t="s">
        <v>6</v>
      </c>
      <c r="E1" s="3">
        <v>41908</v>
      </c>
      <c r="F1" s="3">
        <v>42004</v>
      </c>
      <c r="G1" s="3">
        <v>42097</v>
      </c>
      <c r="H1" s="3">
        <v>42554</v>
      </c>
      <c r="I1" s="3">
        <v>42279</v>
      </c>
      <c r="J1" s="3">
        <v>42369</v>
      </c>
      <c r="K1" s="3">
        <v>42461</v>
      </c>
      <c r="L1" s="3">
        <v>42552</v>
      </c>
    </row>
    <row r="2" spans="1:19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14</v>
      </c>
      <c r="N2" s="2" t="s">
        <v>19</v>
      </c>
    </row>
    <row r="3" spans="1:19" s="8" customFormat="1" x14ac:dyDescent="0.2">
      <c r="B3" s="8" t="s">
        <v>7</v>
      </c>
      <c r="C3" s="9"/>
      <c r="D3" s="9"/>
      <c r="E3" s="9">
        <v>11976</v>
      </c>
      <c r="F3" s="9">
        <v>10872</v>
      </c>
      <c r="G3" s="9">
        <v>10711</v>
      </c>
      <c r="H3" s="9">
        <v>12156</v>
      </c>
      <c r="I3" s="9">
        <v>11427</v>
      </c>
      <c r="J3" s="9">
        <v>10000</v>
      </c>
      <c r="K3" s="9">
        <v>10282</v>
      </c>
      <c r="L3" s="9">
        <v>11539</v>
      </c>
      <c r="M3" s="9"/>
      <c r="N3" s="9"/>
      <c r="O3" s="9"/>
      <c r="P3" s="9"/>
      <c r="Q3" s="9"/>
      <c r="R3" s="9"/>
      <c r="S3" s="9"/>
    </row>
    <row r="4" spans="1:19" s="5" customFormat="1" x14ac:dyDescent="0.2">
      <c r="B4" s="5" t="s">
        <v>29</v>
      </c>
      <c r="C4" s="6"/>
      <c r="D4" s="6"/>
      <c r="E4" s="6">
        <v>4630</v>
      </c>
      <c r="F4" s="6">
        <v>4357</v>
      </c>
      <c r="G4" s="6">
        <v>4103</v>
      </c>
      <c r="H4" s="6">
        <v>4748</v>
      </c>
      <c r="I4" s="6">
        <v>4577</v>
      </c>
      <c r="J4" s="6">
        <v>4054</v>
      </c>
      <c r="K4" s="6">
        <v>4069</v>
      </c>
      <c r="L4" s="6">
        <v>4471</v>
      </c>
      <c r="M4" s="6"/>
      <c r="N4" s="6"/>
      <c r="O4" s="6"/>
      <c r="P4" s="6"/>
      <c r="Q4" s="6"/>
      <c r="R4" s="6"/>
      <c r="S4" s="6"/>
    </row>
    <row r="5" spans="1:19" s="5" customFormat="1" x14ac:dyDescent="0.2">
      <c r="B5" s="5" t="s">
        <v>28</v>
      </c>
      <c r="C5" s="6"/>
      <c r="D5" s="6"/>
      <c r="E5" s="6">
        <f>+E3-E4</f>
        <v>7346</v>
      </c>
      <c r="F5" s="6">
        <f>+F3-F4</f>
        <v>6515</v>
      </c>
      <c r="G5" s="6">
        <f>+G3-G4</f>
        <v>6608</v>
      </c>
      <c r="H5" s="6">
        <f>+H3-H4</f>
        <v>7408</v>
      </c>
      <c r="I5" s="6">
        <f>+I3-I4</f>
        <v>6850</v>
      </c>
      <c r="J5" s="6">
        <f>+J3-J4</f>
        <v>5946</v>
      </c>
      <c r="K5" s="6">
        <f>+K3-K4</f>
        <v>6213</v>
      </c>
      <c r="L5" s="6">
        <f>+L3-L4</f>
        <v>7068</v>
      </c>
      <c r="M5" s="6"/>
      <c r="N5" s="6"/>
      <c r="O5" s="6"/>
      <c r="P5" s="6"/>
      <c r="Q5" s="6"/>
      <c r="R5" s="6"/>
      <c r="S5" s="6"/>
    </row>
    <row r="6" spans="1:19" s="5" customFormat="1" x14ac:dyDescent="0.2">
      <c r="B6" s="5" t="s">
        <v>27</v>
      </c>
      <c r="C6" s="6"/>
      <c r="D6" s="6"/>
      <c r="E6" s="6">
        <v>4507</v>
      </c>
      <c r="F6" s="6">
        <v>4338</v>
      </c>
      <c r="G6" s="6">
        <v>4079</v>
      </c>
      <c r="H6" s="6">
        <v>4204</v>
      </c>
      <c r="I6" s="6">
        <v>4207</v>
      </c>
      <c r="J6" s="6">
        <v>3937</v>
      </c>
      <c r="K6" s="6">
        <v>3761</v>
      </c>
      <c r="L6" s="6">
        <v>3912</v>
      </c>
      <c r="M6" s="6"/>
      <c r="N6" s="6"/>
      <c r="O6" s="6"/>
      <c r="P6" s="6"/>
      <c r="Q6" s="6"/>
      <c r="R6" s="6"/>
      <c r="S6" s="6"/>
    </row>
    <row r="7" spans="1:19" s="5" customFormat="1" x14ac:dyDescent="0.2">
      <c r="B7" s="5" t="s">
        <v>24</v>
      </c>
      <c r="C7" s="6"/>
      <c r="D7" s="6"/>
      <c r="E7" s="6">
        <v>128</v>
      </c>
      <c r="F7" s="6">
        <v>726</v>
      </c>
      <c r="G7" s="6">
        <v>233</v>
      </c>
      <c r="H7" s="6">
        <v>669</v>
      </c>
      <c r="I7" s="6">
        <v>264</v>
      </c>
      <c r="J7" s="6">
        <v>491</v>
      </c>
      <c r="K7" s="6">
        <v>311</v>
      </c>
      <c r="L7" s="6">
        <v>297</v>
      </c>
      <c r="M7" s="6"/>
      <c r="N7" s="6"/>
      <c r="O7" s="6"/>
      <c r="P7" s="6"/>
      <c r="Q7" s="6"/>
      <c r="R7" s="6"/>
      <c r="S7" s="6"/>
    </row>
    <row r="8" spans="1:19" s="5" customFormat="1" x14ac:dyDescent="0.2">
      <c r="B8" s="5" t="s">
        <v>26</v>
      </c>
      <c r="C8" s="6"/>
      <c r="D8" s="6"/>
      <c r="E8" s="6">
        <f>+E7+E6</f>
        <v>4635</v>
      </c>
      <c r="F8" s="6">
        <f>+F7+F6</f>
        <v>5064</v>
      </c>
      <c r="G8" s="6">
        <f>+G6+G7</f>
        <v>4312</v>
      </c>
      <c r="H8" s="6">
        <f>+H6+H7</f>
        <v>4873</v>
      </c>
      <c r="I8" s="6">
        <f>+I7+I6</f>
        <v>4471</v>
      </c>
      <c r="J8" s="6">
        <f>+J7+J6</f>
        <v>4428</v>
      </c>
      <c r="K8" s="6">
        <f>+K6+K7</f>
        <v>4072</v>
      </c>
      <c r="L8" s="6">
        <f>+L6+L7</f>
        <v>4209</v>
      </c>
      <c r="M8" s="6"/>
      <c r="N8" s="6"/>
      <c r="O8" s="6"/>
      <c r="P8" s="6"/>
      <c r="Q8" s="6"/>
      <c r="R8" s="6"/>
      <c r="S8" s="6"/>
    </row>
    <row r="9" spans="1:19" s="5" customFormat="1" x14ac:dyDescent="0.2">
      <c r="B9" s="5" t="s">
        <v>25</v>
      </c>
      <c r="C9" s="6"/>
      <c r="D9" s="6"/>
      <c r="E9" s="6">
        <f>+E5-E8</f>
        <v>2711</v>
      </c>
      <c r="F9" s="6">
        <f>+F5-F8</f>
        <v>1451</v>
      </c>
      <c r="G9" s="6">
        <f>+G5-G8</f>
        <v>2296</v>
      </c>
      <c r="H9" s="6">
        <f>+H5-H8</f>
        <v>2535</v>
      </c>
      <c r="I9" s="6">
        <f>+I5-I8</f>
        <v>2379</v>
      </c>
      <c r="J9" s="6">
        <f>+J5-J8</f>
        <v>1518</v>
      </c>
      <c r="K9" s="6">
        <f>+K5-K8</f>
        <v>2141</v>
      </c>
      <c r="L9" s="6">
        <f>+L5-L8</f>
        <v>2859</v>
      </c>
      <c r="M9" s="6"/>
      <c r="N9" s="6"/>
      <c r="O9" s="6"/>
      <c r="P9" s="6"/>
      <c r="Q9" s="6"/>
      <c r="R9" s="6"/>
      <c r="S9" s="6"/>
    </row>
    <row r="10" spans="1:19" s="5" customFormat="1" x14ac:dyDescent="0.2">
      <c r="B10" s="5" t="s">
        <v>24</v>
      </c>
      <c r="C10" s="6"/>
      <c r="D10" s="6"/>
      <c r="E10" s="6">
        <f>169-113+205-312</f>
        <v>-51</v>
      </c>
      <c r="F10" s="6">
        <f>158-139+239-633</f>
        <v>-375</v>
      </c>
      <c r="G10" s="6">
        <f>155-447+2-25</f>
        <v>-315</v>
      </c>
      <c r="H10" s="6">
        <f>149-128+200+1605</f>
        <v>1826</v>
      </c>
      <c r="I10" s="6">
        <f>155-138+200-871</f>
        <v>-654</v>
      </c>
      <c r="J10" s="6">
        <f>154-143+87-78</f>
        <v>20</v>
      </c>
      <c r="K10" s="6">
        <f>144-141+92-342</f>
        <v>-247</v>
      </c>
      <c r="L10" s="6">
        <f>164-162+305+1133</f>
        <v>1440</v>
      </c>
      <c r="M10" s="6"/>
      <c r="N10" s="6"/>
      <c r="O10" s="6"/>
      <c r="P10" s="6"/>
      <c r="Q10" s="6"/>
      <c r="R10" s="6"/>
      <c r="S10" s="6"/>
    </row>
    <row r="11" spans="1:19" s="5" customFormat="1" x14ac:dyDescent="0.2">
      <c r="B11" s="5" t="s">
        <v>23</v>
      </c>
      <c r="C11" s="6"/>
      <c r="D11" s="6"/>
      <c r="E11" s="6">
        <f>+E9+E10</f>
        <v>2660</v>
      </c>
      <c r="F11" s="6">
        <f>+F9+F10</f>
        <v>1076</v>
      </c>
      <c r="G11" s="6">
        <f>+G9+G10</f>
        <v>1981</v>
      </c>
      <c r="H11" s="6">
        <f>+H9+H10</f>
        <v>4361</v>
      </c>
      <c r="I11" s="6">
        <f>+I9+I10</f>
        <v>1725</v>
      </c>
      <c r="J11" s="6">
        <f>+J9+J10</f>
        <v>1538</v>
      </c>
      <c r="K11" s="6">
        <f>+K9+K10</f>
        <v>1894</v>
      </c>
      <c r="L11" s="6">
        <f>+L9+L10</f>
        <v>4299</v>
      </c>
      <c r="M11" s="6"/>
      <c r="N11" s="6"/>
      <c r="O11" s="6"/>
      <c r="P11" s="6"/>
      <c r="Q11" s="6"/>
      <c r="R11" s="6"/>
      <c r="S11" s="6"/>
    </row>
    <row r="12" spans="1:19" s="5" customFormat="1" x14ac:dyDescent="0.2">
      <c r="B12" s="5" t="s">
        <v>22</v>
      </c>
      <c r="C12" s="6"/>
      <c r="D12" s="6"/>
      <c r="E12" s="6">
        <f>538+8</f>
        <v>546</v>
      </c>
      <c r="F12" s="6">
        <f>305+1</f>
        <v>306</v>
      </c>
      <c r="G12" s="6">
        <f>415+9</f>
        <v>424</v>
      </c>
      <c r="H12" s="6">
        <f>1250+3</f>
        <v>1253</v>
      </c>
      <c r="I12" s="6">
        <f>272+4</f>
        <v>276</v>
      </c>
      <c r="J12" s="6">
        <f>302-1</f>
        <v>301</v>
      </c>
      <c r="K12" s="6">
        <f>401+10</f>
        <v>411</v>
      </c>
      <c r="L12" s="6">
        <f>839+12</f>
        <v>851</v>
      </c>
      <c r="M12" s="6"/>
      <c r="N12" s="6"/>
      <c r="O12" s="6"/>
      <c r="P12" s="6"/>
      <c r="Q12" s="6"/>
      <c r="R12" s="6"/>
      <c r="S12" s="6"/>
    </row>
    <row r="13" spans="1:19" s="5" customFormat="1" x14ac:dyDescent="0.2">
      <c r="B13" s="5" t="s">
        <v>21</v>
      </c>
      <c r="C13" s="6"/>
      <c r="D13" s="6"/>
      <c r="E13" s="6">
        <f>+E11-E12</f>
        <v>2114</v>
      </c>
      <c r="F13" s="6">
        <f>+F11-F12</f>
        <v>770</v>
      </c>
      <c r="G13" s="6">
        <f>+G11-G12</f>
        <v>1557</v>
      </c>
      <c r="H13" s="6">
        <f>+H11-H12</f>
        <v>3108</v>
      </c>
      <c r="I13" s="6">
        <f>+I11-I12</f>
        <v>1449</v>
      </c>
      <c r="J13" s="6">
        <f>+J11-J12</f>
        <v>1237</v>
      </c>
      <c r="K13" s="6">
        <f>+K11-K12</f>
        <v>1483</v>
      </c>
      <c r="L13" s="6">
        <f>+L11-L12</f>
        <v>3448</v>
      </c>
      <c r="M13" s="6"/>
      <c r="N13" s="6"/>
      <c r="O13" s="6"/>
      <c r="P13" s="6"/>
      <c r="Q13" s="6"/>
      <c r="R13" s="6"/>
      <c r="S13" s="6"/>
    </row>
    <row r="14" spans="1:19" x14ac:dyDescent="0.2">
      <c r="B14" t="s">
        <v>20</v>
      </c>
      <c r="E14" s="4">
        <f>E13/E15</f>
        <v>0.47559055118110238</v>
      </c>
      <c r="F14" s="4">
        <f>F13/F15</f>
        <v>0.17354068064007211</v>
      </c>
      <c r="G14" s="4">
        <f>G13/G15</f>
        <v>0.35210312075983718</v>
      </c>
      <c r="H14" s="4">
        <f>H13/H15</f>
        <v>0.70508166969147001</v>
      </c>
      <c r="I14" s="4">
        <f>I13/I15</f>
        <v>0.32939304387360763</v>
      </c>
      <c r="J14" s="4">
        <f>J13/J15</f>
        <v>0.28177676537585422</v>
      </c>
      <c r="K14" s="4">
        <f>K13/K15</f>
        <v>0.33842994066636239</v>
      </c>
      <c r="L14" s="4">
        <f>L13/L15</f>
        <v>0.78775416952250399</v>
      </c>
    </row>
    <row r="15" spans="1:19" s="5" customFormat="1" x14ac:dyDescent="0.2">
      <c r="B15" s="5" t="s">
        <v>1</v>
      </c>
      <c r="C15" s="6"/>
      <c r="D15" s="6"/>
      <c r="E15" s="6">
        <v>4445</v>
      </c>
      <c r="F15" s="6">
        <v>4437</v>
      </c>
      <c r="G15" s="6">
        <v>4422</v>
      </c>
      <c r="H15" s="6">
        <v>4408</v>
      </c>
      <c r="I15" s="6">
        <v>4399</v>
      </c>
      <c r="J15" s="6">
        <v>4390</v>
      </c>
      <c r="K15" s="6">
        <v>4382</v>
      </c>
      <c r="L15" s="6">
        <v>4377</v>
      </c>
      <c r="M15" s="6"/>
      <c r="N15" s="6"/>
      <c r="O15" s="6"/>
      <c r="P15" s="6"/>
      <c r="Q15" s="6"/>
      <c r="R15" s="6"/>
      <c r="S15" s="6"/>
    </row>
    <row r="17" spans="2:19" x14ac:dyDescent="0.2">
      <c r="B17" s="5" t="s">
        <v>7</v>
      </c>
      <c r="I17" s="10">
        <f>I3/E3-1</f>
        <v>-4.5841683366733443E-2</v>
      </c>
      <c r="J17" s="10">
        <f t="shared" ref="J17:L17" si="0">J3/F3-1</f>
        <v>-8.0206033848417957E-2</v>
      </c>
      <c r="K17" s="10">
        <f t="shared" si="0"/>
        <v>-4.005228270002803E-2</v>
      </c>
      <c r="L17" s="10">
        <f t="shared" si="0"/>
        <v>-5.075682790391578E-2</v>
      </c>
    </row>
    <row r="20" spans="2:19" x14ac:dyDescent="0.2">
      <c r="B20" t="s">
        <v>46</v>
      </c>
      <c r="G20" s="6">
        <f t="shared" ref="G20" si="1">G21-G35</f>
        <v>-8566</v>
      </c>
      <c r="H20" s="6">
        <f t="shared" ref="H20" si="2">H21-H35</f>
        <v>-7594</v>
      </c>
      <c r="I20" s="6">
        <f t="shared" ref="I20" si="3">I21-I35</f>
        <v>-8478</v>
      </c>
      <c r="J20" s="6">
        <f t="shared" ref="J20" si="4">J21-J35</f>
        <v>-8525</v>
      </c>
      <c r="K20" s="6">
        <f t="shared" ref="K20" si="5">K21-K35</f>
        <v>-10827</v>
      </c>
      <c r="L20" s="6">
        <f>L21-L35</f>
        <v>-6474</v>
      </c>
    </row>
    <row r="21" spans="2:19" s="5" customFormat="1" x14ac:dyDescent="0.2">
      <c r="B21" s="5" t="s">
        <v>3</v>
      </c>
      <c r="C21" s="6"/>
      <c r="D21" s="6"/>
      <c r="E21" s="6"/>
      <c r="F21" s="6"/>
      <c r="G21" s="6">
        <f>8211+8366+3472+9851+4044</f>
        <v>33944</v>
      </c>
      <c r="H21" s="6">
        <f>17514+3433+12771+3002</f>
        <v>36720</v>
      </c>
      <c r="I21" s="6">
        <f>19160+3614+12504+2430</f>
        <v>37708</v>
      </c>
      <c r="J21" s="6">
        <f>15631+4269+12318+3470</f>
        <v>35688</v>
      </c>
      <c r="K21" s="6">
        <f>18751+3460+12610+1186</f>
        <v>36007</v>
      </c>
      <c r="L21" s="6">
        <f>21402+2673+16215+1284</f>
        <v>41574</v>
      </c>
      <c r="M21" s="6"/>
      <c r="N21" s="6"/>
      <c r="O21" s="6"/>
      <c r="P21" s="6"/>
      <c r="Q21" s="6"/>
      <c r="R21" s="6"/>
      <c r="S21" s="6"/>
    </row>
    <row r="22" spans="2:19" s="5" customFormat="1" x14ac:dyDescent="0.2">
      <c r="B22" s="5" t="s">
        <v>31</v>
      </c>
      <c r="C22" s="6"/>
      <c r="D22" s="6"/>
      <c r="E22" s="6"/>
      <c r="F22" s="6"/>
      <c r="G22" s="6">
        <v>4461</v>
      </c>
      <c r="H22" s="6">
        <v>4976</v>
      </c>
      <c r="I22" s="6">
        <v>4028</v>
      </c>
      <c r="J22" s="6">
        <v>3941</v>
      </c>
      <c r="K22" s="6">
        <v>4147</v>
      </c>
      <c r="L22" s="6">
        <v>4768</v>
      </c>
      <c r="M22" s="6"/>
      <c r="N22" s="6"/>
      <c r="O22" s="6"/>
      <c r="P22" s="6"/>
      <c r="Q22" s="6"/>
      <c r="R22" s="6"/>
      <c r="S22" s="6"/>
    </row>
    <row r="23" spans="2:19" s="5" customFormat="1" x14ac:dyDescent="0.2">
      <c r="B23" s="5" t="s">
        <v>32</v>
      </c>
      <c r="C23" s="6"/>
      <c r="D23" s="6"/>
      <c r="E23" s="6"/>
      <c r="F23" s="6"/>
      <c r="G23" s="6">
        <v>3219</v>
      </c>
      <c r="H23" s="6">
        <v>3224</v>
      </c>
      <c r="I23" s="6">
        <v>2910</v>
      </c>
      <c r="J23" s="6">
        <v>2902</v>
      </c>
      <c r="K23" s="6">
        <v>3052</v>
      </c>
      <c r="L23" s="6">
        <v>3005</v>
      </c>
      <c r="M23" s="6"/>
      <c r="N23" s="6"/>
      <c r="O23" s="6"/>
      <c r="P23" s="6"/>
      <c r="Q23" s="6"/>
      <c r="R23" s="6"/>
      <c r="S23" s="6"/>
    </row>
    <row r="24" spans="2:19" s="5" customFormat="1" x14ac:dyDescent="0.2">
      <c r="B24" s="5" t="s">
        <v>33</v>
      </c>
      <c r="C24" s="6"/>
      <c r="D24" s="6"/>
      <c r="E24" s="6"/>
      <c r="F24" s="6"/>
      <c r="G24" s="6">
        <v>3605</v>
      </c>
      <c r="H24" s="6">
        <v>3159</v>
      </c>
      <c r="I24" s="6">
        <v>3029</v>
      </c>
      <c r="J24" s="6">
        <v>2752</v>
      </c>
      <c r="K24" s="6">
        <v>3314</v>
      </c>
      <c r="L24" s="6">
        <v>3332</v>
      </c>
      <c r="M24" s="6"/>
      <c r="N24" s="6"/>
      <c r="O24" s="6"/>
      <c r="P24" s="6"/>
      <c r="Q24" s="6"/>
      <c r="R24" s="6"/>
      <c r="S24" s="6"/>
    </row>
    <row r="25" spans="2:19" s="5" customFormat="1" x14ac:dyDescent="0.2">
      <c r="B25" s="5" t="s">
        <v>34</v>
      </c>
      <c r="C25" s="6"/>
      <c r="D25" s="6"/>
      <c r="E25" s="6"/>
      <c r="F25" s="6"/>
      <c r="G25" s="6">
        <v>785</v>
      </c>
      <c r="H25" s="6">
        <v>497</v>
      </c>
      <c r="I25" s="6">
        <v>3853</v>
      </c>
      <c r="J25" s="6">
        <v>3900</v>
      </c>
      <c r="K25" s="6">
        <v>3786</v>
      </c>
      <c r="L25" s="6">
        <v>693</v>
      </c>
      <c r="M25" s="6"/>
      <c r="N25" s="6"/>
      <c r="O25" s="6"/>
      <c r="P25" s="6"/>
      <c r="Q25" s="6"/>
      <c r="R25" s="6"/>
      <c r="S25" s="6"/>
    </row>
    <row r="26" spans="2:19" s="5" customFormat="1" x14ac:dyDescent="0.2">
      <c r="B26" s="5" t="s">
        <v>35</v>
      </c>
      <c r="C26" s="6"/>
      <c r="D26" s="6"/>
      <c r="E26" s="6"/>
      <c r="F26" s="6"/>
      <c r="G26" s="6">
        <v>4602</v>
      </c>
      <c r="H26" s="6">
        <v>4517</v>
      </c>
      <c r="I26" s="6">
        <v>4446</v>
      </c>
      <c r="J26" s="6">
        <v>4207</v>
      </c>
      <c r="K26" s="6">
        <v>4314</v>
      </c>
      <c r="L26" s="6">
        <v>4370</v>
      </c>
      <c r="M26" s="6"/>
      <c r="N26" s="6"/>
      <c r="O26" s="6"/>
      <c r="P26" s="6"/>
      <c r="Q26" s="6"/>
      <c r="R26" s="6"/>
      <c r="S26" s="6"/>
    </row>
    <row r="27" spans="2:19" s="5" customFormat="1" x14ac:dyDescent="0.2">
      <c r="B27" s="5" t="s">
        <v>36</v>
      </c>
      <c r="C27" s="6"/>
      <c r="D27" s="6"/>
      <c r="E27" s="6"/>
      <c r="F27" s="6"/>
      <c r="G27" s="6">
        <v>14346</v>
      </c>
      <c r="H27" s="6">
        <v>14365</v>
      </c>
      <c r="I27" s="6">
        <v>12615</v>
      </c>
      <c r="J27" s="6">
        <v>12571</v>
      </c>
      <c r="K27" s="6">
        <v>12613</v>
      </c>
      <c r="L27" s="6">
        <v>12663</v>
      </c>
      <c r="M27" s="6"/>
      <c r="N27" s="6"/>
      <c r="O27" s="6"/>
      <c r="P27" s="6"/>
      <c r="Q27" s="6"/>
      <c r="R27" s="6"/>
      <c r="S27" s="6"/>
    </row>
    <row r="28" spans="2:19" s="5" customFormat="1" x14ac:dyDescent="0.2">
      <c r="B28" s="5" t="s">
        <v>37</v>
      </c>
      <c r="C28" s="6"/>
      <c r="D28" s="6"/>
      <c r="E28" s="6"/>
      <c r="F28" s="6"/>
      <c r="G28" s="6">
        <v>6424</v>
      </c>
      <c r="H28" s="6">
        <v>6085</v>
      </c>
      <c r="I28" s="6">
        <v>6032</v>
      </c>
      <c r="J28" s="6">
        <v>5989</v>
      </c>
      <c r="K28" s="6">
        <v>6014</v>
      </c>
      <c r="L28" s="6">
        <v>6038</v>
      </c>
      <c r="M28" s="6"/>
      <c r="N28" s="6"/>
      <c r="O28" s="6"/>
      <c r="P28" s="6"/>
      <c r="Q28" s="6"/>
      <c r="R28" s="6"/>
      <c r="S28" s="6"/>
    </row>
    <row r="29" spans="2:19" s="5" customFormat="1" x14ac:dyDescent="0.2">
      <c r="B29" s="5" t="s">
        <v>38</v>
      </c>
      <c r="C29" s="6"/>
      <c r="D29" s="6"/>
      <c r="E29" s="6"/>
      <c r="F29" s="6"/>
      <c r="G29" s="6">
        <v>6620</v>
      </c>
      <c r="H29" s="6">
        <v>7313</v>
      </c>
      <c r="I29" s="6">
        <v>6133</v>
      </c>
      <c r="J29" s="6">
        <v>6000</v>
      </c>
      <c r="K29" s="6">
        <v>5714</v>
      </c>
      <c r="L29" s="6">
        <v>5616</v>
      </c>
      <c r="M29" s="6"/>
      <c r="N29" s="6"/>
      <c r="O29" s="6"/>
      <c r="P29" s="6"/>
      <c r="Q29" s="6"/>
      <c r="R29" s="6"/>
      <c r="S29" s="6"/>
    </row>
    <row r="30" spans="2:19" s="5" customFormat="1" x14ac:dyDescent="0.2">
      <c r="B30" s="5" t="s">
        <v>39</v>
      </c>
      <c r="C30" s="6"/>
      <c r="D30" s="6"/>
      <c r="E30" s="6"/>
      <c r="F30" s="6"/>
      <c r="G30" s="6">
        <v>11993</v>
      </c>
      <c r="H30" s="6">
        <v>11706</v>
      </c>
      <c r="I30" s="6">
        <v>11357</v>
      </c>
      <c r="J30" s="6">
        <v>11289</v>
      </c>
      <c r="K30" s="6">
        <v>11396</v>
      </c>
      <c r="L30" s="6">
        <v>11204</v>
      </c>
      <c r="M30" s="6"/>
      <c r="N30" s="6"/>
      <c r="O30" s="6"/>
      <c r="P30" s="6"/>
      <c r="Q30" s="6"/>
      <c r="R30" s="6"/>
      <c r="S30" s="6"/>
    </row>
    <row r="31" spans="2:19" s="5" customFormat="1" x14ac:dyDescent="0.2">
      <c r="B31" s="5" t="s">
        <v>40</v>
      </c>
      <c r="C31" s="6"/>
      <c r="D31" s="6"/>
      <c r="E31" s="6"/>
      <c r="F31" s="6"/>
      <c r="G31" s="6">
        <v>1017</v>
      </c>
      <c r="H31" s="6">
        <v>976</v>
      </c>
      <c r="I31" s="6">
        <v>897</v>
      </c>
      <c r="J31" s="6">
        <v>854</v>
      </c>
      <c r="K31" s="6">
        <v>906</v>
      </c>
      <c r="L31" s="6">
        <v>831</v>
      </c>
      <c r="M31" s="6"/>
      <c r="N31" s="6"/>
      <c r="O31" s="6"/>
      <c r="P31" s="6"/>
      <c r="Q31" s="6"/>
      <c r="R31" s="6"/>
      <c r="S31" s="6"/>
    </row>
    <row r="32" spans="2:19" s="5" customFormat="1" x14ac:dyDescent="0.2">
      <c r="B32" s="5" t="s">
        <v>30</v>
      </c>
      <c r="C32" s="6"/>
      <c r="D32" s="6"/>
      <c r="E32" s="6"/>
      <c r="F32" s="6"/>
      <c r="G32" s="6">
        <f t="shared" ref="G32:K32" si="6">SUM(G21:G31)</f>
        <v>91016</v>
      </c>
      <c r="H32" s="6">
        <f t="shared" si="6"/>
        <v>93538</v>
      </c>
      <c r="I32" s="6">
        <f t="shared" si="6"/>
        <v>93008</v>
      </c>
      <c r="J32" s="6">
        <f t="shared" si="6"/>
        <v>90093</v>
      </c>
      <c r="K32" s="6">
        <f t="shared" si="6"/>
        <v>91263</v>
      </c>
      <c r="L32" s="6">
        <f>SUM(L21:L31)</f>
        <v>94094</v>
      </c>
      <c r="M32" s="6"/>
      <c r="N32" s="6"/>
      <c r="O32" s="6"/>
      <c r="P32" s="6"/>
      <c r="Q32" s="6"/>
      <c r="R32" s="6"/>
      <c r="S32" s="6"/>
    </row>
    <row r="34" spans="2:19" s="5" customFormat="1" x14ac:dyDescent="0.2">
      <c r="B34" s="5" t="s">
        <v>45</v>
      </c>
      <c r="C34" s="6"/>
      <c r="D34" s="6"/>
      <c r="E34" s="6"/>
      <c r="F34" s="6"/>
      <c r="G34" s="6">
        <v>8853</v>
      </c>
      <c r="H34" s="6">
        <v>9997</v>
      </c>
      <c r="I34" s="6">
        <v>9877</v>
      </c>
      <c r="J34" s="6">
        <v>9660</v>
      </c>
      <c r="K34" s="6">
        <v>9626</v>
      </c>
      <c r="L34" s="6">
        <v>10235</v>
      </c>
      <c r="M34" s="6"/>
      <c r="N34" s="6"/>
      <c r="O34" s="6"/>
      <c r="P34" s="6"/>
      <c r="Q34" s="6"/>
      <c r="R34" s="6"/>
      <c r="S34" s="6"/>
    </row>
    <row r="35" spans="2:19" s="5" customFormat="1" x14ac:dyDescent="0.2">
      <c r="B35" s="5" t="s">
        <v>4</v>
      </c>
      <c r="C35" s="6"/>
      <c r="D35" s="6"/>
      <c r="E35" s="6"/>
      <c r="F35" s="6"/>
      <c r="G35" s="6">
        <f>14383+26087+2040</f>
        <v>42510</v>
      </c>
      <c r="H35" s="6">
        <f>16306+2031+25977</f>
        <v>44314</v>
      </c>
      <c r="I35" s="6">
        <f>17545+25949+2692</f>
        <v>46186</v>
      </c>
      <c r="J35" s="6">
        <f>13129+28407+2677</f>
        <v>44213</v>
      </c>
      <c r="K35" s="6">
        <f>14888+26990+4956</f>
        <v>46834</v>
      </c>
      <c r="L35" s="6">
        <f>13901+4895+29252</f>
        <v>48048</v>
      </c>
      <c r="M35" s="6"/>
      <c r="N35" s="6"/>
      <c r="O35" s="6"/>
      <c r="P35" s="6"/>
      <c r="Q35" s="6"/>
      <c r="R35" s="6"/>
      <c r="S35" s="6"/>
    </row>
    <row r="36" spans="2:19" s="5" customFormat="1" x14ac:dyDescent="0.2">
      <c r="B36" s="5" t="s">
        <v>22</v>
      </c>
      <c r="C36" s="6"/>
      <c r="D36" s="6"/>
      <c r="E36" s="6"/>
      <c r="F36" s="6"/>
      <c r="G36" s="6">
        <v>689</v>
      </c>
      <c r="H36" s="6">
        <v>437</v>
      </c>
      <c r="I36" s="6">
        <v>383</v>
      </c>
      <c r="J36" s="6">
        <v>331</v>
      </c>
      <c r="K36" s="6">
        <v>275</v>
      </c>
      <c r="L36" s="6">
        <v>375</v>
      </c>
      <c r="M36" s="6"/>
      <c r="N36" s="6"/>
      <c r="O36" s="6"/>
      <c r="P36" s="6"/>
      <c r="Q36" s="6"/>
      <c r="R36" s="6"/>
      <c r="S36" s="6"/>
    </row>
    <row r="37" spans="2:19" s="5" customFormat="1" x14ac:dyDescent="0.2">
      <c r="B37" s="5" t="s">
        <v>34</v>
      </c>
      <c r="C37" s="6"/>
      <c r="D37" s="6"/>
      <c r="E37" s="6"/>
      <c r="F37" s="6"/>
      <c r="G37" s="6">
        <v>158</v>
      </c>
      <c r="H37" s="6">
        <v>81</v>
      </c>
      <c r="I37" s="6">
        <v>1048</v>
      </c>
      <c r="J37" s="6">
        <v>1133</v>
      </c>
      <c r="K37" s="6">
        <v>1242</v>
      </c>
      <c r="L37" s="6">
        <v>138</v>
      </c>
      <c r="M37" s="6"/>
      <c r="N37" s="6"/>
      <c r="O37" s="6"/>
      <c r="P37" s="6"/>
      <c r="Q37" s="6"/>
      <c r="R37" s="6"/>
      <c r="S37" s="6"/>
    </row>
    <row r="38" spans="2:19" s="5" customFormat="1" x14ac:dyDescent="0.2">
      <c r="B38" s="5" t="s">
        <v>44</v>
      </c>
      <c r="C38" s="6"/>
      <c r="D38" s="6"/>
      <c r="E38" s="6"/>
      <c r="F38" s="6"/>
      <c r="G38" s="6">
        <v>4296</v>
      </c>
      <c r="H38" s="6">
        <v>4283</v>
      </c>
      <c r="I38" s="6">
        <v>4194</v>
      </c>
      <c r="J38" s="6">
        <v>4301</v>
      </c>
      <c r="K38" s="6">
        <v>3820</v>
      </c>
      <c r="L38" s="6">
        <v>3963</v>
      </c>
      <c r="M38" s="6"/>
      <c r="N38" s="6"/>
      <c r="O38" s="6"/>
      <c r="P38" s="6"/>
      <c r="Q38" s="6"/>
      <c r="R38" s="6"/>
      <c r="S38" s="6"/>
    </row>
    <row r="39" spans="2:19" s="5" customFormat="1" x14ac:dyDescent="0.2">
      <c r="B39" s="5" t="s">
        <v>43</v>
      </c>
      <c r="C39" s="6"/>
      <c r="D39" s="6"/>
      <c r="E39" s="6"/>
      <c r="F39" s="6"/>
      <c r="G39" s="6">
        <v>5432</v>
      </c>
      <c r="H39" s="6">
        <v>5785</v>
      </c>
      <c r="I39" s="6">
        <v>5053</v>
      </c>
      <c r="J39" s="6">
        <v>4691</v>
      </c>
      <c r="K39" s="6">
        <v>4337</v>
      </c>
      <c r="L39" s="6">
        <v>4497</v>
      </c>
      <c r="M39" s="6"/>
      <c r="N39" s="6"/>
      <c r="O39" s="6"/>
      <c r="P39" s="6"/>
      <c r="Q39" s="6"/>
      <c r="R39" s="6"/>
      <c r="S39" s="6"/>
    </row>
    <row r="40" spans="2:19" s="5" customFormat="1" x14ac:dyDescent="0.2">
      <c r="B40" s="5" t="s">
        <v>42</v>
      </c>
      <c r="C40" s="6"/>
      <c r="D40" s="6"/>
      <c r="E40" s="6"/>
      <c r="F40" s="6"/>
      <c r="G40" s="6">
        <v>29078</v>
      </c>
      <c r="H40" s="6">
        <v>28641</v>
      </c>
      <c r="I40" s="6">
        <v>26267</v>
      </c>
      <c r="J40" s="6">
        <v>25764</v>
      </c>
      <c r="K40" s="6">
        <v>25129</v>
      </c>
      <c r="L40" s="6">
        <v>26838</v>
      </c>
      <c r="M40" s="6"/>
      <c r="N40" s="6"/>
      <c r="O40" s="6"/>
      <c r="P40" s="6"/>
      <c r="Q40" s="6"/>
      <c r="R40" s="6"/>
      <c r="S40" s="6"/>
    </row>
    <row r="41" spans="2:19" s="5" customFormat="1" x14ac:dyDescent="0.2">
      <c r="B41" s="5" t="s">
        <v>41</v>
      </c>
      <c r="C41" s="6"/>
      <c r="D41" s="6"/>
      <c r="E41" s="6"/>
      <c r="F41" s="6"/>
      <c r="G41" s="6">
        <f t="shared" ref="G41:K41" si="7">SUM(G34:G40)</f>
        <v>91016</v>
      </c>
      <c r="H41" s="6">
        <f t="shared" si="7"/>
        <v>93538</v>
      </c>
      <c r="I41" s="6">
        <f t="shared" si="7"/>
        <v>93008</v>
      </c>
      <c r="J41" s="6">
        <f t="shared" si="7"/>
        <v>90093</v>
      </c>
      <c r="K41" s="6">
        <f t="shared" si="7"/>
        <v>91263</v>
      </c>
      <c r="L41" s="6">
        <f>SUM(L34:L40)</f>
        <v>94094</v>
      </c>
      <c r="M41" s="6"/>
      <c r="N41" s="6"/>
      <c r="O41" s="6"/>
      <c r="P41" s="6"/>
      <c r="Q41" s="6"/>
      <c r="R41" s="6"/>
      <c r="S41" s="6"/>
    </row>
    <row r="43" spans="2:19" s="5" customFormat="1" x14ac:dyDescent="0.2">
      <c r="B43" s="5" t="s">
        <v>47</v>
      </c>
      <c r="C43" s="6"/>
      <c r="D43" s="6"/>
      <c r="E43" s="6"/>
      <c r="F43" s="6"/>
      <c r="G43" s="6">
        <f>G13</f>
        <v>1557</v>
      </c>
      <c r="H43" s="6">
        <f>H13</f>
        <v>3108</v>
      </c>
      <c r="I43" s="6">
        <f>I13</f>
        <v>1449</v>
      </c>
      <c r="J43" s="6">
        <f>J13</f>
        <v>1237</v>
      </c>
      <c r="K43" s="6">
        <f>K13</f>
        <v>1483</v>
      </c>
      <c r="L43" s="6">
        <f t="shared" ref="L43" si="8">L13</f>
        <v>3448</v>
      </c>
      <c r="M43" s="6"/>
      <c r="N43" s="6"/>
      <c r="O43" s="6"/>
      <c r="P43" s="6"/>
      <c r="Q43" s="6"/>
      <c r="R43" s="6"/>
      <c r="S43" s="6"/>
    </row>
    <row r="44" spans="2:19" s="5" customFormat="1" x14ac:dyDescent="0.2">
      <c r="B44" s="5" t="s">
        <v>48</v>
      </c>
      <c r="C44" s="6"/>
      <c r="D44" s="6"/>
      <c r="E44" s="6"/>
      <c r="F44" s="6"/>
      <c r="G44" s="6">
        <v>1566</v>
      </c>
      <c r="H44" s="6">
        <f>4677-G44</f>
        <v>3111</v>
      </c>
      <c r="I44" s="6">
        <f>6130-H44-G44</f>
        <v>1453</v>
      </c>
      <c r="J44" s="6">
        <f>7366-I44-H44-G44</f>
        <v>1236</v>
      </c>
      <c r="K44" s="6">
        <v>1493</v>
      </c>
      <c r="L44" s="6">
        <f>4953-K44</f>
        <v>3460</v>
      </c>
      <c r="M44" s="6"/>
      <c r="N44" s="6"/>
      <c r="O44" s="6"/>
      <c r="P44" s="6"/>
      <c r="Q44" s="6"/>
      <c r="R44" s="6"/>
      <c r="S44" s="6"/>
    </row>
    <row r="45" spans="2:19" s="5" customFormat="1" x14ac:dyDescent="0.2">
      <c r="B45" s="5" t="s">
        <v>50</v>
      </c>
      <c r="C45" s="6"/>
      <c r="D45" s="6"/>
      <c r="E45" s="6"/>
      <c r="F45" s="6"/>
      <c r="G45" s="6">
        <v>473</v>
      </c>
      <c r="H45" s="6">
        <f>961-G45</f>
        <v>488</v>
      </c>
      <c r="I45" s="6">
        <f>1443-H45-G45</f>
        <v>482</v>
      </c>
      <c r="J45" s="6">
        <f>1970-I45-H45-G45</f>
        <v>527</v>
      </c>
      <c r="K45" s="6">
        <v>458</v>
      </c>
      <c r="L45" s="6">
        <f>903-K45</f>
        <v>445</v>
      </c>
      <c r="M45" s="6"/>
      <c r="N45" s="6"/>
      <c r="O45" s="6"/>
      <c r="P45" s="6"/>
      <c r="Q45" s="6"/>
      <c r="R45" s="6"/>
      <c r="S45" s="6"/>
    </row>
    <row r="46" spans="2:19" s="5" customFormat="1" x14ac:dyDescent="0.2">
      <c r="B46" s="5" t="s">
        <v>51</v>
      </c>
      <c r="C46" s="6"/>
      <c r="D46" s="6"/>
      <c r="E46" s="6"/>
      <c r="F46" s="6"/>
      <c r="G46" s="6">
        <v>60</v>
      </c>
      <c r="H46" s="6">
        <f>117-G46</f>
        <v>57</v>
      </c>
      <c r="I46" s="6">
        <f>171-H46-G46</f>
        <v>54</v>
      </c>
      <c r="J46" s="6">
        <f>236-I46-H46-G46</f>
        <v>65</v>
      </c>
      <c r="K46" s="6">
        <v>69</v>
      </c>
      <c r="L46" s="6">
        <f>119-K46</f>
        <v>50</v>
      </c>
      <c r="M46" s="6"/>
      <c r="N46" s="6"/>
      <c r="O46" s="6"/>
      <c r="P46" s="6"/>
      <c r="Q46" s="6"/>
      <c r="R46" s="6"/>
      <c r="S46" s="6"/>
    </row>
    <row r="47" spans="2:19" s="5" customFormat="1" x14ac:dyDescent="0.2">
      <c r="B47" s="5" t="s">
        <v>43</v>
      </c>
      <c r="C47" s="6"/>
      <c r="D47" s="6"/>
      <c r="E47" s="6"/>
      <c r="F47" s="6"/>
      <c r="G47" s="6">
        <v>8</v>
      </c>
      <c r="H47" s="6">
        <f>643-G47</f>
        <v>635</v>
      </c>
      <c r="I47" s="6">
        <f>212-H47-G47</f>
        <v>-431</v>
      </c>
      <c r="J47" s="6">
        <f>73-I47-H47-G47</f>
        <v>-139</v>
      </c>
      <c r="K47" s="6">
        <v>-81</v>
      </c>
      <c r="L47" s="6">
        <f>-178-K47</f>
        <v>-97</v>
      </c>
      <c r="M47" s="6"/>
      <c r="N47" s="6"/>
      <c r="O47" s="6"/>
      <c r="P47" s="6"/>
      <c r="Q47" s="6"/>
      <c r="R47" s="6"/>
      <c r="S47" s="6"/>
    </row>
    <row r="48" spans="2:19" s="5" customFormat="1" x14ac:dyDescent="0.2">
      <c r="B48" s="5" t="s">
        <v>52</v>
      </c>
      <c r="C48" s="6"/>
      <c r="D48" s="6"/>
      <c r="E48" s="6"/>
      <c r="F48" s="6"/>
      <c r="G48" s="6">
        <v>8</v>
      </c>
      <c r="H48" s="6">
        <f>-44-G48</f>
        <v>-52</v>
      </c>
      <c r="I48" s="6">
        <f>-150-H48-G48</f>
        <v>-106</v>
      </c>
      <c r="J48" s="6">
        <f>-122-I48-H48-G48</f>
        <v>28</v>
      </c>
      <c r="K48" s="6">
        <v>-79</v>
      </c>
      <c r="L48" s="6">
        <f>-224-K48</f>
        <v>-145</v>
      </c>
      <c r="M48" s="6"/>
      <c r="N48" s="6"/>
      <c r="O48" s="6"/>
      <c r="P48" s="6"/>
      <c r="Q48" s="6"/>
      <c r="R48" s="6"/>
      <c r="S48" s="6"/>
    </row>
    <row r="49" spans="2:19" s="5" customFormat="1" x14ac:dyDescent="0.2">
      <c r="B49" s="5" t="s">
        <v>49</v>
      </c>
      <c r="C49" s="6"/>
      <c r="D49" s="6"/>
      <c r="E49" s="6"/>
      <c r="F49" s="6"/>
      <c r="G49" s="6">
        <v>-46</v>
      </c>
      <c r="H49" s="6">
        <f>-144-G49</f>
        <v>-98</v>
      </c>
      <c r="I49" s="6">
        <f>-76-H49-G49</f>
        <v>68</v>
      </c>
      <c r="J49" s="6">
        <f>-137-I49-H49-G49</f>
        <v>-61</v>
      </c>
      <c r="K49" s="6">
        <v>93</v>
      </c>
      <c r="L49" s="6">
        <f>118-K49</f>
        <v>25</v>
      </c>
      <c r="M49" s="6"/>
      <c r="N49" s="6"/>
      <c r="O49" s="6"/>
      <c r="P49" s="6"/>
      <c r="Q49" s="6"/>
      <c r="R49" s="6"/>
      <c r="S49" s="6"/>
    </row>
    <row r="50" spans="2:19" s="5" customFormat="1" x14ac:dyDescent="0.2">
      <c r="B50" s="5" t="s">
        <v>53</v>
      </c>
      <c r="C50" s="6"/>
      <c r="D50" s="6"/>
      <c r="E50" s="6"/>
      <c r="F50" s="6"/>
      <c r="G50" s="6">
        <v>33</v>
      </c>
      <c r="H50" s="6">
        <f>-1346-G50</f>
        <v>-1379</v>
      </c>
      <c r="I50" s="6">
        <f>-550-H50-G50</f>
        <v>796</v>
      </c>
      <c r="J50" s="6">
        <f>-374-I50-H50-G50</f>
        <v>176</v>
      </c>
      <c r="K50" s="6">
        <v>362</v>
      </c>
      <c r="L50" s="6">
        <f>-762-K50</f>
        <v>-1124</v>
      </c>
      <c r="M50" s="6"/>
      <c r="N50" s="6"/>
      <c r="O50" s="6"/>
      <c r="P50" s="6"/>
      <c r="Q50" s="6"/>
      <c r="R50" s="6"/>
      <c r="S50" s="6"/>
    </row>
    <row r="51" spans="2:19" s="5" customFormat="1" x14ac:dyDescent="0.2">
      <c r="B51" s="5" t="s">
        <v>54</v>
      </c>
      <c r="C51" s="6"/>
      <c r="D51" s="6"/>
      <c r="E51" s="6"/>
      <c r="F51" s="6"/>
      <c r="G51" s="6">
        <v>139</v>
      </c>
      <c r="H51" s="6">
        <f>609-G51</f>
        <v>470</v>
      </c>
      <c r="I51" s="6">
        <f>697-H51-G51</f>
        <v>88</v>
      </c>
      <c r="J51" s="6">
        <f>929-I51-H51-G51</f>
        <v>232</v>
      </c>
      <c r="K51" s="6">
        <v>142</v>
      </c>
      <c r="L51" s="6">
        <f>210-K51</f>
        <v>68</v>
      </c>
      <c r="M51" s="6"/>
      <c r="N51" s="6"/>
      <c r="O51" s="6"/>
      <c r="P51" s="6"/>
      <c r="Q51" s="6"/>
      <c r="R51" s="6"/>
      <c r="S51" s="6"/>
    </row>
    <row r="52" spans="2:19" s="5" customFormat="1" x14ac:dyDescent="0.2">
      <c r="B52" s="5" t="s">
        <v>55</v>
      </c>
      <c r="C52" s="6"/>
      <c r="D52" s="6"/>
      <c r="E52" s="6"/>
      <c r="F52" s="6"/>
      <c r="G52" s="6">
        <v>522</v>
      </c>
      <c r="H52" s="6">
        <f>609-G52</f>
        <v>87</v>
      </c>
      <c r="I52" s="6">
        <f>859-H52-G52</f>
        <v>250</v>
      </c>
      <c r="J52" s="6">
        <f>744-I52-H52-G52</f>
        <v>-115</v>
      </c>
      <c r="K52" s="6">
        <v>-173</v>
      </c>
      <c r="L52" s="6">
        <f>-125-K52</f>
        <v>48</v>
      </c>
      <c r="M52" s="6"/>
      <c r="N52" s="6"/>
      <c r="O52" s="6"/>
      <c r="P52" s="6"/>
      <c r="Q52" s="6"/>
      <c r="R52" s="6"/>
      <c r="S52" s="6"/>
    </row>
    <row r="53" spans="2:19" s="5" customFormat="1" x14ac:dyDescent="0.2">
      <c r="B53" s="5" t="s">
        <v>56</v>
      </c>
      <c r="C53" s="6"/>
      <c r="D53" s="6"/>
      <c r="E53" s="6"/>
      <c r="F53" s="6"/>
      <c r="G53" s="6">
        <v>-1189</v>
      </c>
      <c r="H53" s="6">
        <f>-964-G53</f>
        <v>225</v>
      </c>
      <c r="I53" s="6">
        <f>-346-H53-G53</f>
        <v>618</v>
      </c>
      <c r="J53" s="6">
        <f>-157-I53-H53-G53</f>
        <v>189</v>
      </c>
      <c r="K53" s="6">
        <v>-1680</v>
      </c>
      <c r="L53" s="6">
        <f>-1194-K53</f>
        <v>486</v>
      </c>
      <c r="M53" s="6"/>
      <c r="N53" s="6"/>
      <c r="O53" s="6"/>
      <c r="P53" s="6"/>
      <c r="Q53" s="6"/>
      <c r="R53" s="6"/>
      <c r="S53" s="6"/>
    </row>
    <row r="54" spans="2:19" s="8" customFormat="1" x14ac:dyDescent="0.2">
      <c r="B54" s="8" t="s">
        <v>57</v>
      </c>
      <c r="C54" s="9"/>
      <c r="D54" s="9"/>
      <c r="E54" s="9"/>
      <c r="F54" s="9"/>
      <c r="G54" s="9">
        <f t="shared" ref="G54:J54" si="9">SUM(G44:G53)</f>
        <v>1574</v>
      </c>
      <c r="H54" s="9">
        <f t="shared" si="9"/>
        <v>3544</v>
      </c>
      <c r="I54" s="9">
        <f t="shared" si="9"/>
        <v>3272</v>
      </c>
      <c r="J54" s="9">
        <f t="shared" si="9"/>
        <v>2138</v>
      </c>
      <c r="K54" s="9">
        <f>SUM(K44:K53)</f>
        <v>604</v>
      </c>
      <c r="L54" s="9">
        <f>SUM(L44:L53)</f>
        <v>3216</v>
      </c>
      <c r="M54" s="9"/>
      <c r="N54" s="9"/>
      <c r="O54" s="9"/>
      <c r="P54" s="9"/>
      <c r="Q54" s="9"/>
      <c r="R54" s="9"/>
      <c r="S54" s="9"/>
    </row>
    <row r="55" spans="2:19" s="5" customFormat="1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2:19" s="5" customFormat="1" x14ac:dyDescent="0.2">
      <c r="B56" s="5" t="s">
        <v>58</v>
      </c>
      <c r="C56" s="6"/>
      <c r="D56" s="6"/>
      <c r="E56" s="6"/>
      <c r="F56" s="6"/>
      <c r="G56" s="6">
        <f>-4003+3746</f>
        <v>-257</v>
      </c>
      <c r="H56" s="6">
        <f>-6981+6316-G56</f>
        <v>-408</v>
      </c>
      <c r="I56" s="6">
        <f>-12006+10403-H56-G56</f>
        <v>-938</v>
      </c>
      <c r="J56" s="6">
        <f>-15831+14079-I56-H56-G56</f>
        <v>-149</v>
      </c>
      <c r="K56" s="6">
        <f>-4763+6010</f>
        <v>1247</v>
      </c>
      <c r="L56" s="6">
        <f>-9045+9518-K56</f>
        <v>-774</v>
      </c>
      <c r="M56" s="6"/>
      <c r="N56" s="6"/>
      <c r="O56" s="6"/>
      <c r="P56" s="6"/>
      <c r="Q56" s="6"/>
      <c r="R56" s="6"/>
      <c r="S56" s="6"/>
    </row>
    <row r="57" spans="2:19" s="5" customFormat="1" x14ac:dyDescent="0.2">
      <c r="B57" s="5" t="s">
        <v>59</v>
      </c>
      <c r="C57" s="6"/>
      <c r="D57" s="6"/>
      <c r="E57" s="6"/>
      <c r="F57" s="6"/>
      <c r="G57" s="6">
        <v>-603</v>
      </c>
      <c r="H57" s="6">
        <f>-2284-G57</f>
        <v>-1681</v>
      </c>
      <c r="I57" s="6">
        <f>-2489-H57-G57</f>
        <v>-205</v>
      </c>
      <c r="J57" s="6">
        <f>-2491-I57-H57-G57</f>
        <v>-2</v>
      </c>
      <c r="K57" s="6">
        <v>-688</v>
      </c>
      <c r="L57" s="6">
        <f>-723-K57</f>
        <v>-35</v>
      </c>
      <c r="M57" s="6"/>
      <c r="N57" s="6"/>
      <c r="O57" s="6"/>
      <c r="P57" s="6"/>
      <c r="Q57" s="6"/>
      <c r="R57" s="6"/>
      <c r="S57" s="6"/>
    </row>
    <row r="58" spans="2:19" s="5" customFormat="1" x14ac:dyDescent="0.2">
      <c r="B58" s="5" t="s">
        <v>60</v>
      </c>
      <c r="C58" s="6"/>
      <c r="D58" s="6"/>
      <c r="E58" s="6"/>
      <c r="F58" s="6"/>
      <c r="G58" s="6">
        <v>229</v>
      </c>
      <c r="H58" s="6">
        <f>413-G58</f>
        <v>184</v>
      </c>
      <c r="I58" s="6">
        <f>416-H58-G58</f>
        <v>3</v>
      </c>
      <c r="J58" s="6">
        <f>565-I58-H58-G58</f>
        <v>149</v>
      </c>
      <c r="K58" s="6">
        <v>291</v>
      </c>
      <c r="L58" s="6">
        <f>420-K58</f>
        <v>129</v>
      </c>
      <c r="M58" s="6"/>
      <c r="N58" s="6"/>
      <c r="O58" s="6"/>
      <c r="P58" s="6"/>
      <c r="Q58" s="6"/>
      <c r="R58" s="6"/>
      <c r="S58" s="6"/>
    </row>
    <row r="59" spans="2:19" s="5" customFormat="1" x14ac:dyDescent="0.2">
      <c r="B59" s="5" t="s">
        <v>36</v>
      </c>
      <c r="C59" s="6"/>
      <c r="D59" s="6"/>
      <c r="E59" s="6"/>
      <c r="F59" s="6"/>
      <c r="G59" s="6">
        <v>-516</v>
      </c>
      <c r="H59" s="6">
        <f>-1114-G59</f>
        <v>-598</v>
      </c>
      <c r="I59" s="6">
        <f>-1670-H59-G59</f>
        <v>-556</v>
      </c>
      <c r="J59" s="6">
        <f>-2553-I59-H59-G59</f>
        <v>-883</v>
      </c>
      <c r="K59" s="6">
        <v>-536</v>
      </c>
      <c r="L59" s="6">
        <f>-1085-K59</f>
        <v>-549</v>
      </c>
      <c r="M59" s="6"/>
      <c r="N59" s="6"/>
      <c r="O59" s="6"/>
      <c r="P59" s="6"/>
      <c r="Q59" s="6"/>
      <c r="R59" s="6"/>
      <c r="S59" s="6"/>
    </row>
    <row r="60" spans="2:19" s="5" customFormat="1" x14ac:dyDescent="0.2">
      <c r="B60" s="5" t="s">
        <v>60</v>
      </c>
      <c r="C60" s="6"/>
      <c r="D60" s="6"/>
      <c r="E60" s="6"/>
      <c r="F60" s="6"/>
      <c r="G60" s="6">
        <v>21</v>
      </c>
      <c r="H60" s="6">
        <f>33-G60</f>
        <v>12</v>
      </c>
      <c r="I60" s="6">
        <f>50-H60-G60</f>
        <v>17</v>
      </c>
      <c r="J60" s="6">
        <f>85-I60-H60-G60</f>
        <v>35</v>
      </c>
      <c r="K60" s="6">
        <v>29</v>
      </c>
      <c r="L60" s="6">
        <f>41-K60</f>
        <v>12</v>
      </c>
      <c r="M60" s="6"/>
      <c r="N60" s="6"/>
      <c r="O60" s="6"/>
      <c r="P60" s="6"/>
      <c r="Q60" s="6"/>
      <c r="R60" s="6"/>
      <c r="S60" s="6"/>
    </row>
    <row r="61" spans="2:19" s="5" customFormat="1" x14ac:dyDescent="0.2">
      <c r="B61" s="5" t="s">
        <v>61</v>
      </c>
      <c r="C61" s="6"/>
      <c r="D61" s="6"/>
      <c r="E61" s="6"/>
      <c r="F61" s="6"/>
      <c r="G61" s="6">
        <v>314</v>
      </c>
      <c r="H61" s="6">
        <f>-139-G61</f>
        <v>-453</v>
      </c>
      <c r="I61" s="6">
        <f>-117-H61-G61</f>
        <v>22</v>
      </c>
      <c r="J61" s="6">
        <f>-40-I61-H61-G61</f>
        <v>77</v>
      </c>
      <c r="K61" s="6">
        <v>5</v>
      </c>
      <c r="L61" s="6">
        <f>-63-K61</f>
        <v>-68</v>
      </c>
      <c r="M61" s="6"/>
      <c r="N61" s="6"/>
      <c r="O61" s="6"/>
      <c r="P61" s="6"/>
      <c r="Q61" s="6"/>
      <c r="R61" s="6"/>
      <c r="S61" s="6"/>
    </row>
    <row r="62" spans="2:19" s="8" customFormat="1" x14ac:dyDescent="0.2">
      <c r="B62" s="8" t="s">
        <v>62</v>
      </c>
      <c r="C62" s="9"/>
      <c r="D62" s="9"/>
      <c r="E62" s="9"/>
      <c r="F62" s="9"/>
      <c r="G62" s="9">
        <f t="shared" ref="G62:J62" si="10">SUM(G56:G61)</f>
        <v>-812</v>
      </c>
      <c r="H62" s="9">
        <f t="shared" si="10"/>
        <v>-2944</v>
      </c>
      <c r="I62" s="9">
        <f t="shared" si="10"/>
        <v>-1657</v>
      </c>
      <c r="J62" s="9">
        <f t="shared" si="10"/>
        <v>-773</v>
      </c>
      <c r="K62" s="9">
        <f>SUM(K56:K61)</f>
        <v>348</v>
      </c>
      <c r="L62" s="9">
        <f>SUM(L56:L61)</f>
        <v>-1285</v>
      </c>
      <c r="M62" s="9"/>
      <c r="N62" s="9"/>
      <c r="O62" s="9"/>
      <c r="P62" s="9"/>
      <c r="Q62" s="9"/>
      <c r="R62" s="9"/>
      <c r="S62" s="9"/>
    </row>
    <row r="63" spans="2:19" s="5" customFormat="1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2:19" s="5" customFormat="1" x14ac:dyDescent="0.2">
      <c r="B64" s="5" t="s">
        <v>4</v>
      </c>
      <c r="C64" s="6"/>
      <c r="D64" s="6"/>
      <c r="E64" s="6"/>
      <c r="F64" s="6"/>
      <c r="G64" s="6">
        <f>16373-15755</f>
        <v>618</v>
      </c>
      <c r="H64" s="6">
        <f>24878-22358-G64</f>
        <v>1902</v>
      </c>
      <c r="I64" s="6">
        <f>34298-30159-H64-G64</f>
        <v>1619</v>
      </c>
      <c r="J64" s="6">
        <f>40434-37738-I64-H64-G64</f>
        <v>-1443</v>
      </c>
      <c r="K64" s="6">
        <f>8530-6783</f>
        <v>1747</v>
      </c>
      <c r="L64" s="6">
        <f>15947-12750-K64</f>
        <v>1450</v>
      </c>
      <c r="M64" s="6"/>
      <c r="N64" s="6"/>
      <c r="O64" s="6"/>
      <c r="P64" s="6"/>
      <c r="Q64" s="6"/>
      <c r="R64" s="6"/>
      <c r="S64" s="6"/>
    </row>
    <row r="65" spans="2:19" s="5" customFormat="1" x14ac:dyDescent="0.2">
      <c r="B65" s="5" t="s">
        <v>63</v>
      </c>
      <c r="C65" s="6"/>
      <c r="D65" s="6"/>
      <c r="E65" s="6"/>
      <c r="F65" s="6"/>
      <c r="G65" s="6">
        <v>279</v>
      </c>
      <c r="H65" s="6">
        <f>410-G65</f>
        <v>131</v>
      </c>
      <c r="I65" s="6">
        <f>732-H65-G65</f>
        <v>322</v>
      </c>
      <c r="J65" s="6">
        <f>1245-I65-H65-G65</f>
        <v>513</v>
      </c>
      <c r="K65" s="6">
        <v>763</v>
      </c>
      <c r="L65" s="6">
        <f>1108-K65</f>
        <v>345</v>
      </c>
      <c r="M65" s="6"/>
      <c r="N65" s="6"/>
      <c r="O65" s="6"/>
      <c r="P65" s="6"/>
      <c r="Q65" s="6"/>
      <c r="R65" s="6"/>
      <c r="S65" s="6"/>
    </row>
    <row r="66" spans="2:19" s="5" customFormat="1" x14ac:dyDescent="0.2">
      <c r="B66" s="5" t="s">
        <v>64</v>
      </c>
      <c r="C66" s="6"/>
      <c r="D66" s="6"/>
      <c r="E66" s="6"/>
      <c r="F66" s="6"/>
      <c r="G66" s="6">
        <v>-654</v>
      </c>
      <c r="H66" s="6">
        <f>-1298-G66</f>
        <v>-644</v>
      </c>
      <c r="I66" s="6">
        <f>-1966-H66-G66</f>
        <v>-668</v>
      </c>
      <c r="J66" s="6">
        <f>-3564-I66-H66-G66</f>
        <v>-1598</v>
      </c>
      <c r="K66" s="6">
        <v>-739</v>
      </c>
      <c r="L66" s="6">
        <f>-2156-K66</f>
        <v>-1417</v>
      </c>
      <c r="M66" s="6"/>
      <c r="N66" s="6"/>
      <c r="O66" s="6"/>
      <c r="P66" s="6"/>
      <c r="Q66" s="6"/>
      <c r="R66" s="6"/>
      <c r="S66" s="6"/>
    </row>
    <row r="67" spans="2:19" s="5" customFormat="1" x14ac:dyDescent="0.2">
      <c r="B67" s="5" t="s">
        <v>65</v>
      </c>
      <c r="C67" s="6"/>
      <c r="D67" s="6"/>
      <c r="E67" s="6"/>
      <c r="F67" s="6"/>
      <c r="G67" s="6">
        <v>-1441</v>
      </c>
      <c r="H67" s="6">
        <f>-2877-G67</f>
        <v>-1436</v>
      </c>
      <c r="I67" s="6">
        <f>-4313-H67-G67</f>
        <v>-1436</v>
      </c>
      <c r="J67" s="6">
        <f>-5741-I67-H67-G67</f>
        <v>-1428</v>
      </c>
      <c r="K67" s="6">
        <v>-1505</v>
      </c>
      <c r="L67" s="6">
        <f>-3017-K67</f>
        <v>-1512</v>
      </c>
      <c r="M67" s="6"/>
      <c r="N67" s="6"/>
      <c r="O67" s="6"/>
      <c r="P67" s="6"/>
      <c r="Q67" s="6"/>
      <c r="R67" s="6"/>
      <c r="S67" s="6"/>
    </row>
    <row r="68" spans="2:19" s="5" customFormat="1" x14ac:dyDescent="0.2">
      <c r="B68" s="5" t="s">
        <v>66</v>
      </c>
      <c r="C68" s="6"/>
      <c r="D68" s="6"/>
      <c r="E68" s="6"/>
      <c r="F68" s="6"/>
      <c r="G68" s="6">
        <v>21</v>
      </c>
      <c r="H68" s="6">
        <f>115-G68</f>
        <v>94</v>
      </c>
      <c r="I68" s="6">
        <f>230-H68-G68</f>
        <v>115</v>
      </c>
      <c r="J68" s="6">
        <f>251-I68-H68-G68</f>
        <v>21</v>
      </c>
      <c r="K68" s="6">
        <v>133</v>
      </c>
      <c r="L68" s="6">
        <f>85-K68</f>
        <v>-48</v>
      </c>
      <c r="M68" s="6"/>
      <c r="N68" s="6"/>
      <c r="O68" s="6"/>
      <c r="P68" s="6"/>
      <c r="Q68" s="6"/>
      <c r="R68" s="6"/>
      <c r="S68" s="6"/>
    </row>
    <row r="69" spans="2:19" s="8" customFormat="1" x14ac:dyDescent="0.2">
      <c r="B69" s="8" t="s">
        <v>67</v>
      </c>
      <c r="C69" s="9"/>
      <c r="D69" s="9"/>
      <c r="E69" s="9"/>
      <c r="F69" s="9"/>
      <c r="G69" s="9">
        <f t="shared" ref="G69:J69" si="11">SUM(G64:G68)</f>
        <v>-1177</v>
      </c>
      <c r="H69" s="9">
        <f t="shared" si="11"/>
        <v>47</v>
      </c>
      <c r="I69" s="9">
        <f t="shared" si="11"/>
        <v>-48</v>
      </c>
      <c r="J69" s="9">
        <f t="shared" si="11"/>
        <v>-3935</v>
      </c>
      <c r="K69" s="9">
        <f>SUM(K64:K68)</f>
        <v>399</v>
      </c>
      <c r="L69" s="9">
        <f>SUM(L64:L68)</f>
        <v>-1182</v>
      </c>
      <c r="M69" s="9"/>
      <c r="N69" s="9"/>
      <c r="O69" s="9"/>
      <c r="P69" s="9"/>
      <c r="Q69" s="9"/>
      <c r="R69" s="9"/>
      <c r="S69" s="9"/>
    </row>
    <row r="70" spans="2:19" s="5" customFormat="1" x14ac:dyDescent="0.2">
      <c r="B70" s="5" t="s">
        <v>49</v>
      </c>
      <c r="C70" s="6"/>
      <c r="D70" s="6"/>
      <c r="E70" s="6"/>
      <c r="F70" s="6"/>
      <c r="G70" s="6">
        <v>-332</v>
      </c>
      <c r="H70" s="6">
        <f>-385-G70</f>
        <v>-53</v>
      </c>
      <c r="I70" s="6">
        <f>-774-H70-G70</f>
        <v>-389</v>
      </c>
      <c r="J70" s="6">
        <f>-878-I70-H70-G70</f>
        <v>-104</v>
      </c>
      <c r="K70" s="6">
        <v>88</v>
      </c>
      <c r="L70" s="6">
        <f>238-K70</f>
        <v>150</v>
      </c>
      <c r="M70" s="6"/>
      <c r="N70" s="6"/>
      <c r="O70" s="6"/>
      <c r="P70" s="6"/>
      <c r="Q70" s="6"/>
      <c r="R70" s="6"/>
      <c r="S70" s="6"/>
    </row>
    <row r="71" spans="2:19" s="5" customFormat="1" x14ac:dyDescent="0.2">
      <c r="B71" s="5" t="s">
        <v>68</v>
      </c>
      <c r="C71" s="6"/>
      <c r="D71" s="6"/>
      <c r="E71" s="6"/>
      <c r="F71" s="6"/>
      <c r="G71" s="6">
        <f t="shared" ref="G71:J71" si="12">+G70+G69+G62+G54</f>
        <v>-747</v>
      </c>
      <c r="H71" s="6">
        <f t="shared" si="12"/>
        <v>594</v>
      </c>
      <c r="I71" s="6">
        <f t="shared" si="12"/>
        <v>1178</v>
      </c>
      <c r="J71" s="6">
        <f t="shared" si="12"/>
        <v>-2674</v>
      </c>
      <c r="K71" s="6">
        <f>+K70+K69+K62+K54</f>
        <v>1439</v>
      </c>
      <c r="L71" s="6">
        <f>+L70+L69+L62+L54</f>
        <v>899</v>
      </c>
      <c r="M71" s="6"/>
      <c r="N71" s="6"/>
      <c r="O71" s="6"/>
      <c r="P71" s="6"/>
      <c r="Q71" s="6"/>
      <c r="R71" s="6"/>
      <c r="S71" s="6"/>
    </row>
  </sheetData>
  <hyperlinks>
    <hyperlink ref="A1" location="Main!A1" display="Main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2016-10-02T23:43:32Z</dcterms:created>
  <dcterms:modified xsi:type="dcterms:W3CDTF">2016-10-03T00:51:15Z</dcterms:modified>
</cp:coreProperties>
</file>