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300" windowHeight="1222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6" i="2" l="1"/>
  <c r="L95" i="2"/>
  <c r="L94" i="2"/>
  <c r="L93" i="2"/>
  <c r="L92" i="2"/>
  <c r="L91" i="2"/>
  <c r="L90" i="2"/>
  <c r="L89" i="2"/>
  <c r="L87" i="2"/>
  <c r="L86" i="2"/>
  <c r="L84" i="2"/>
  <c r="L83" i="2"/>
  <c r="L81" i="2"/>
  <c r="L80" i="2"/>
  <c r="L79" i="2"/>
  <c r="L78" i="2"/>
  <c r="L77" i="2"/>
  <c r="L76" i="2"/>
  <c r="L75" i="2"/>
  <c r="L74" i="2"/>
  <c r="L73" i="2"/>
  <c r="L31" i="2"/>
  <c r="L26" i="2"/>
  <c r="L24" i="2"/>
  <c r="K24" i="2"/>
  <c r="K94" i="2"/>
  <c r="K87" i="2"/>
  <c r="K84" i="2"/>
  <c r="K81" i="2"/>
  <c r="K71" i="2"/>
  <c r="K66" i="2"/>
  <c r="K61" i="2"/>
  <c r="K59" i="2"/>
  <c r="K56" i="2"/>
  <c r="K51" i="2"/>
  <c r="K50" i="2" s="1"/>
  <c r="L50" i="2"/>
  <c r="L71" i="2"/>
  <c r="L66" i="2"/>
  <c r="L61" i="2"/>
  <c r="L59" i="2"/>
  <c r="L56" i="2"/>
  <c r="L51" i="2"/>
  <c r="L6" i="1"/>
  <c r="L5" i="1"/>
  <c r="K96" i="2" l="1"/>
  <c r="M10" i="2"/>
  <c r="N10" i="2" s="1"/>
  <c r="Z39" i="2"/>
  <c r="Z36" i="2"/>
  <c r="Z30" i="2"/>
  <c r="Z28" i="2"/>
  <c r="Z25" i="2"/>
  <c r="AA23" i="2"/>
  <c r="Z23" i="2"/>
  <c r="AA22" i="2"/>
  <c r="Z22" i="2"/>
  <c r="Z21" i="2"/>
  <c r="Z19" i="2"/>
  <c r="Z16" i="2"/>
  <c r="Z14" i="2"/>
  <c r="Z10" i="2"/>
  <c r="Z13" i="2"/>
  <c r="Z12" i="2"/>
  <c r="Z11" i="2"/>
  <c r="Z9" i="2"/>
  <c r="Z8" i="2"/>
  <c r="Z7" i="2"/>
  <c r="AA6" i="2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Z6" i="2"/>
  <c r="Z5" i="2"/>
  <c r="Z4" i="2"/>
  <c r="Z3" i="2"/>
  <c r="M34" i="2"/>
  <c r="N34" i="2" s="1"/>
  <c r="M39" i="2"/>
  <c r="N39" i="2" s="1"/>
  <c r="M31" i="2"/>
  <c r="M32" i="2" s="1"/>
  <c r="L32" i="2"/>
  <c r="N30" i="2"/>
  <c r="M30" i="2"/>
  <c r="AA30" i="2" s="1"/>
  <c r="M26" i="2"/>
  <c r="N25" i="2"/>
  <c r="M25" i="2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M14" i="2"/>
  <c r="N14" i="2" s="1"/>
  <c r="N13" i="2"/>
  <c r="M13" i="2"/>
  <c r="M12" i="2"/>
  <c r="N12" i="2" s="1"/>
  <c r="N11" i="2"/>
  <c r="M11" i="2"/>
  <c r="N9" i="2"/>
  <c r="M9" i="2"/>
  <c r="N8" i="2"/>
  <c r="M8" i="2"/>
  <c r="N7" i="2"/>
  <c r="N46" i="2" s="1"/>
  <c r="M7" i="2"/>
  <c r="M46" i="2" s="1"/>
  <c r="L46" i="2"/>
  <c r="K46" i="2"/>
  <c r="J46" i="2"/>
  <c r="I46" i="2"/>
  <c r="H46" i="2"/>
  <c r="N6" i="2"/>
  <c r="N45" i="2" s="1"/>
  <c r="M6" i="2"/>
  <c r="M45" i="2" s="1"/>
  <c r="L45" i="2"/>
  <c r="K45" i="2"/>
  <c r="J45" i="2"/>
  <c r="I45" i="2"/>
  <c r="H45" i="2"/>
  <c r="N5" i="2"/>
  <c r="N44" i="2" s="1"/>
  <c r="M5" i="2"/>
  <c r="M44" i="2" s="1"/>
  <c r="L44" i="2"/>
  <c r="N4" i="2"/>
  <c r="N43" i="2" s="1"/>
  <c r="M4" i="2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L43" i="2"/>
  <c r="L42" i="2"/>
  <c r="K44" i="2"/>
  <c r="J44" i="2"/>
  <c r="I44" i="2"/>
  <c r="H44" i="2"/>
  <c r="K43" i="2"/>
  <c r="J43" i="2"/>
  <c r="I43" i="2"/>
  <c r="H43" i="2"/>
  <c r="N3" i="2"/>
  <c r="N42" i="2" s="1"/>
  <c r="M3" i="2"/>
  <c r="M42" i="2" s="1"/>
  <c r="K42" i="2"/>
  <c r="J42" i="2"/>
  <c r="I42" i="2"/>
  <c r="H42" i="2"/>
  <c r="D32" i="2"/>
  <c r="H32" i="2"/>
  <c r="D26" i="2"/>
  <c r="D27" i="2" s="1"/>
  <c r="H26" i="2"/>
  <c r="H27" i="2" s="1"/>
  <c r="H29" i="2" s="1"/>
  <c r="E31" i="2"/>
  <c r="E26" i="2"/>
  <c r="E27" i="2" s="1"/>
  <c r="E29" i="2" s="1"/>
  <c r="E48" i="2" s="1"/>
  <c r="I31" i="2"/>
  <c r="I32" i="2" s="1"/>
  <c r="E32" i="2"/>
  <c r="I26" i="2"/>
  <c r="I27" i="2" s="1"/>
  <c r="I29" i="2" s="1"/>
  <c r="I48" i="2" s="1"/>
  <c r="G31" i="2"/>
  <c r="G32" i="2" s="1"/>
  <c r="K31" i="2"/>
  <c r="K32" i="2"/>
  <c r="F31" i="2"/>
  <c r="F32" i="2" s="1"/>
  <c r="F26" i="2"/>
  <c r="F27" i="2" s="1"/>
  <c r="F29" i="2" s="1"/>
  <c r="F48" i="2" s="1"/>
  <c r="J31" i="2"/>
  <c r="J32" i="2" s="1"/>
  <c r="J34" i="2"/>
  <c r="Z34" i="2" s="1"/>
  <c r="J26" i="2"/>
  <c r="J27" i="2" s="1"/>
  <c r="J29" i="2" s="1"/>
  <c r="J48" i="2" s="1"/>
  <c r="G26" i="2"/>
  <c r="Z26" i="2" s="1"/>
  <c r="K27" i="2"/>
  <c r="K29" i="2" s="1"/>
  <c r="K48" i="2" s="1"/>
  <c r="M43" i="2" l="1"/>
  <c r="H41" i="2"/>
  <c r="H33" i="2"/>
  <c r="H35" i="2" s="1"/>
  <c r="H37" i="2" s="1"/>
  <c r="H38" i="2" s="1"/>
  <c r="H48" i="2"/>
  <c r="Z27" i="2"/>
  <c r="Z29" i="2" s="1"/>
  <c r="Z48" i="2" s="1"/>
  <c r="N31" i="2"/>
  <c r="N32" i="2" s="1"/>
  <c r="N26" i="2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Z31" i="2"/>
  <c r="Z32" i="2" s="1"/>
  <c r="J41" i="2"/>
  <c r="AA11" i="2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Z33" i="2"/>
  <c r="Z35" i="2" s="1"/>
  <c r="Z37" i="2" s="1"/>
  <c r="Z38" i="2" s="1"/>
  <c r="AA5" i="2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A39" i="2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A8" i="2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A9" i="2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A13" i="2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A12" i="2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D29" i="2"/>
  <c r="D48" i="2" s="1"/>
  <c r="AA3" i="2"/>
  <c r="AB3" i="2" s="1"/>
  <c r="I41" i="2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A34" i="2"/>
  <c r="AA16" i="2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A19" i="2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A21" i="2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A10" i="2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N27" i="2"/>
  <c r="M27" i="2"/>
  <c r="L27" i="2"/>
  <c r="L29" i="2" s="1"/>
  <c r="E33" i="2"/>
  <c r="E35" i="2" s="1"/>
  <c r="E37" i="2" s="1"/>
  <c r="E38" i="2" s="1"/>
  <c r="I33" i="2"/>
  <c r="I35" i="2" s="1"/>
  <c r="I37" i="2" s="1"/>
  <c r="I38" i="2" s="1"/>
  <c r="K33" i="2"/>
  <c r="K35" i="2" s="1"/>
  <c r="K37" i="2" s="1"/>
  <c r="J33" i="2"/>
  <c r="J35" i="2" s="1"/>
  <c r="J37" i="2" s="1"/>
  <c r="J38" i="2" s="1"/>
  <c r="F33" i="2"/>
  <c r="F35" i="2" s="1"/>
  <c r="F37" i="2" s="1"/>
  <c r="F38" i="2" s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L4" i="1"/>
  <c r="L7" i="1" s="1"/>
  <c r="G27" i="2"/>
  <c r="G29" i="2" s="1"/>
  <c r="K38" i="2" l="1"/>
  <c r="K73" i="2"/>
  <c r="G33" i="2"/>
  <c r="G35" i="2" s="1"/>
  <c r="G37" i="2" s="1"/>
  <c r="G38" i="2" s="1"/>
  <c r="G48" i="2"/>
  <c r="K41" i="2"/>
  <c r="AA31" i="2"/>
  <c r="AA32" i="2" s="1"/>
  <c r="D33" i="2"/>
  <c r="D35" i="2" s="1"/>
  <c r="D37" i="2" s="1"/>
  <c r="D38" i="2" s="1"/>
  <c r="AC3" i="2"/>
  <c r="AB27" i="2"/>
  <c r="AA27" i="2"/>
  <c r="L41" i="2"/>
  <c r="M41" i="2"/>
  <c r="M29" i="2"/>
  <c r="N41" i="2"/>
  <c r="N29" i="2"/>
  <c r="AB29" i="2" l="1"/>
  <c r="AB28" i="2" s="1"/>
  <c r="AB31" i="2"/>
  <c r="AB32" i="2" s="1"/>
  <c r="AC27" i="2"/>
  <c r="AD3" i="2"/>
  <c r="N48" i="2"/>
  <c r="N33" i="2"/>
  <c r="N35" i="2" s="1"/>
  <c r="N28" i="2"/>
  <c r="L48" i="2"/>
  <c r="L33" i="2"/>
  <c r="L35" i="2" s="1"/>
  <c r="M48" i="2"/>
  <c r="M33" i="2"/>
  <c r="M35" i="2" s="1"/>
  <c r="M36" i="2" s="1"/>
  <c r="M37" i="2" s="1"/>
  <c r="M38" i="2" s="1"/>
  <c r="M28" i="2"/>
  <c r="AB33" i="2" l="1"/>
  <c r="AB35" i="2" s="1"/>
  <c r="AB36" i="2" s="1"/>
  <c r="AB37" i="2" s="1"/>
  <c r="AB38" i="2" s="1"/>
  <c r="AD27" i="2"/>
  <c r="AE3" i="2"/>
  <c r="AC31" i="2"/>
  <c r="AC32" i="2" s="1"/>
  <c r="AC29" i="2"/>
  <c r="AC28" i="2" s="1"/>
  <c r="AA28" i="2"/>
  <c r="AA29" i="2" s="1"/>
  <c r="N36" i="2"/>
  <c r="N37" i="2" s="1"/>
  <c r="N38" i="2" s="1"/>
  <c r="L37" i="2"/>
  <c r="L38" i="2" s="1"/>
  <c r="AA36" i="2"/>
  <c r="AA33" i="2" l="1"/>
  <c r="AA35" i="2" s="1"/>
  <c r="AA37" i="2" s="1"/>
  <c r="AA38" i="2" s="1"/>
  <c r="AA48" i="2"/>
  <c r="AE27" i="2"/>
  <c r="AF3" i="2"/>
  <c r="AC33" i="2"/>
  <c r="AC35" i="2" s="1"/>
  <c r="AD29" i="2"/>
  <c r="AD28" i="2" s="1"/>
  <c r="AD31" i="2"/>
  <c r="AD32" i="2" s="1"/>
  <c r="AD33" i="2" s="1"/>
  <c r="AD35" i="2" s="1"/>
  <c r="AD36" i="2" l="1"/>
  <c r="AD37" i="2" s="1"/>
  <c r="AD38" i="2" s="1"/>
  <c r="AG3" i="2"/>
  <c r="AF27" i="2"/>
  <c r="AC36" i="2"/>
  <c r="AC37" i="2" s="1"/>
  <c r="AC38" i="2" s="1"/>
  <c r="AE31" i="2"/>
  <c r="AE32" i="2" s="1"/>
  <c r="AE29" i="2"/>
  <c r="AE28" i="2" s="1"/>
  <c r="AE33" i="2" l="1"/>
  <c r="AE35" i="2" s="1"/>
  <c r="AF29" i="2"/>
  <c r="AF28" i="2" s="1"/>
  <c r="AF31" i="2"/>
  <c r="AF32" i="2" s="1"/>
  <c r="AG27" i="2"/>
  <c r="AH3" i="2"/>
  <c r="AG29" i="2" l="1"/>
  <c r="AG28" i="2" s="1"/>
  <c r="AG31" i="2"/>
  <c r="AG32" i="2" s="1"/>
  <c r="AG33" i="2" s="1"/>
  <c r="AG35" i="2" s="1"/>
  <c r="AI3" i="2"/>
  <c r="AH27" i="2"/>
  <c r="AF33" i="2"/>
  <c r="AF35" i="2" s="1"/>
  <c r="AE36" i="2"/>
  <c r="AE37" i="2" s="1"/>
  <c r="AE38" i="2" s="1"/>
  <c r="AH29" i="2" l="1"/>
  <c r="AH28" i="2" s="1"/>
  <c r="AH31" i="2"/>
  <c r="AH32" i="2" s="1"/>
  <c r="AG36" i="2"/>
  <c r="AG37" i="2" s="1"/>
  <c r="AG38" i="2" s="1"/>
  <c r="AF36" i="2"/>
  <c r="AF37" i="2" s="1"/>
  <c r="AF38" i="2" s="1"/>
  <c r="AI27" i="2"/>
  <c r="AJ3" i="2"/>
  <c r="AH33" i="2" l="1"/>
  <c r="AH35" i="2" s="1"/>
  <c r="AH36" i="2" s="1"/>
  <c r="AH37" i="2" s="1"/>
  <c r="AH38" i="2" s="1"/>
  <c r="AI29" i="2"/>
  <c r="AI28" i="2" s="1"/>
  <c r="AI31" i="2"/>
  <c r="AI32" i="2" s="1"/>
  <c r="AI33" i="2" s="1"/>
  <c r="AI35" i="2" s="1"/>
  <c r="AI36" i="2" s="1"/>
  <c r="AI37" i="2" s="1"/>
  <c r="AI38" i="2" s="1"/>
  <c r="AJ27" i="2"/>
  <c r="AK3" i="2"/>
  <c r="AK27" i="2" l="1"/>
  <c r="AL3" i="2"/>
  <c r="AJ29" i="2"/>
  <c r="AJ28" i="2" s="1"/>
  <c r="AJ31" i="2"/>
  <c r="AJ32" i="2" s="1"/>
  <c r="AJ33" i="2" l="1"/>
  <c r="AJ35" i="2" s="1"/>
  <c r="AJ36" i="2" s="1"/>
  <c r="AJ37" i="2" s="1"/>
  <c r="AJ38" i="2" s="1"/>
  <c r="AL27" i="2"/>
  <c r="AM3" i="2"/>
  <c r="AK31" i="2"/>
  <c r="AK32" i="2" s="1"/>
  <c r="AK29" i="2"/>
  <c r="AK28" i="2" s="1"/>
  <c r="AK33" i="2" l="1"/>
  <c r="AK35" i="2" s="1"/>
  <c r="AK36" i="2" s="1"/>
  <c r="AK37" i="2" s="1"/>
  <c r="AK38" i="2" s="1"/>
  <c r="AM27" i="2"/>
  <c r="AN3" i="2"/>
  <c r="AL31" i="2"/>
  <c r="AL32" i="2" s="1"/>
  <c r="AL29" i="2"/>
  <c r="AL28" i="2" s="1"/>
  <c r="AL33" i="2" l="1"/>
  <c r="AL35" i="2" s="1"/>
  <c r="AL36" i="2" s="1"/>
  <c r="AL37" i="2" s="1"/>
  <c r="AL38" i="2" s="1"/>
  <c r="AM31" i="2"/>
  <c r="AM32" i="2" s="1"/>
  <c r="AM29" i="2"/>
  <c r="AM28" i="2" s="1"/>
  <c r="AO3" i="2"/>
  <c r="AO27" i="2" s="1"/>
  <c r="AN27" i="2"/>
  <c r="AN31" i="2" l="1"/>
  <c r="AN32" i="2" s="1"/>
  <c r="AN29" i="2"/>
  <c r="AN28" i="2" s="1"/>
  <c r="AM33" i="2"/>
  <c r="AM35" i="2" s="1"/>
  <c r="AM36" i="2" s="1"/>
  <c r="AM37" i="2" s="1"/>
  <c r="AM38" i="2" s="1"/>
  <c r="AO31" i="2"/>
  <c r="AO32" i="2" s="1"/>
  <c r="AO29" i="2"/>
  <c r="AO28" i="2" s="1"/>
  <c r="AO33" i="2" l="1"/>
  <c r="AO35" i="2" s="1"/>
  <c r="AO36" i="2" s="1"/>
  <c r="AO37" i="2" s="1"/>
  <c r="AO38" i="2" s="1"/>
  <c r="AN33" i="2"/>
  <c r="AN35" i="2" s="1"/>
  <c r="AN36" i="2" s="1"/>
  <c r="AN37" i="2" s="1"/>
  <c r="AN38" i="2" s="1"/>
</calcChain>
</file>

<file path=xl/sharedStrings.xml><?xml version="1.0" encoding="utf-8"?>
<sst xmlns="http://schemas.openxmlformats.org/spreadsheetml/2006/main" count="171" uniqueCount="135">
  <si>
    <t>Price</t>
  </si>
  <si>
    <t>MC</t>
  </si>
  <si>
    <t>Cash</t>
  </si>
  <si>
    <t>Debt</t>
  </si>
  <si>
    <t>EV</t>
  </si>
  <si>
    <t>Shares</t>
  </si>
  <si>
    <t>Q116</t>
  </si>
  <si>
    <t>Main</t>
  </si>
  <si>
    <t>Q114</t>
  </si>
  <si>
    <t>Q214</t>
  </si>
  <si>
    <t>Q314</t>
  </si>
  <si>
    <t>Q414</t>
  </si>
  <si>
    <t>Q115</t>
  </si>
  <si>
    <t>Q215</t>
  </si>
  <si>
    <t>Q315</t>
  </si>
  <si>
    <t>Q415</t>
  </si>
  <si>
    <t>Q216</t>
  </si>
  <si>
    <t>Q316</t>
  </si>
  <si>
    <t>Q416</t>
  </si>
  <si>
    <t>Humalog</t>
  </si>
  <si>
    <t>Cialis</t>
  </si>
  <si>
    <t>Alimta</t>
  </si>
  <si>
    <t>Humulin</t>
  </si>
  <si>
    <t>Forteo</t>
  </si>
  <si>
    <t>Zyprexa</t>
  </si>
  <si>
    <t>Cymbalta</t>
  </si>
  <si>
    <t>Strattera</t>
  </si>
  <si>
    <t>Erbitux</t>
  </si>
  <si>
    <t>Effient</t>
  </si>
  <si>
    <t>Trulicity</t>
  </si>
  <si>
    <t>Cyramza</t>
  </si>
  <si>
    <t>Jardiance</t>
  </si>
  <si>
    <t>Basaglar</t>
  </si>
  <si>
    <t>Portrazza</t>
  </si>
  <si>
    <t>Animal</t>
  </si>
  <si>
    <t>Revenue</t>
  </si>
  <si>
    <t>Other</t>
  </si>
  <si>
    <t>Evista</t>
  </si>
  <si>
    <t>Trajenta</t>
  </si>
  <si>
    <t>Operating Expenses</t>
  </si>
  <si>
    <t>Operating Income</t>
  </si>
  <si>
    <t>COGS</t>
  </si>
  <si>
    <t>Gross Profit</t>
  </si>
  <si>
    <t>R&amp;D</t>
  </si>
  <si>
    <t>SG&amp;A</t>
  </si>
  <si>
    <t>EPS</t>
  </si>
  <si>
    <t>Net Income</t>
  </si>
  <si>
    <t>Taxes</t>
  </si>
  <si>
    <t>Pretax Income</t>
  </si>
  <si>
    <t>Interest Income</t>
  </si>
  <si>
    <t>baricitinib</t>
  </si>
  <si>
    <t>RA</t>
  </si>
  <si>
    <t>III</t>
  </si>
  <si>
    <t>Phase</t>
  </si>
  <si>
    <t>Approved</t>
  </si>
  <si>
    <t>Indication</t>
  </si>
  <si>
    <t>Generic</t>
  </si>
  <si>
    <t>Brand</t>
  </si>
  <si>
    <t>MOA</t>
  </si>
  <si>
    <t>JAK</t>
  </si>
  <si>
    <t>abemaciclib</t>
  </si>
  <si>
    <t>Breast Cancer</t>
  </si>
  <si>
    <t>CDK4/6</t>
  </si>
  <si>
    <t>ramucirumab</t>
  </si>
  <si>
    <t>empagliflozin</t>
  </si>
  <si>
    <t>olanzapine</t>
  </si>
  <si>
    <t>duloxetine</t>
  </si>
  <si>
    <t>Gross Margin</t>
  </si>
  <si>
    <t>dulaglutide</t>
  </si>
  <si>
    <t>T2D</t>
  </si>
  <si>
    <t>GLP</t>
  </si>
  <si>
    <t>necitumumab</t>
  </si>
  <si>
    <t>NSCLC</t>
  </si>
  <si>
    <t>EGFR</t>
  </si>
  <si>
    <t>insulin glargine</t>
  </si>
  <si>
    <t>SGLT2</t>
  </si>
  <si>
    <t>Q117</t>
  </si>
  <si>
    <t>Q217</t>
  </si>
  <si>
    <t>Q317</t>
  </si>
  <si>
    <t>Q417</t>
  </si>
  <si>
    <t>Other Endocrinology</t>
  </si>
  <si>
    <t>Other Oncology</t>
  </si>
  <si>
    <t>Other Cardiovascular</t>
  </si>
  <si>
    <t>Other CNS</t>
  </si>
  <si>
    <t>Net Cash</t>
  </si>
  <si>
    <t>AP</t>
  </si>
  <si>
    <t>Compensation</t>
  </si>
  <si>
    <t>Rebates</t>
  </si>
  <si>
    <t>Dividends</t>
  </si>
  <si>
    <t>OCL</t>
  </si>
  <si>
    <t>LTL</t>
  </si>
  <si>
    <t>SE</t>
  </si>
  <si>
    <t>L+SE</t>
  </si>
  <si>
    <t>AR</t>
  </si>
  <si>
    <t>Other Receivables</t>
  </si>
  <si>
    <t>Inventories</t>
  </si>
  <si>
    <t>Prepaids</t>
  </si>
  <si>
    <t>Intangibles</t>
  </si>
  <si>
    <t>OLTA</t>
  </si>
  <si>
    <t>PP&amp;E</t>
  </si>
  <si>
    <t>Assets</t>
  </si>
  <si>
    <t>Pension</t>
  </si>
  <si>
    <t>Model NI</t>
  </si>
  <si>
    <t>Reported NI</t>
  </si>
  <si>
    <t>D&amp;A</t>
  </si>
  <si>
    <t>DT</t>
  </si>
  <si>
    <t>SBC</t>
  </si>
  <si>
    <t>WC</t>
  </si>
  <si>
    <t>CFFO</t>
  </si>
  <si>
    <t>Investments</t>
  </si>
  <si>
    <t>CFFI</t>
  </si>
  <si>
    <t>Borrowings</t>
  </si>
  <si>
    <t>Buyback</t>
  </si>
  <si>
    <t>CFFF</t>
  </si>
  <si>
    <t>FX</t>
  </si>
  <si>
    <t>CIC</t>
  </si>
  <si>
    <t>1/1/17: David Ricks CEO</t>
  </si>
  <si>
    <t>Taltz</t>
  </si>
  <si>
    <t>ixekizumab</t>
  </si>
  <si>
    <t>Psoriasis</t>
  </si>
  <si>
    <t>Jentadueto</t>
  </si>
  <si>
    <t>linagliptin/metformin</t>
  </si>
  <si>
    <t>Tradjenta</t>
  </si>
  <si>
    <t>linagliptin</t>
  </si>
  <si>
    <t>Schizophrenia</t>
  </si>
  <si>
    <t>Depression</t>
  </si>
  <si>
    <t>Glyxambi</t>
  </si>
  <si>
    <t>empagliflozin/linagliptin</t>
  </si>
  <si>
    <t>insulin lispro</t>
  </si>
  <si>
    <t>insulin</t>
  </si>
  <si>
    <t>olaratumab</t>
  </si>
  <si>
    <t>II</t>
  </si>
  <si>
    <t>Employees</t>
  </si>
  <si>
    <t>Swaps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</si>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</sst>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14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0</xdr:rowOff>
    </xdr:from>
    <xdr:to>
      <xdr:col>12</xdr:col>
      <xdr:colOff>57150</xdr:colOff>
      <xdr:row>103</xdr:row>
      <xdr:rowOff>85725</xdr:rowOff>
    </xdr:to>
    <xdr:cxnSp macro="">
      <xdr:nvCxnSpPr>
        <xdr:cNvPr id="3" name="Straight Connector 2"/>
        <xdr:cNvCxnSpPr/>
      </xdr:nvCxnSpPr>
      <xdr:spPr>
        <a:xfrm>
          <a:off x="7696200" y="0"/>
          <a:ext cx="0" cy="1611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57150</xdr:colOff>
      <xdr:row>0</xdr:row>
      <xdr:rowOff>0</xdr:rowOff>
    </xdr:from>
    <xdr:to>
      <xdr:col>26</xdr:col>
      <xdr:colOff>57150</xdr:colOff>
      <xdr:row>53</xdr:row>
      <xdr:rowOff>57150</xdr:rowOff>
    </xdr:to>
    <xdr:cxnSp macro="">
      <xdr:nvCxnSpPr>
        <xdr:cNvPr id="4" name="Straight Connector 3"/>
        <xdr:cNvCxnSpPr/>
      </xdr:nvCxnSpPr>
      <xdr:spPr>
        <a:xfrm>
          <a:off x="13792200" y="0"/>
          <a:ext cx="0" cy="782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workbookViewId="0">
      <selection activeCell="E25" sqref="E25"/>
    </sheetView>
  </sheetViews>
  <sheetFormatPr defaultRowHeight="12.75" x14ac:dyDescent="0.2"/>
  <cols>
    <col min="2" max="2" width="11" customWidth="1"/>
    <col min="3" max="3" width="13.140625" customWidth="1"/>
    <col min="4" max="4" width="12.85546875" bestFit="1" customWidth="1"/>
    <col min="5" max="5" width="12.140625" customWidth="1"/>
  </cols>
  <sheetData>
    <row r="2" spans="2:13" x14ac:dyDescent="0.2">
      <c r="B2" s="9" t="s">
        <v>57</v>
      </c>
      <c r="C2" s="10" t="s">
        <v>56</v>
      </c>
      <c r="D2" s="15" t="s">
        <v>55</v>
      </c>
      <c r="E2" s="15" t="s">
        <v>54</v>
      </c>
      <c r="F2" s="15" t="s">
        <v>58</v>
      </c>
      <c r="G2" s="15"/>
      <c r="H2" s="16"/>
      <c r="K2" t="s">
        <v>0</v>
      </c>
      <c r="L2">
        <v>82.09</v>
      </c>
    </row>
    <row r="3" spans="2:13" x14ac:dyDescent="0.2">
      <c r="B3" s="11" t="s">
        <v>30</v>
      </c>
      <c r="C3" s="12" t="s">
        <v>63</v>
      </c>
      <c r="D3" s="17"/>
      <c r="E3" s="17"/>
      <c r="F3" s="17"/>
      <c r="G3" s="17"/>
      <c r="H3" s="18"/>
      <c r="K3" t="s">
        <v>5</v>
      </c>
      <c r="L3" s="2">
        <v>1103.8434440000001</v>
      </c>
      <c r="M3" s="1" t="s">
        <v>16</v>
      </c>
    </row>
    <row r="4" spans="2:13" x14ac:dyDescent="0.2">
      <c r="B4" s="11" t="s">
        <v>31</v>
      </c>
      <c r="C4" s="12" t="s">
        <v>64</v>
      </c>
      <c r="D4" s="17" t="s">
        <v>69</v>
      </c>
      <c r="E4" s="17"/>
      <c r="F4" s="17" t="s">
        <v>75</v>
      </c>
      <c r="G4" s="17"/>
      <c r="H4" s="18"/>
      <c r="K4" t="s">
        <v>1</v>
      </c>
      <c r="L4" s="2">
        <f>+L3*L2</f>
        <v>90614.508317960004</v>
      </c>
      <c r="M4" s="1"/>
    </row>
    <row r="5" spans="2:13" x14ac:dyDescent="0.2">
      <c r="B5" s="11" t="s">
        <v>19</v>
      </c>
      <c r="C5" s="21" t="s">
        <v>128</v>
      </c>
      <c r="D5" s="17" t="s">
        <v>69</v>
      </c>
      <c r="E5" s="17"/>
      <c r="F5" s="17"/>
      <c r="G5" s="17"/>
      <c r="H5" s="18"/>
      <c r="K5" t="s">
        <v>2</v>
      </c>
      <c r="L5" s="2">
        <f>3238+696.8+4449.2</f>
        <v>8384</v>
      </c>
      <c r="M5" s="1" t="s">
        <v>16</v>
      </c>
    </row>
    <row r="6" spans="2:13" x14ac:dyDescent="0.2">
      <c r="B6" s="11" t="s">
        <v>25</v>
      </c>
      <c r="C6" s="21" t="s">
        <v>66</v>
      </c>
      <c r="D6" s="17" t="s">
        <v>125</v>
      </c>
      <c r="E6" s="17"/>
      <c r="F6" s="17"/>
      <c r="G6" s="17"/>
      <c r="H6" s="18"/>
      <c r="K6" t="s">
        <v>3</v>
      </c>
      <c r="L6" s="2">
        <f>8685.5+645.8</f>
        <v>9331.2999999999993</v>
      </c>
      <c r="M6" s="1" t="s">
        <v>16</v>
      </c>
    </row>
    <row r="7" spans="2:13" x14ac:dyDescent="0.2">
      <c r="B7" s="11" t="s">
        <v>24</v>
      </c>
      <c r="C7" s="21" t="s">
        <v>65</v>
      </c>
      <c r="D7" s="17" t="s">
        <v>124</v>
      </c>
      <c r="E7" s="17"/>
      <c r="F7" s="17"/>
      <c r="G7" s="17"/>
      <c r="H7" s="18"/>
      <c r="K7" t="s">
        <v>4</v>
      </c>
      <c r="L7" s="2">
        <f>+L4-L5+L6</f>
        <v>91561.808317960007</v>
      </c>
    </row>
    <row r="8" spans="2:13" x14ac:dyDescent="0.2">
      <c r="B8" s="11" t="s">
        <v>29</v>
      </c>
      <c r="C8" s="21" t="s">
        <v>68</v>
      </c>
      <c r="D8" s="17" t="s">
        <v>69</v>
      </c>
      <c r="E8" s="26">
        <v>41900</v>
      </c>
      <c r="F8" s="17" t="s">
        <v>70</v>
      </c>
      <c r="G8" s="17"/>
      <c r="H8" s="18"/>
    </row>
    <row r="9" spans="2:13" x14ac:dyDescent="0.2">
      <c r="B9" s="11" t="s">
        <v>33</v>
      </c>
      <c r="C9" s="21" t="s">
        <v>71</v>
      </c>
      <c r="D9" s="17" t="s">
        <v>72</v>
      </c>
      <c r="E9" s="17"/>
      <c r="F9" s="17" t="s">
        <v>73</v>
      </c>
      <c r="G9" s="17"/>
      <c r="H9" s="18"/>
    </row>
    <row r="10" spans="2:13" x14ac:dyDescent="0.2">
      <c r="B10" s="11" t="s">
        <v>32</v>
      </c>
      <c r="C10" s="21" t="s">
        <v>74</v>
      </c>
      <c r="D10" s="17" t="s">
        <v>69</v>
      </c>
      <c r="E10" s="17"/>
      <c r="F10" s="17"/>
      <c r="G10" s="17"/>
      <c r="H10" s="18"/>
    </row>
    <row r="11" spans="2:13" x14ac:dyDescent="0.2">
      <c r="B11" s="11" t="s">
        <v>122</v>
      </c>
      <c r="C11" s="21" t="s">
        <v>123</v>
      </c>
      <c r="D11" s="17" t="s">
        <v>69</v>
      </c>
      <c r="E11" s="17"/>
      <c r="F11" s="17"/>
      <c r="G11" s="17"/>
      <c r="H11" s="18"/>
    </row>
    <row r="12" spans="2:13" x14ac:dyDescent="0.2">
      <c r="B12" s="11" t="s">
        <v>117</v>
      </c>
      <c r="C12" s="21" t="s">
        <v>118</v>
      </c>
      <c r="D12" s="17" t="s">
        <v>119</v>
      </c>
      <c r="E12" s="17"/>
      <c r="F12" s="17"/>
      <c r="G12" s="17"/>
      <c r="H12" s="18"/>
    </row>
    <row r="13" spans="2:13" x14ac:dyDescent="0.2">
      <c r="B13" s="11" t="s">
        <v>120</v>
      </c>
      <c r="C13" s="21" t="s">
        <v>121</v>
      </c>
      <c r="D13" s="17" t="s">
        <v>69</v>
      </c>
      <c r="E13" s="17"/>
      <c r="F13" s="17"/>
      <c r="G13" s="17"/>
      <c r="H13" s="18"/>
    </row>
    <row r="14" spans="2:13" x14ac:dyDescent="0.2">
      <c r="B14" s="11" t="s">
        <v>126</v>
      </c>
      <c r="C14" s="21" t="s">
        <v>127</v>
      </c>
      <c r="D14" s="17" t="s">
        <v>69</v>
      </c>
      <c r="E14" s="17"/>
      <c r="F14" s="17"/>
      <c r="G14" s="17"/>
      <c r="H14" s="18"/>
    </row>
    <row r="15" spans="2:13" x14ac:dyDescent="0.2">
      <c r="B15" s="11" t="s">
        <v>22</v>
      </c>
      <c r="C15" s="21" t="s">
        <v>129</v>
      </c>
      <c r="D15" s="17" t="s">
        <v>69</v>
      </c>
      <c r="E15" s="17"/>
      <c r="F15" s="17"/>
      <c r="G15" s="17"/>
      <c r="H15" s="18"/>
    </row>
    <row r="16" spans="2:13" x14ac:dyDescent="0.2">
      <c r="B16" s="11"/>
      <c r="C16" s="12"/>
      <c r="D16" s="17"/>
      <c r="E16" s="17"/>
      <c r="F16" s="17"/>
      <c r="G16" s="17"/>
      <c r="H16" s="18"/>
    </row>
    <row r="17" spans="2:8" x14ac:dyDescent="0.2">
      <c r="B17" s="11"/>
      <c r="C17" s="12"/>
      <c r="D17" s="17"/>
      <c r="E17" s="17"/>
      <c r="F17" s="17"/>
      <c r="G17" s="17"/>
      <c r="H17" s="18"/>
    </row>
    <row r="18" spans="2:8" x14ac:dyDescent="0.2">
      <c r="B18" s="11"/>
      <c r="C18" s="12"/>
      <c r="D18" s="17"/>
      <c r="E18" s="17"/>
      <c r="F18" s="17"/>
      <c r="G18" s="17"/>
      <c r="H18" s="18"/>
    </row>
    <row r="19" spans="2:8" x14ac:dyDescent="0.2">
      <c r="B19" s="11"/>
      <c r="C19" s="12"/>
      <c r="D19" s="17"/>
      <c r="E19" s="17"/>
      <c r="F19" s="17"/>
      <c r="G19" s="17"/>
      <c r="H19" s="18"/>
    </row>
    <row r="20" spans="2:8" x14ac:dyDescent="0.2">
      <c r="B20" s="11"/>
      <c r="C20" s="12"/>
      <c r="D20" s="17"/>
      <c r="E20" s="17"/>
      <c r="F20" s="17"/>
      <c r="G20" s="17"/>
      <c r="H20" s="18"/>
    </row>
    <row r="21" spans="2:8" x14ac:dyDescent="0.2">
      <c r="B21" s="9"/>
      <c r="C21" s="10"/>
      <c r="D21" s="15"/>
      <c r="E21" s="15" t="s">
        <v>53</v>
      </c>
      <c r="F21" s="15"/>
      <c r="G21" s="15"/>
      <c r="H21" s="16"/>
    </row>
    <row r="22" spans="2:8" x14ac:dyDescent="0.2">
      <c r="B22" s="11"/>
      <c r="C22" s="12" t="s">
        <v>50</v>
      </c>
      <c r="D22" s="17" t="s">
        <v>51</v>
      </c>
      <c r="E22" s="17" t="s">
        <v>52</v>
      </c>
      <c r="F22" s="17" t="s">
        <v>59</v>
      </c>
      <c r="G22" s="17"/>
      <c r="H22" s="18"/>
    </row>
    <row r="23" spans="2:8" x14ac:dyDescent="0.2">
      <c r="B23" s="11"/>
      <c r="C23" s="12" t="s">
        <v>60</v>
      </c>
      <c r="D23" s="17" t="s">
        <v>61</v>
      </c>
      <c r="E23" s="17" t="s">
        <v>131</v>
      </c>
      <c r="F23" s="17" t="s">
        <v>62</v>
      </c>
      <c r="G23" s="17"/>
      <c r="H23" s="18"/>
    </row>
    <row r="24" spans="2:8" x14ac:dyDescent="0.2">
      <c r="B24" s="11"/>
      <c r="C24" s="12" t="s">
        <v>130</v>
      </c>
      <c r="D24" s="17"/>
      <c r="E24" s="17"/>
      <c r="F24" s="17"/>
      <c r="G24" s="17"/>
      <c r="H24" s="18"/>
    </row>
    <row r="25" spans="2:8" x14ac:dyDescent="0.2">
      <c r="B25" s="11"/>
      <c r="C25" s="12"/>
      <c r="D25" s="17"/>
      <c r="E25" s="17"/>
      <c r="F25" s="17"/>
      <c r="G25" s="17"/>
      <c r="H25" s="18"/>
    </row>
    <row r="26" spans="2:8" x14ac:dyDescent="0.2">
      <c r="B26" s="11"/>
      <c r="C26" s="12"/>
      <c r="D26" s="17"/>
      <c r="E26" s="17"/>
      <c r="F26" s="17"/>
      <c r="G26" s="17"/>
      <c r="H26" s="18"/>
    </row>
    <row r="27" spans="2:8" x14ac:dyDescent="0.2">
      <c r="B27" s="11"/>
      <c r="C27" s="12"/>
      <c r="D27" s="17"/>
      <c r="E27" s="17"/>
      <c r="F27" s="17"/>
      <c r="G27" s="17"/>
      <c r="H27" s="18"/>
    </row>
    <row r="28" spans="2:8" x14ac:dyDescent="0.2">
      <c r="B28" s="11"/>
      <c r="C28" s="12"/>
      <c r="D28" s="17"/>
      <c r="E28" s="17"/>
      <c r="F28" s="17"/>
      <c r="G28" s="17"/>
      <c r="H28" s="18"/>
    </row>
    <row r="29" spans="2:8" x14ac:dyDescent="0.2">
      <c r="B29" s="11"/>
      <c r="C29" s="12"/>
      <c r="D29" s="17"/>
      <c r="E29" s="17"/>
      <c r="F29" s="17"/>
      <c r="G29" s="17"/>
      <c r="H29" s="18"/>
    </row>
    <row r="30" spans="2:8" x14ac:dyDescent="0.2">
      <c r="B30" s="11"/>
      <c r="C30" s="12"/>
      <c r="D30" s="17"/>
      <c r="E30" s="17"/>
      <c r="F30" s="17"/>
      <c r="G30" s="17"/>
      <c r="H30" s="18"/>
    </row>
    <row r="31" spans="2:8" x14ac:dyDescent="0.2">
      <c r="B31" s="11"/>
      <c r="C31" s="12"/>
      <c r="D31" s="17"/>
      <c r="E31" s="17"/>
      <c r="F31" s="17"/>
      <c r="G31" s="17"/>
      <c r="H31" s="18"/>
    </row>
    <row r="32" spans="2:8" x14ac:dyDescent="0.2">
      <c r="B32" s="11"/>
      <c r="C32" s="12"/>
      <c r="D32" s="17"/>
      <c r="E32" s="17"/>
      <c r="F32" s="17"/>
      <c r="G32" s="17"/>
      <c r="H32" s="18"/>
    </row>
    <row r="33" spans="2:8" x14ac:dyDescent="0.2">
      <c r="B33" s="11"/>
      <c r="C33" s="12"/>
      <c r="D33" s="17"/>
      <c r="E33" s="17"/>
      <c r="F33" s="17"/>
      <c r="G33" s="17"/>
      <c r="H33" s="18"/>
    </row>
    <row r="34" spans="2:8" x14ac:dyDescent="0.2">
      <c r="B34" s="11"/>
      <c r="C34" s="12"/>
      <c r="D34" s="17"/>
      <c r="E34" s="17"/>
      <c r="F34" s="17"/>
      <c r="G34" s="17"/>
      <c r="H34" s="18"/>
    </row>
    <row r="35" spans="2:8" x14ac:dyDescent="0.2">
      <c r="B35" s="11"/>
      <c r="C35" s="12"/>
      <c r="D35" s="17"/>
      <c r="E35" s="17"/>
      <c r="F35" s="17"/>
      <c r="G35" s="17"/>
      <c r="H35" s="18"/>
    </row>
    <row r="36" spans="2:8" x14ac:dyDescent="0.2">
      <c r="B36" s="13"/>
      <c r="C36" s="14"/>
      <c r="D36" s="19"/>
      <c r="E36" s="19"/>
      <c r="F36" s="19"/>
      <c r="G36" s="19"/>
      <c r="H36" s="20"/>
    </row>
    <row r="38" spans="2:8" x14ac:dyDescent="0.2">
      <c r="B38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G4:L4"/>
    </sheetView>
  </sheetViews>
  <sheetFormatPr defaultRowHeight="12.75" x14ac:dyDescent="0.2"/>
  <cols>
    <col min="1" max="1" width="5" bestFit="1" customWidth="1"/>
    <col min="2" max="2" width="18.140625" bestFit="1" customWidth="1"/>
    <col min="3" max="25" width="9.140625" style="1"/>
  </cols>
  <sheetData>
    <row r="1" spans="1:48" x14ac:dyDescent="0.2">
      <c r="A1" s="8" t="s">
        <v>7</v>
      </c>
    </row>
    <row r="2" spans="1:48" x14ac:dyDescent="0.2"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6</v>
      </c>
      <c r="L2" s="1" t="s">
        <v>16</v>
      </c>
      <c r="M2" s="1" t="s">
        <v>17</v>
      </c>
      <c r="N2" s="1" t="s">
        <v>18</v>
      </c>
      <c r="O2" s="1" t="s">
        <v>76</v>
      </c>
      <c r="P2" s="1" t="s">
        <v>77</v>
      </c>
      <c r="Q2" s="1" t="s">
        <v>78</v>
      </c>
      <c r="R2" s="1" t="s">
        <v>79</v>
      </c>
      <c r="U2" s="1">
        <v>2010</v>
      </c>
      <c r="V2" s="1">
        <f>+U2+1</f>
        <v>2011</v>
      </c>
      <c r="W2" s="1">
        <f t="shared" ref="W2:AA2" si="0">+V2+1</f>
        <v>2012</v>
      </c>
      <c r="X2" s="1">
        <f t="shared" si="0"/>
        <v>2013</v>
      </c>
      <c r="Y2" s="1">
        <f t="shared" si="0"/>
        <v>2014</v>
      </c>
      <c r="Z2" s="1">
        <f t="shared" si="0"/>
        <v>2015</v>
      </c>
      <c r="AA2" s="1">
        <f t="shared" si="0"/>
        <v>2016</v>
      </c>
      <c r="AB2" s="1">
        <f>+AA2+1</f>
        <v>2017</v>
      </c>
      <c r="AC2" s="1">
        <f>+AB2+1</f>
        <v>2018</v>
      </c>
      <c r="AD2" s="1">
        <f t="shared" ref="AD2:AT2" si="1">+AC2+1</f>
        <v>2019</v>
      </c>
      <c r="AE2" s="1">
        <f t="shared" si="1"/>
        <v>2020</v>
      </c>
      <c r="AF2" s="1">
        <f t="shared" si="1"/>
        <v>2021</v>
      </c>
      <c r="AG2" s="1">
        <f t="shared" si="1"/>
        <v>2022</v>
      </c>
      <c r="AH2" s="1">
        <f t="shared" si="1"/>
        <v>2023</v>
      </c>
      <c r="AI2" s="1">
        <f t="shared" si="1"/>
        <v>2024</v>
      </c>
      <c r="AJ2" s="1">
        <f t="shared" si="1"/>
        <v>2025</v>
      </c>
      <c r="AK2" s="1">
        <f t="shared" si="1"/>
        <v>2026</v>
      </c>
      <c r="AL2" s="1">
        <f t="shared" si="1"/>
        <v>2027</v>
      </c>
      <c r="AM2" s="1">
        <f t="shared" si="1"/>
        <v>2028</v>
      </c>
      <c r="AN2" s="1">
        <f t="shared" si="1"/>
        <v>2029</v>
      </c>
      <c r="AO2" s="1">
        <f t="shared" si="1"/>
        <v>2030</v>
      </c>
      <c r="AP2" s="1">
        <f t="shared" si="1"/>
        <v>2031</v>
      </c>
      <c r="AQ2" s="1">
        <f t="shared" si="1"/>
        <v>2032</v>
      </c>
      <c r="AR2" s="1">
        <f t="shared" si="1"/>
        <v>2033</v>
      </c>
      <c r="AS2" s="1">
        <f t="shared" si="1"/>
        <v>2034</v>
      </c>
      <c r="AT2" s="1">
        <f t="shared" si="1"/>
        <v>2035</v>
      </c>
      <c r="AU2" s="1"/>
      <c r="AV2" s="1"/>
    </row>
    <row r="3" spans="1:48" s="2" customFormat="1" x14ac:dyDescent="0.2">
      <c r="B3" s="2" t="s">
        <v>19</v>
      </c>
      <c r="C3" s="5"/>
      <c r="D3" s="5">
        <v>700.1</v>
      </c>
      <c r="E3" s="5">
        <v>706.1</v>
      </c>
      <c r="F3" s="5">
        <v>729.1</v>
      </c>
      <c r="G3" s="5">
        <v>684</v>
      </c>
      <c r="H3" s="5">
        <v>654.29999999999995</v>
      </c>
      <c r="I3" s="5">
        <v>705</v>
      </c>
      <c r="J3" s="5">
        <v>798.7</v>
      </c>
      <c r="K3" s="5">
        <v>606.29999999999995</v>
      </c>
      <c r="L3" s="5">
        <v>701.9</v>
      </c>
      <c r="M3" s="5">
        <f t="shared" ref="M3:N3" si="2">+I3*0.99</f>
        <v>697.95</v>
      </c>
      <c r="N3" s="5">
        <f t="shared" si="2"/>
        <v>790.71300000000008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2">
        <f>SUM(G3:J3)</f>
        <v>2842</v>
      </c>
      <c r="AA3" s="2">
        <f>SUM(K3:N3)</f>
        <v>2796.8629999999998</v>
      </c>
      <c r="AB3" s="2">
        <f>+AA3*0.95</f>
        <v>2657.0198499999997</v>
      </c>
      <c r="AC3" s="2">
        <f t="shared" ref="AC3:AO3" si="3">+AB3*0.95</f>
        <v>2524.1688574999994</v>
      </c>
      <c r="AD3" s="2">
        <f t="shared" si="3"/>
        <v>2397.9604146249994</v>
      </c>
      <c r="AE3" s="2">
        <f t="shared" si="3"/>
        <v>2278.0623938937492</v>
      </c>
      <c r="AF3" s="2">
        <f t="shared" si="3"/>
        <v>2164.1592741990617</v>
      </c>
      <c r="AG3" s="2">
        <f t="shared" si="3"/>
        <v>2055.9513104891084</v>
      </c>
      <c r="AH3" s="2">
        <f t="shared" si="3"/>
        <v>1953.153744964653</v>
      </c>
      <c r="AI3" s="2">
        <f t="shared" si="3"/>
        <v>1855.4960577164202</v>
      </c>
      <c r="AJ3" s="2">
        <f t="shared" si="3"/>
        <v>1762.721254830599</v>
      </c>
      <c r="AK3" s="2">
        <f t="shared" si="3"/>
        <v>1674.5851920890691</v>
      </c>
      <c r="AL3" s="2">
        <f t="shared" si="3"/>
        <v>1590.8559324846156</v>
      </c>
      <c r="AM3" s="2">
        <f t="shared" si="3"/>
        <v>1511.3131358603846</v>
      </c>
      <c r="AN3" s="2">
        <f t="shared" si="3"/>
        <v>1435.7474790673652</v>
      </c>
      <c r="AO3" s="2">
        <f t="shared" si="3"/>
        <v>1363.9601051139969</v>
      </c>
    </row>
    <row r="4" spans="1:48" s="2" customFormat="1" x14ac:dyDescent="0.2">
      <c r="B4" s="2" t="s">
        <v>20</v>
      </c>
      <c r="C4" s="5"/>
      <c r="D4" s="5">
        <v>567.79999999999995</v>
      </c>
      <c r="E4" s="5">
        <v>568.4</v>
      </c>
      <c r="F4" s="5">
        <v>622.4</v>
      </c>
      <c r="G4" s="5">
        <v>538.29999999999995</v>
      </c>
      <c r="H4" s="5">
        <v>567.9</v>
      </c>
      <c r="I4" s="5">
        <v>566.1</v>
      </c>
      <c r="J4" s="5">
        <v>638.4</v>
      </c>
      <c r="K4" s="5">
        <v>576.70000000000005</v>
      </c>
      <c r="L4" s="5">
        <v>630.5</v>
      </c>
      <c r="M4" s="5">
        <f t="shared" ref="M4:M5" si="4">+I4*0.99</f>
        <v>560.43899999999996</v>
      </c>
      <c r="N4" s="5">
        <f t="shared" ref="N4:N5" si="5">+J4*0.99</f>
        <v>632.01599999999996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">
        <f t="shared" ref="Z4:Z23" si="6">SUM(G4:J4)</f>
        <v>2310.6999999999998</v>
      </c>
      <c r="AA4" s="2">
        <f t="shared" ref="AA4:AA26" si="7">SUM(K4:N4)</f>
        <v>2399.6550000000002</v>
      </c>
      <c r="AB4" s="2">
        <f>+AA4*0.85</f>
        <v>2039.7067500000001</v>
      </c>
      <c r="AC4" s="2">
        <f>+AB4*0.1</f>
        <v>203.97067500000003</v>
      </c>
      <c r="AD4" s="2">
        <f t="shared" ref="AD4:AO4" si="8">+AC4*0.1</f>
        <v>20.397067500000006</v>
      </c>
      <c r="AE4" s="2">
        <f t="shared" si="8"/>
        <v>2.0397067500000006</v>
      </c>
      <c r="AF4" s="2">
        <f t="shared" si="8"/>
        <v>0.20397067500000007</v>
      </c>
      <c r="AG4" s="2">
        <f t="shared" si="8"/>
        <v>2.0397067500000008E-2</v>
      </c>
      <c r="AH4" s="2">
        <f t="shared" si="8"/>
        <v>2.039706750000001E-3</v>
      </c>
      <c r="AI4" s="2">
        <f t="shared" si="8"/>
        <v>2.0397067500000011E-4</v>
      </c>
      <c r="AJ4" s="2">
        <f t="shared" si="8"/>
        <v>2.0397067500000013E-5</v>
      </c>
      <c r="AK4" s="2">
        <f t="shared" si="8"/>
        <v>2.0397067500000015E-6</v>
      </c>
      <c r="AL4" s="2">
        <f t="shared" si="8"/>
        <v>2.0397067500000016E-7</v>
      </c>
      <c r="AM4" s="2">
        <f t="shared" si="8"/>
        <v>2.0397067500000017E-8</v>
      </c>
      <c r="AN4" s="2">
        <f t="shared" si="8"/>
        <v>2.0397067500000016E-9</v>
      </c>
      <c r="AO4" s="2">
        <f t="shared" si="8"/>
        <v>2.0397067500000018E-10</v>
      </c>
    </row>
    <row r="5" spans="1:48" s="2" customFormat="1" x14ac:dyDescent="0.2">
      <c r="B5" s="2" t="s">
        <v>21</v>
      </c>
      <c r="C5" s="5"/>
      <c r="D5" s="5">
        <v>711.6</v>
      </c>
      <c r="E5" s="5">
        <v>723.4</v>
      </c>
      <c r="F5" s="5">
        <v>725</v>
      </c>
      <c r="G5" s="5">
        <v>573</v>
      </c>
      <c r="H5" s="5">
        <v>664.3</v>
      </c>
      <c r="I5" s="5">
        <v>628.5</v>
      </c>
      <c r="J5" s="5">
        <v>627.20000000000005</v>
      </c>
      <c r="K5" s="5">
        <v>564.20000000000005</v>
      </c>
      <c r="L5" s="5">
        <v>607.1</v>
      </c>
      <c r="M5" s="5">
        <f t="shared" si="4"/>
        <v>622.21500000000003</v>
      </c>
      <c r="N5" s="5">
        <f t="shared" si="5"/>
        <v>620.928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">
        <f t="shared" si="6"/>
        <v>2493</v>
      </c>
      <c r="AA5" s="2">
        <f t="shared" si="7"/>
        <v>2414.4430000000002</v>
      </c>
      <c r="AB5" s="2">
        <f>+AA5*1.01</f>
        <v>2438.58743</v>
      </c>
      <c r="AC5" s="2">
        <f t="shared" ref="AC5:AE5" si="9">+AB5*1.01</f>
        <v>2462.9733043000001</v>
      </c>
      <c r="AD5" s="2">
        <f t="shared" si="9"/>
        <v>2487.6030373430003</v>
      </c>
      <c r="AE5" s="2">
        <f t="shared" si="9"/>
        <v>2512.4790677164306</v>
      </c>
      <c r="AF5" s="2">
        <f>+AE5*0.01</f>
        <v>25.124790677164306</v>
      </c>
      <c r="AG5" s="2">
        <f t="shared" ref="AG5:AO5" si="10">+AF5*0.01</f>
        <v>0.25124790677164305</v>
      </c>
      <c r="AH5" s="2">
        <f t="shared" si="10"/>
        <v>2.5124790677164307E-3</v>
      </c>
      <c r="AI5" s="2">
        <f t="shared" si="10"/>
        <v>2.5124790677164308E-5</v>
      </c>
      <c r="AJ5" s="2">
        <f t="shared" si="10"/>
        <v>2.512479067716431E-7</v>
      </c>
      <c r="AK5" s="2">
        <f t="shared" si="10"/>
        <v>2.5124790677164312E-9</v>
      </c>
      <c r="AL5" s="2">
        <f t="shared" si="10"/>
        <v>2.5124790677164312E-11</v>
      </c>
      <c r="AM5" s="2">
        <f t="shared" si="10"/>
        <v>2.5124790677164311E-13</v>
      </c>
      <c r="AN5" s="2">
        <f t="shared" si="10"/>
        <v>2.512479067716431E-15</v>
      </c>
      <c r="AO5" s="2">
        <f t="shared" si="10"/>
        <v>2.5124790677164311E-17</v>
      </c>
    </row>
    <row r="6" spans="1:48" s="2" customFormat="1" x14ac:dyDescent="0.2">
      <c r="B6" s="2" t="s">
        <v>22</v>
      </c>
      <c r="C6" s="5"/>
      <c r="D6" s="5">
        <v>352.4</v>
      </c>
      <c r="E6" s="5">
        <v>335.9</v>
      </c>
      <c r="F6" s="5">
        <v>395.6</v>
      </c>
      <c r="G6" s="5">
        <v>315.7</v>
      </c>
      <c r="H6" s="5">
        <v>316.39999999999998</v>
      </c>
      <c r="I6" s="5">
        <v>316.7</v>
      </c>
      <c r="J6" s="5">
        <v>358.6</v>
      </c>
      <c r="K6" s="5">
        <v>356.4</v>
      </c>
      <c r="L6" s="5">
        <v>332.3</v>
      </c>
      <c r="M6" s="5">
        <f t="shared" ref="M6" si="11">+I6*0.99</f>
        <v>313.53299999999996</v>
      </c>
      <c r="N6" s="5">
        <f t="shared" ref="N6" si="12">+J6*0.99</f>
        <v>355.01400000000001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2">
        <f t="shared" si="6"/>
        <v>1307.4000000000001</v>
      </c>
      <c r="AA6" s="2">
        <f t="shared" si="7"/>
        <v>1357.2469999999998</v>
      </c>
      <c r="AB6" s="2">
        <f>+AA6*0.95</f>
        <v>1289.3846499999997</v>
      </c>
      <c r="AC6" s="2">
        <f t="shared" ref="AC6:AO6" si="13">+AB6*0.95</f>
        <v>1224.9154174999996</v>
      </c>
      <c r="AD6" s="2">
        <f t="shared" si="13"/>
        <v>1163.6696466249996</v>
      </c>
      <c r="AE6" s="2">
        <f t="shared" si="13"/>
        <v>1105.4861642937497</v>
      </c>
      <c r="AF6" s="2">
        <f t="shared" si="13"/>
        <v>1050.211856079062</v>
      </c>
      <c r="AG6" s="2">
        <f t="shared" si="13"/>
        <v>997.70126327510889</v>
      </c>
      <c r="AH6" s="2">
        <f t="shared" si="13"/>
        <v>947.8162001113534</v>
      </c>
      <c r="AI6" s="2">
        <f t="shared" si="13"/>
        <v>900.42539010578571</v>
      </c>
      <c r="AJ6" s="2">
        <f t="shared" si="13"/>
        <v>855.40412060049641</v>
      </c>
      <c r="AK6" s="2">
        <f t="shared" si="13"/>
        <v>812.63391457047157</v>
      </c>
      <c r="AL6" s="2">
        <f t="shared" si="13"/>
        <v>772.00221884194798</v>
      </c>
      <c r="AM6" s="2">
        <f t="shared" si="13"/>
        <v>733.40210789985053</v>
      </c>
      <c r="AN6" s="2">
        <f t="shared" si="13"/>
        <v>696.73200250485797</v>
      </c>
      <c r="AO6" s="2">
        <f t="shared" si="13"/>
        <v>661.89540237961501</v>
      </c>
    </row>
    <row r="7" spans="1:48" s="2" customFormat="1" x14ac:dyDescent="0.2">
      <c r="B7" s="2" t="s">
        <v>23</v>
      </c>
      <c r="C7" s="5"/>
      <c r="D7" s="5">
        <v>308.60000000000002</v>
      </c>
      <c r="E7" s="5">
        <v>332.2</v>
      </c>
      <c r="F7" s="5">
        <v>380.8</v>
      </c>
      <c r="G7" s="5">
        <v>293</v>
      </c>
      <c r="H7" s="5">
        <v>328.4</v>
      </c>
      <c r="I7" s="5">
        <v>348.9</v>
      </c>
      <c r="J7" s="5">
        <v>377.9</v>
      </c>
      <c r="K7" s="5">
        <v>318.60000000000002</v>
      </c>
      <c r="L7" s="5">
        <v>367.6</v>
      </c>
      <c r="M7" s="5">
        <f t="shared" ref="M7:N7" si="14">+I7*1.02</f>
        <v>355.87799999999999</v>
      </c>
      <c r="N7" s="5">
        <f t="shared" si="14"/>
        <v>385.45799999999997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2">
        <f t="shared" si="6"/>
        <v>1348.1999999999998</v>
      </c>
      <c r="AA7" s="2">
        <f t="shared" si="7"/>
        <v>1427.5360000000001</v>
      </c>
      <c r="AB7" s="2">
        <f>+AA7*1.01</f>
        <v>1441.8113600000001</v>
      </c>
      <c r="AC7" s="2">
        <f t="shared" ref="AC7:AO7" si="15">+AB7*1.01</f>
        <v>1456.2294736000001</v>
      </c>
      <c r="AD7" s="2">
        <f t="shared" si="15"/>
        <v>1470.7917683360001</v>
      </c>
      <c r="AE7" s="2">
        <f t="shared" si="15"/>
        <v>1485.4996860193601</v>
      </c>
      <c r="AF7" s="2">
        <f t="shared" si="15"/>
        <v>1500.3546828795536</v>
      </c>
      <c r="AG7" s="2">
        <f t="shared" si="15"/>
        <v>1515.3582297083492</v>
      </c>
      <c r="AH7" s="2">
        <f t="shared" si="15"/>
        <v>1530.5118120054326</v>
      </c>
      <c r="AI7" s="2">
        <f t="shared" si="15"/>
        <v>1545.816930125487</v>
      </c>
      <c r="AJ7" s="2">
        <f t="shared" si="15"/>
        <v>1561.2750994267419</v>
      </c>
      <c r="AK7" s="2">
        <f t="shared" si="15"/>
        <v>1576.8878504210093</v>
      </c>
      <c r="AL7" s="2">
        <f t="shared" si="15"/>
        <v>1592.6567289252193</v>
      </c>
      <c r="AM7" s="2">
        <f t="shared" si="15"/>
        <v>1608.5832962144716</v>
      </c>
      <c r="AN7" s="2">
        <f t="shared" si="15"/>
        <v>1624.6691291766163</v>
      </c>
      <c r="AO7" s="2">
        <f t="shared" si="15"/>
        <v>1640.9158204683824</v>
      </c>
    </row>
    <row r="8" spans="1:48" s="2" customFormat="1" x14ac:dyDescent="0.2">
      <c r="B8" s="2" t="s">
        <v>24</v>
      </c>
      <c r="C8" s="5"/>
      <c r="D8" s="5">
        <v>243.8</v>
      </c>
      <c r="E8" s="5">
        <v>257.39999999999998</v>
      </c>
      <c r="F8" s="5">
        <v>253.1</v>
      </c>
      <c r="G8" s="5">
        <v>219.5</v>
      </c>
      <c r="H8" s="5">
        <v>253.7</v>
      </c>
      <c r="I8" s="5">
        <v>237.9</v>
      </c>
      <c r="J8" s="5">
        <v>229.1</v>
      </c>
      <c r="K8" s="5">
        <v>212.8</v>
      </c>
      <c r="L8" s="5">
        <v>210.7</v>
      </c>
      <c r="M8" s="5">
        <f t="shared" ref="M8:N9" si="16">+I8*0.9</f>
        <v>214.11</v>
      </c>
      <c r="N8" s="5">
        <f t="shared" si="16"/>
        <v>206.19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">
        <f t="shared" si="6"/>
        <v>940.2</v>
      </c>
      <c r="AA8" s="2">
        <f t="shared" si="7"/>
        <v>843.8</v>
      </c>
      <c r="AB8" s="2">
        <f t="shared" ref="AB8:AO8" si="17">+AA8*0.85</f>
        <v>717.2299999999999</v>
      </c>
      <c r="AC8" s="2">
        <f t="shared" si="17"/>
        <v>609.64549999999986</v>
      </c>
      <c r="AD8" s="2">
        <f t="shared" si="17"/>
        <v>518.19867499999987</v>
      </c>
      <c r="AE8" s="2">
        <f t="shared" si="17"/>
        <v>440.46887374999989</v>
      </c>
      <c r="AF8" s="2">
        <f t="shared" si="17"/>
        <v>374.39854268749991</v>
      </c>
      <c r="AG8" s="2">
        <f t="shared" si="17"/>
        <v>318.2387612843749</v>
      </c>
      <c r="AH8" s="2">
        <f t="shared" si="17"/>
        <v>270.50294709171868</v>
      </c>
      <c r="AI8" s="2">
        <f t="shared" si="17"/>
        <v>229.92750502796088</v>
      </c>
      <c r="AJ8" s="2">
        <f t="shared" si="17"/>
        <v>195.43837927376674</v>
      </c>
      <c r="AK8" s="2">
        <f t="shared" si="17"/>
        <v>166.12262238270173</v>
      </c>
      <c r="AL8" s="2">
        <f t="shared" si="17"/>
        <v>141.20422902529648</v>
      </c>
      <c r="AM8" s="2">
        <f t="shared" si="17"/>
        <v>120.02359467150201</v>
      </c>
      <c r="AN8" s="2">
        <f t="shared" si="17"/>
        <v>102.02005547077671</v>
      </c>
      <c r="AO8" s="2">
        <f t="shared" si="17"/>
        <v>86.717047150160198</v>
      </c>
    </row>
    <row r="9" spans="1:48" s="2" customFormat="1" x14ac:dyDescent="0.2">
      <c r="B9" s="2" t="s">
        <v>25</v>
      </c>
      <c r="C9" s="5"/>
      <c r="D9" s="5">
        <v>401.3</v>
      </c>
      <c r="E9" s="5">
        <v>368</v>
      </c>
      <c r="F9" s="5">
        <v>367.3</v>
      </c>
      <c r="G9" s="5">
        <v>287</v>
      </c>
      <c r="H9" s="5">
        <v>274.10000000000002</v>
      </c>
      <c r="I9" s="5">
        <v>242.9</v>
      </c>
      <c r="J9" s="5">
        <v>223.6</v>
      </c>
      <c r="K9" s="5">
        <v>198.7</v>
      </c>
      <c r="L9" s="5">
        <v>236.5</v>
      </c>
      <c r="M9" s="5">
        <f t="shared" si="16"/>
        <v>218.61</v>
      </c>
      <c r="N9" s="5">
        <f t="shared" si="16"/>
        <v>201.24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2">
        <f t="shared" si="6"/>
        <v>1027.5999999999999</v>
      </c>
      <c r="AA9" s="2">
        <f t="shared" si="7"/>
        <v>855.05</v>
      </c>
      <c r="AB9" s="2">
        <f>+AA9*0.85</f>
        <v>726.7924999999999</v>
      </c>
      <c r="AC9" s="2">
        <f t="shared" ref="AC9:AO9" si="18">+AB9*0.85</f>
        <v>617.77362499999992</v>
      </c>
      <c r="AD9" s="2">
        <f t="shared" si="18"/>
        <v>525.10758124999995</v>
      </c>
      <c r="AE9" s="2">
        <f t="shared" si="18"/>
        <v>446.34144406249993</v>
      </c>
      <c r="AF9" s="2">
        <f t="shared" si="18"/>
        <v>379.39022745312491</v>
      </c>
      <c r="AG9" s="2">
        <f t="shared" si="18"/>
        <v>322.48169333515614</v>
      </c>
      <c r="AH9" s="2">
        <f t="shared" si="18"/>
        <v>274.10943933488272</v>
      </c>
      <c r="AI9" s="2">
        <f t="shared" si="18"/>
        <v>232.9930234346503</v>
      </c>
      <c r="AJ9" s="2">
        <f t="shared" si="18"/>
        <v>198.04406991945274</v>
      </c>
      <c r="AK9" s="2">
        <f t="shared" si="18"/>
        <v>168.33745943153482</v>
      </c>
      <c r="AL9" s="2">
        <f t="shared" si="18"/>
        <v>143.08684051680459</v>
      </c>
      <c r="AM9" s="2">
        <f t="shared" si="18"/>
        <v>121.62381443928389</v>
      </c>
      <c r="AN9" s="2">
        <f t="shared" si="18"/>
        <v>103.3802422733913</v>
      </c>
      <c r="AO9" s="2">
        <f t="shared" si="18"/>
        <v>87.873205932382604</v>
      </c>
    </row>
    <row r="10" spans="1:48" s="2" customFormat="1" x14ac:dyDescent="0.2">
      <c r="B10" s="2" t="s">
        <v>29</v>
      </c>
      <c r="C10" s="5"/>
      <c r="D10" s="5">
        <v>0</v>
      </c>
      <c r="E10" s="5">
        <v>0</v>
      </c>
      <c r="F10" s="5">
        <v>10.199999999999999</v>
      </c>
      <c r="G10" s="5">
        <v>18.3</v>
      </c>
      <c r="H10" s="5">
        <v>0</v>
      </c>
      <c r="I10" s="5">
        <v>73.7</v>
      </c>
      <c r="J10" s="5">
        <v>112.5</v>
      </c>
      <c r="K10" s="5">
        <v>143.6</v>
      </c>
      <c r="L10" s="5">
        <v>201.3</v>
      </c>
      <c r="M10" s="5">
        <f t="shared" ref="M10:N10" si="19">+L10+20</f>
        <v>221.3</v>
      </c>
      <c r="N10" s="5">
        <f t="shared" si="19"/>
        <v>241.3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2">
        <f>SUM(G10:J10)</f>
        <v>204.5</v>
      </c>
      <c r="AA10" s="2">
        <f>SUM(K10:N10)</f>
        <v>807.5</v>
      </c>
      <c r="AB10" s="2">
        <f>+AA10*1.5</f>
        <v>1211.25</v>
      </c>
      <c r="AC10" s="2">
        <f>+AB10*1.2</f>
        <v>1453.5</v>
      </c>
      <c r="AD10" s="2">
        <f t="shared" ref="AD10:AE10" si="20">+AC10*1.2</f>
        <v>1744.2</v>
      </c>
      <c r="AE10" s="2">
        <f t="shared" si="20"/>
        <v>2093.04</v>
      </c>
      <c r="AF10" s="2">
        <f>+AE10*1.2</f>
        <v>2511.6479999999997</v>
      </c>
      <c r="AG10" s="2">
        <f>+AF10*1.1</f>
        <v>2762.8127999999997</v>
      </c>
      <c r="AH10" s="2">
        <f t="shared" ref="AH10:AI10" si="21">+AG10*1.1</f>
        <v>3039.0940799999998</v>
      </c>
      <c r="AI10" s="2">
        <f t="shared" si="21"/>
        <v>3343.0034880000003</v>
      </c>
      <c r="AJ10" s="2">
        <f>+AI10*1.01</f>
        <v>3376.4335228800005</v>
      </c>
      <c r="AK10" s="2">
        <f t="shared" ref="AK10:AO10" si="22">+AJ10*1.01</f>
        <v>3410.1978581088006</v>
      </c>
      <c r="AL10" s="2">
        <f t="shared" si="22"/>
        <v>3444.2998366898887</v>
      </c>
      <c r="AM10" s="2">
        <f t="shared" si="22"/>
        <v>3478.7428350567875</v>
      </c>
      <c r="AN10" s="2">
        <f t="shared" si="22"/>
        <v>3513.5302634073555</v>
      </c>
      <c r="AO10" s="2">
        <f t="shared" si="22"/>
        <v>3548.665566041429</v>
      </c>
    </row>
    <row r="11" spans="1:48" s="2" customFormat="1" x14ac:dyDescent="0.2">
      <c r="B11" s="2" t="s">
        <v>26</v>
      </c>
      <c r="C11" s="5"/>
      <c r="D11" s="5">
        <v>197.4</v>
      </c>
      <c r="E11" s="5">
        <v>191.9</v>
      </c>
      <c r="F11" s="5">
        <v>194.9</v>
      </c>
      <c r="G11" s="5">
        <v>173.7</v>
      </c>
      <c r="H11" s="5">
        <v>191.8</v>
      </c>
      <c r="I11" s="5">
        <v>196.9</v>
      </c>
      <c r="J11" s="5">
        <v>221.6</v>
      </c>
      <c r="K11" s="5">
        <v>188.1</v>
      </c>
      <c r="L11" s="5">
        <v>224.6</v>
      </c>
      <c r="M11" s="5">
        <f t="shared" ref="M11:N11" si="23">+I11</f>
        <v>196.9</v>
      </c>
      <c r="N11" s="5">
        <f t="shared" si="23"/>
        <v>221.6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2">
        <f t="shared" si="6"/>
        <v>784</v>
      </c>
      <c r="AA11" s="2">
        <f t="shared" si="7"/>
        <v>831.2</v>
      </c>
      <c r="AB11" s="2">
        <f>+AA11</f>
        <v>831.2</v>
      </c>
      <c r="AC11" s="2">
        <f>+AB11</f>
        <v>831.2</v>
      </c>
      <c r="AD11" s="2">
        <f>+AC11</f>
        <v>831.2</v>
      </c>
      <c r="AE11" s="2">
        <f>+AD11*0.1</f>
        <v>83.12</v>
      </c>
      <c r="AF11" s="2">
        <f t="shared" ref="AF11:AO11" si="24">+AE11*0.1</f>
        <v>8.3120000000000012</v>
      </c>
      <c r="AG11" s="2">
        <f t="shared" si="24"/>
        <v>0.83120000000000016</v>
      </c>
      <c r="AH11" s="2">
        <f t="shared" si="24"/>
        <v>8.3120000000000027E-2</v>
      </c>
      <c r="AI11" s="2">
        <f t="shared" si="24"/>
        <v>8.3120000000000034E-3</v>
      </c>
      <c r="AJ11" s="2">
        <f t="shared" si="24"/>
        <v>8.3120000000000036E-4</v>
      </c>
      <c r="AK11" s="2">
        <f t="shared" si="24"/>
        <v>8.3120000000000044E-5</v>
      </c>
      <c r="AL11" s="2">
        <f t="shared" si="24"/>
        <v>8.3120000000000044E-6</v>
      </c>
      <c r="AM11" s="2">
        <f t="shared" si="24"/>
        <v>8.3120000000000051E-7</v>
      </c>
      <c r="AN11" s="2">
        <f t="shared" si="24"/>
        <v>8.3120000000000059E-8</v>
      </c>
      <c r="AO11" s="2">
        <f t="shared" si="24"/>
        <v>8.3120000000000069E-9</v>
      </c>
    </row>
    <row r="12" spans="1:48" s="2" customFormat="1" x14ac:dyDescent="0.2">
      <c r="B12" s="2" t="s">
        <v>27</v>
      </c>
      <c r="C12" s="5"/>
      <c r="D12" s="5">
        <v>0</v>
      </c>
      <c r="E12" s="5">
        <v>0</v>
      </c>
      <c r="F12" s="5">
        <v>96</v>
      </c>
      <c r="G12" s="5">
        <v>88.2</v>
      </c>
      <c r="H12" s="5">
        <v>0</v>
      </c>
      <c r="I12" s="5">
        <v>0</v>
      </c>
      <c r="J12" s="5">
        <v>176.2</v>
      </c>
      <c r="K12" s="5">
        <v>168.1</v>
      </c>
      <c r="L12" s="5">
        <v>180.6</v>
      </c>
      <c r="M12" s="5">
        <f t="shared" ref="M12:N12" si="25">+L12+5</f>
        <v>185.6</v>
      </c>
      <c r="N12" s="5">
        <f t="shared" si="25"/>
        <v>190.6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2">
        <f t="shared" si="6"/>
        <v>264.39999999999998</v>
      </c>
      <c r="AA12" s="2">
        <f t="shared" si="7"/>
        <v>724.9</v>
      </c>
      <c r="AB12" s="2">
        <f>+AA12*0.95</f>
        <v>688.65499999999997</v>
      </c>
      <c r="AC12" s="2">
        <f t="shared" ref="AC12:AO12" si="26">+AB12*0.95</f>
        <v>654.22224999999992</v>
      </c>
      <c r="AD12" s="2">
        <f t="shared" si="26"/>
        <v>621.5111374999999</v>
      </c>
      <c r="AE12" s="2">
        <f t="shared" si="26"/>
        <v>590.43558062499983</v>
      </c>
      <c r="AF12" s="2">
        <f t="shared" si="26"/>
        <v>560.91380159374978</v>
      </c>
      <c r="AG12" s="2">
        <f t="shared" si="26"/>
        <v>532.86811151406232</v>
      </c>
      <c r="AH12" s="2">
        <f t="shared" si="26"/>
        <v>506.22470593835919</v>
      </c>
      <c r="AI12" s="2">
        <f t="shared" si="26"/>
        <v>480.91347064144122</v>
      </c>
      <c r="AJ12" s="2">
        <f t="shared" si="26"/>
        <v>456.86779710936912</v>
      </c>
      <c r="AK12" s="2">
        <f t="shared" si="26"/>
        <v>434.02440725390062</v>
      </c>
      <c r="AL12" s="2">
        <f t="shared" si="26"/>
        <v>412.32318689120558</v>
      </c>
      <c r="AM12" s="2">
        <f t="shared" si="26"/>
        <v>391.70702754664529</v>
      </c>
      <c r="AN12" s="2">
        <f t="shared" si="26"/>
        <v>372.12167616931299</v>
      </c>
      <c r="AO12" s="2">
        <f t="shared" si="26"/>
        <v>353.51559236084734</v>
      </c>
    </row>
    <row r="13" spans="1:48" s="2" customFormat="1" x14ac:dyDescent="0.2">
      <c r="B13" s="2" t="s">
        <v>28</v>
      </c>
      <c r="C13" s="5"/>
      <c r="D13" s="5">
        <v>133.6</v>
      </c>
      <c r="E13" s="5">
        <v>131.5</v>
      </c>
      <c r="F13" s="5">
        <v>137.80000000000001</v>
      </c>
      <c r="G13" s="5">
        <v>121.8</v>
      </c>
      <c r="H13" s="5">
        <v>128.80000000000001</v>
      </c>
      <c r="I13" s="5">
        <v>132.1</v>
      </c>
      <c r="J13" s="5">
        <v>140.30000000000001</v>
      </c>
      <c r="K13" s="5">
        <v>131.5</v>
      </c>
      <c r="L13" s="5">
        <v>135.1</v>
      </c>
      <c r="M13" s="5">
        <f t="shared" ref="M13:N13" si="27">+I13</f>
        <v>132.1</v>
      </c>
      <c r="N13" s="5">
        <f t="shared" si="27"/>
        <v>140.30000000000001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2">
        <f t="shared" si="6"/>
        <v>523</v>
      </c>
      <c r="AA13" s="2">
        <f t="shared" si="7"/>
        <v>539</v>
      </c>
      <c r="AB13" s="2">
        <f>+AA13</f>
        <v>539</v>
      </c>
      <c r="AC13" s="2">
        <f t="shared" ref="AC13:AJ13" si="28">+AB13</f>
        <v>539</v>
      </c>
      <c r="AD13" s="2">
        <f t="shared" si="28"/>
        <v>539</v>
      </c>
      <c r="AE13" s="2">
        <f t="shared" si="28"/>
        <v>539</v>
      </c>
      <c r="AF13" s="2">
        <f t="shared" si="28"/>
        <v>539</v>
      </c>
      <c r="AG13" s="2">
        <f t="shared" si="28"/>
        <v>539</v>
      </c>
      <c r="AH13" s="2">
        <f t="shared" si="28"/>
        <v>539</v>
      </c>
      <c r="AI13" s="2">
        <f t="shared" si="28"/>
        <v>539</v>
      </c>
      <c r="AJ13" s="2">
        <f t="shared" si="28"/>
        <v>539</v>
      </c>
      <c r="AK13" s="2">
        <f>+AJ13*0.05</f>
        <v>26.950000000000003</v>
      </c>
      <c r="AL13" s="2">
        <f t="shared" ref="AL13:AO13" si="29">+AK13*0.05</f>
        <v>1.3475000000000001</v>
      </c>
      <c r="AM13" s="2">
        <f t="shared" si="29"/>
        <v>6.7375000000000004E-2</v>
      </c>
      <c r="AN13" s="2">
        <f t="shared" si="29"/>
        <v>3.3687500000000002E-3</v>
      </c>
      <c r="AO13" s="2">
        <f t="shared" si="29"/>
        <v>1.6843750000000002E-4</v>
      </c>
    </row>
    <row r="14" spans="1:48" s="2" customFormat="1" x14ac:dyDescent="0.2">
      <c r="B14" s="2" t="s">
        <v>30</v>
      </c>
      <c r="C14" s="5"/>
      <c r="D14" s="5">
        <v>13.7</v>
      </c>
      <c r="E14" s="5">
        <v>28.4</v>
      </c>
      <c r="F14" s="5">
        <v>33.6</v>
      </c>
      <c r="G14" s="5">
        <v>67.5</v>
      </c>
      <c r="H14" s="5">
        <v>87.7</v>
      </c>
      <c r="I14" s="5">
        <v>111.2</v>
      </c>
      <c r="J14" s="5">
        <v>117.5</v>
      </c>
      <c r="K14" s="5">
        <v>131</v>
      </c>
      <c r="L14" s="5">
        <v>147</v>
      </c>
      <c r="M14" s="5">
        <f t="shared" ref="M14:N14" si="30">+L14+10</f>
        <v>157</v>
      </c>
      <c r="N14" s="5">
        <f t="shared" si="30"/>
        <v>167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2">
        <f t="shared" si="6"/>
        <v>383.9</v>
      </c>
      <c r="AA14" s="2">
        <f t="shared" si="7"/>
        <v>602</v>
      </c>
      <c r="AB14" s="2">
        <f>+AA14*1.3</f>
        <v>782.6</v>
      </c>
      <c r="AC14" s="2">
        <f>+AB14*1.2</f>
        <v>939.12</v>
      </c>
      <c r="AD14" s="2">
        <f>+AC14*1.05</f>
        <v>986.07600000000002</v>
      </c>
      <c r="AE14" s="2">
        <f t="shared" ref="AE14:AF14" si="31">+AD14*1.05</f>
        <v>1035.3798000000002</v>
      </c>
      <c r="AF14" s="2">
        <f t="shared" si="31"/>
        <v>1087.1487900000002</v>
      </c>
      <c r="AG14" s="2">
        <f>+AF14*1.01</f>
        <v>1098.0202779000001</v>
      </c>
      <c r="AH14" s="2">
        <f t="shared" ref="AH14:AO14" si="32">+AG14*1.01</f>
        <v>1109.000480679</v>
      </c>
      <c r="AI14" s="2">
        <f t="shared" si="32"/>
        <v>1120.0904854857899</v>
      </c>
      <c r="AJ14" s="2">
        <f t="shared" si="32"/>
        <v>1131.2913903406479</v>
      </c>
      <c r="AK14" s="2">
        <f t="shared" si="32"/>
        <v>1142.6043042440544</v>
      </c>
      <c r="AL14" s="2">
        <f t="shared" si="32"/>
        <v>1154.030347286495</v>
      </c>
      <c r="AM14" s="2">
        <f t="shared" si="32"/>
        <v>1165.57065075936</v>
      </c>
      <c r="AN14" s="2">
        <f t="shared" si="32"/>
        <v>1177.2263572669535</v>
      </c>
      <c r="AO14" s="2">
        <f t="shared" si="32"/>
        <v>1188.9986208396231</v>
      </c>
    </row>
    <row r="15" spans="1:48" s="2" customFormat="1" x14ac:dyDescent="0.2">
      <c r="B15" s="2" t="s">
        <v>82</v>
      </c>
      <c r="C15" s="5"/>
      <c r="D15" s="5"/>
      <c r="E15" s="5"/>
      <c r="F15" s="5"/>
      <c r="G15" s="5"/>
      <c r="H15" s="5"/>
      <c r="I15" s="5"/>
      <c r="J15" s="5"/>
      <c r="K15" s="5">
        <v>46</v>
      </c>
      <c r="L15" s="5">
        <v>61.7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48" s="2" customFormat="1" x14ac:dyDescent="0.2">
      <c r="B16" s="2" t="s">
        <v>31</v>
      </c>
      <c r="C16" s="5"/>
      <c r="D16" s="5">
        <v>0</v>
      </c>
      <c r="E16" s="5">
        <v>0</v>
      </c>
      <c r="F16" s="5">
        <v>0</v>
      </c>
      <c r="G16" s="5">
        <v>19.3</v>
      </c>
      <c r="H16" s="5">
        <v>0</v>
      </c>
      <c r="I16" s="5">
        <v>0</v>
      </c>
      <c r="J16" s="5">
        <v>0</v>
      </c>
      <c r="K16" s="5">
        <v>38.200000000000003</v>
      </c>
      <c r="L16" s="5">
        <v>40.1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2">
        <f t="shared" si="6"/>
        <v>19.3</v>
      </c>
      <c r="AA16" s="2">
        <f t="shared" si="7"/>
        <v>78.300000000000011</v>
      </c>
      <c r="AB16" s="2">
        <f>+AA16*1.5</f>
        <v>117.45000000000002</v>
      </c>
      <c r="AC16" s="2">
        <f>+AB16*1.4</f>
        <v>164.43</v>
      </c>
      <c r="AD16" s="2">
        <f t="shared" ref="AD16:AE16" si="33">+AC16*1.4</f>
        <v>230.202</v>
      </c>
      <c r="AE16" s="2">
        <f t="shared" si="33"/>
        <v>322.28279999999995</v>
      </c>
      <c r="AF16" s="2">
        <f>+AE16*1.3</f>
        <v>418.96763999999996</v>
      </c>
      <c r="AG16" s="2">
        <f t="shared" ref="AG16" si="34">+AF16*1.3</f>
        <v>544.65793199999996</v>
      </c>
      <c r="AH16" s="2">
        <f>+AG16*1.01</f>
        <v>550.10451131999992</v>
      </c>
      <c r="AI16" s="2">
        <f t="shared" ref="AI16:AN16" si="35">+AH16*1.01</f>
        <v>555.60555643319992</v>
      </c>
      <c r="AJ16" s="2">
        <f t="shared" si="35"/>
        <v>561.16161199753196</v>
      </c>
      <c r="AK16" s="2">
        <f t="shared" si="35"/>
        <v>566.7732281175073</v>
      </c>
      <c r="AL16" s="2">
        <f t="shared" si="35"/>
        <v>572.44096039868236</v>
      </c>
      <c r="AM16" s="2">
        <f t="shared" si="35"/>
        <v>578.16537000266919</v>
      </c>
      <c r="AN16" s="2">
        <f t="shared" si="35"/>
        <v>583.9470237026959</v>
      </c>
      <c r="AO16" s="2">
        <f>+AN16*0.05</f>
        <v>29.197351185134796</v>
      </c>
    </row>
    <row r="17" spans="2:41" s="2" customFormat="1" x14ac:dyDescent="0.2">
      <c r="B17" s="2" t="s">
        <v>81</v>
      </c>
      <c r="C17" s="5"/>
      <c r="D17" s="5"/>
      <c r="E17" s="5"/>
      <c r="F17" s="5"/>
      <c r="G17" s="5"/>
      <c r="H17" s="5"/>
      <c r="I17" s="5"/>
      <c r="J17" s="5"/>
      <c r="K17" s="5">
        <v>31.2</v>
      </c>
      <c r="L17" s="5">
        <v>35.799999999999997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2:41" s="2" customFormat="1" x14ac:dyDescent="0.2">
      <c r="B18" s="2" t="s">
        <v>83</v>
      </c>
      <c r="C18" s="5"/>
      <c r="D18" s="5"/>
      <c r="E18" s="5"/>
      <c r="F18" s="5"/>
      <c r="G18" s="5"/>
      <c r="H18" s="5"/>
      <c r="I18" s="5"/>
      <c r="J18" s="5"/>
      <c r="K18" s="5">
        <v>44.1</v>
      </c>
      <c r="L18" s="5">
        <v>45.9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2:41" s="2" customFormat="1" x14ac:dyDescent="0.2">
      <c r="B19" s="2" t="s">
        <v>32</v>
      </c>
      <c r="C19" s="5"/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10.9</v>
      </c>
      <c r="L19" s="5">
        <v>16.3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2">
        <f t="shared" si="6"/>
        <v>0</v>
      </c>
      <c r="AA19" s="2">
        <f t="shared" si="7"/>
        <v>27.200000000000003</v>
      </c>
      <c r="AB19" s="2">
        <f>+AA19*2</f>
        <v>54.400000000000006</v>
      </c>
      <c r="AC19" s="2">
        <f>+AB19*1.5</f>
        <v>81.600000000000009</v>
      </c>
      <c r="AD19" s="2">
        <f>+AC19*1.4</f>
        <v>114.24000000000001</v>
      </c>
      <c r="AE19" s="2">
        <f>+AD19*1.3</f>
        <v>148.51200000000003</v>
      </c>
      <c r="AF19" s="2">
        <f>+AE19*1.2</f>
        <v>178.21440000000004</v>
      </c>
      <c r="AG19" s="2">
        <f t="shared" ref="AG19:AH19" si="36">+AF19*1.2</f>
        <v>213.85728000000003</v>
      </c>
      <c r="AH19" s="2">
        <f t="shared" si="36"/>
        <v>256.628736</v>
      </c>
      <c r="AI19" s="2">
        <f>+AH19*1.01</f>
        <v>259.19502335999999</v>
      </c>
      <c r="AJ19" s="2">
        <f t="shared" ref="AJ19:AO19" si="37">+AI19*1.01</f>
        <v>261.78697359360001</v>
      </c>
      <c r="AK19" s="2">
        <f t="shared" si="37"/>
        <v>264.40484332953599</v>
      </c>
      <c r="AL19" s="2">
        <f t="shared" si="37"/>
        <v>267.04889176283137</v>
      </c>
      <c r="AM19" s="2">
        <f t="shared" si="37"/>
        <v>269.71938068045966</v>
      </c>
      <c r="AN19" s="2">
        <f t="shared" si="37"/>
        <v>272.41657448726426</v>
      </c>
      <c r="AO19" s="2">
        <f t="shared" si="37"/>
        <v>275.14074023213692</v>
      </c>
    </row>
    <row r="20" spans="2:41" s="2" customFormat="1" x14ac:dyDescent="0.2">
      <c r="B20" s="2" t="s">
        <v>117</v>
      </c>
      <c r="C20" s="5"/>
      <c r="D20" s="5"/>
      <c r="E20" s="5"/>
      <c r="F20" s="5"/>
      <c r="G20" s="5"/>
      <c r="H20" s="5"/>
      <c r="I20" s="5"/>
      <c r="J20" s="5"/>
      <c r="K20" s="5"/>
      <c r="L20" s="5">
        <v>19.3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2:41" s="2" customFormat="1" x14ac:dyDescent="0.2">
      <c r="B21" s="2" t="s">
        <v>33</v>
      </c>
      <c r="C21" s="5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1.7</v>
      </c>
      <c r="L21" s="5">
        <v>4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2">
        <f t="shared" si="6"/>
        <v>0</v>
      </c>
      <c r="AA21" s="2">
        <f t="shared" si="7"/>
        <v>5.7</v>
      </c>
      <c r="AB21" s="2">
        <f>+AA21*2</f>
        <v>11.4</v>
      </c>
      <c r="AC21" s="2">
        <f>+AB21*1.5</f>
        <v>17.100000000000001</v>
      </c>
      <c r="AD21" s="2">
        <f>+AC21*1.3</f>
        <v>22.230000000000004</v>
      </c>
      <c r="AE21" s="2">
        <f>+AD21*1.2</f>
        <v>26.676000000000005</v>
      </c>
      <c r="AF21" s="2">
        <f t="shared" ref="AF21:AG21" si="38">+AE21*1.2</f>
        <v>32.011200000000002</v>
      </c>
      <c r="AG21" s="2">
        <f t="shared" si="38"/>
        <v>38.413440000000001</v>
      </c>
      <c r="AH21" s="2">
        <f>+AG21*1.01</f>
        <v>38.797574400000002</v>
      </c>
      <c r="AI21" s="2">
        <f t="shared" ref="AI21:AO21" si="39">+AH21*1.01</f>
        <v>39.185550144000004</v>
      </c>
      <c r="AJ21" s="2">
        <f t="shared" si="39"/>
        <v>39.577405645440003</v>
      </c>
      <c r="AK21" s="2">
        <f t="shared" si="39"/>
        <v>39.973179701894402</v>
      </c>
      <c r="AL21" s="2">
        <f t="shared" si="39"/>
        <v>40.372911498913346</v>
      </c>
      <c r="AM21" s="2">
        <f t="shared" si="39"/>
        <v>40.77664061390248</v>
      </c>
      <c r="AN21" s="2">
        <f t="shared" si="39"/>
        <v>41.184407020041505</v>
      </c>
      <c r="AO21" s="2">
        <f t="shared" si="39"/>
        <v>41.596251090241921</v>
      </c>
    </row>
    <row r="22" spans="2:41" s="2" customFormat="1" x14ac:dyDescent="0.2">
      <c r="B22" s="2" t="s">
        <v>38</v>
      </c>
      <c r="C22" s="5"/>
      <c r="D22" s="5">
        <v>90.3</v>
      </c>
      <c r="E22" s="5">
        <v>78.900000000000006</v>
      </c>
      <c r="F22" s="5">
        <v>82.7</v>
      </c>
      <c r="G22" s="5">
        <v>0</v>
      </c>
      <c r="H22" s="5">
        <v>80</v>
      </c>
      <c r="I22" s="5">
        <v>92.7</v>
      </c>
      <c r="J22" s="5">
        <v>101.7</v>
      </c>
      <c r="K22" s="5">
        <v>94.4</v>
      </c>
      <c r="L22" s="5">
        <v>121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2">
        <f t="shared" si="6"/>
        <v>274.39999999999998</v>
      </c>
      <c r="AA22" s="2">
        <f t="shared" si="7"/>
        <v>215.4</v>
      </c>
    </row>
    <row r="23" spans="2:41" s="2" customFormat="1" x14ac:dyDescent="0.2">
      <c r="B23" s="2" t="s">
        <v>37</v>
      </c>
      <c r="C23" s="5"/>
      <c r="D23" s="5">
        <v>108.3</v>
      </c>
      <c r="E23" s="5">
        <v>89.5</v>
      </c>
      <c r="F23" s="5">
        <v>72.099999999999994</v>
      </c>
      <c r="G23" s="5">
        <v>0</v>
      </c>
      <c r="H23" s="5">
        <v>59.7</v>
      </c>
      <c r="I23" s="5">
        <v>58</v>
      </c>
      <c r="J23" s="5">
        <v>52.8</v>
      </c>
      <c r="K23" s="5">
        <v>33.4</v>
      </c>
      <c r="L23" s="5">
        <v>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2">
        <f t="shared" si="6"/>
        <v>170.5</v>
      </c>
      <c r="AA23" s="2">
        <f t="shared" si="7"/>
        <v>33.4</v>
      </c>
    </row>
    <row r="24" spans="2:41" s="2" customFormat="1" x14ac:dyDescent="0.2">
      <c r="B24" s="2" t="s">
        <v>80</v>
      </c>
      <c r="C24" s="5"/>
      <c r="D24" s="5"/>
      <c r="E24" s="5"/>
      <c r="F24" s="5"/>
      <c r="G24" s="5"/>
      <c r="H24" s="5"/>
      <c r="I24" s="5"/>
      <c r="J24" s="5"/>
      <c r="K24" s="5">
        <f>204-K16-K19-K21</f>
        <v>153.20000000000002</v>
      </c>
      <c r="L24" s="5">
        <f>234.3-L19-L21-L16</f>
        <v>173.9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2:41" s="2" customFormat="1" x14ac:dyDescent="0.2">
      <c r="B25" s="2" t="s">
        <v>34</v>
      </c>
      <c r="C25" s="5"/>
      <c r="D25" s="5">
        <v>601.20000000000005</v>
      </c>
      <c r="E25" s="5">
        <v>584.70000000000005</v>
      </c>
      <c r="F25" s="5">
        <v>633.29999999999995</v>
      </c>
      <c r="G25" s="5">
        <v>749.8</v>
      </c>
      <c r="H25" s="5">
        <v>840.8</v>
      </c>
      <c r="I25" s="5">
        <v>778.8</v>
      </c>
      <c r="J25" s="5">
        <v>811.7</v>
      </c>
      <c r="K25" s="5">
        <v>754.6</v>
      </c>
      <c r="L25" s="5">
        <v>859.8</v>
      </c>
      <c r="M25" s="5">
        <f t="shared" ref="M25" si="40">+I25*1.01</f>
        <v>786.58799999999997</v>
      </c>
      <c r="N25" s="5">
        <f t="shared" ref="N25" si="41">+J25*1.01</f>
        <v>819.81700000000001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2">
        <f>SUM(G25:J25)</f>
        <v>3181.0999999999995</v>
      </c>
      <c r="AA25" s="2">
        <f t="shared" si="7"/>
        <v>3220.8050000000003</v>
      </c>
      <c r="AB25" s="2">
        <f>+AA25*1.01</f>
        <v>3253.0130500000005</v>
      </c>
      <c r="AC25" s="2">
        <f t="shared" ref="AC25:AO25" si="42">+AB25*1.01</f>
        <v>3285.5431805000003</v>
      </c>
      <c r="AD25" s="2">
        <f t="shared" si="42"/>
        <v>3318.3986123050004</v>
      </c>
      <c r="AE25" s="2">
        <f t="shared" si="42"/>
        <v>3351.5825984280505</v>
      </c>
      <c r="AF25" s="2">
        <f t="shared" si="42"/>
        <v>3385.098424412331</v>
      </c>
      <c r="AG25" s="2">
        <f t="shared" si="42"/>
        <v>3418.9494086564546</v>
      </c>
      <c r="AH25" s="2">
        <f t="shared" si="42"/>
        <v>3453.1389027430191</v>
      </c>
      <c r="AI25" s="2">
        <f t="shared" si="42"/>
        <v>3487.6702917704492</v>
      </c>
      <c r="AJ25" s="2">
        <f t="shared" si="42"/>
        <v>3522.546994688154</v>
      </c>
      <c r="AK25" s="2">
        <f t="shared" si="42"/>
        <v>3557.7724646350357</v>
      </c>
      <c r="AL25" s="2">
        <f t="shared" si="42"/>
        <v>3593.3501892813861</v>
      </c>
      <c r="AM25" s="2">
        <f t="shared" si="42"/>
        <v>3629.2836911742002</v>
      </c>
      <c r="AN25" s="2">
        <f t="shared" si="42"/>
        <v>3665.5765280859423</v>
      </c>
      <c r="AO25" s="2">
        <f t="shared" si="42"/>
        <v>3702.232293366802</v>
      </c>
    </row>
    <row r="26" spans="2:41" s="2" customFormat="1" x14ac:dyDescent="0.2">
      <c r="B26" s="2" t="s">
        <v>36</v>
      </c>
      <c r="C26" s="5"/>
      <c r="D26" s="5">
        <f>4935.6-SUM(D3:D25)</f>
        <v>505.5</v>
      </c>
      <c r="E26" s="5">
        <f>4875.6-SUM(E3:E25)+275.4</f>
        <v>754.70000000000016</v>
      </c>
      <c r="F26" s="5">
        <f>5121.3-SUM(F3:F25)+278.3</f>
        <v>665.69999999999959</v>
      </c>
      <c r="G26" s="5">
        <f>4644.7-SUM(G3:G25)</f>
        <v>495.59999999999945</v>
      </c>
      <c r="H26" s="5">
        <f>4978.7-SUM(H3:H25)</f>
        <v>530.80000000000018</v>
      </c>
      <c r="I26" s="5">
        <f>4959.7-SUM(I3:I25)</f>
        <v>470.30000000000018</v>
      </c>
      <c r="J26" s="5">
        <f>5375.6-SUM(J3:J25)</f>
        <v>387.80000000000018</v>
      </c>
      <c r="K26" s="5">
        <v>61.4</v>
      </c>
      <c r="L26" s="5">
        <f>71.1-L20</f>
        <v>51.8</v>
      </c>
      <c r="M26" s="5">
        <f t="shared" ref="M26:N26" si="43">+J26*0.95</f>
        <v>368.41000000000014</v>
      </c>
      <c r="N26" s="5">
        <f t="shared" si="43"/>
        <v>58.33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2">
        <f>SUM(G26:J26)</f>
        <v>1884.5</v>
      </c>
      <c r="AA26" s="2">
        <f t="shared" si="7"/>
        <v>539.94000000000017</v>
      </c>
      <c r="AB26" s="2">
        <f>+AA26*0.98</f>
        <v>529.14120000000014</v>
      </c>
      <c r="AC26" s="2">
        <f t="shared" ref="AC26:AO26" si="44">+AB26*0.98</f>
        <v>518.55837600000018</v>
      </c>
      <c r="AD26" s="2">
        <f t="shared" si="44"/>
        <v>508.18720848000015</v>
      </c>
      <c r="AE26" s="2">
        <f t="shared" si="44"/>
        <v>498.02346431040013</v>
      </c>
      <c r="AF26" s="2">
        <f t="shared" si="44"/>
        <v>488.06299502419211</v>
      </c>
      <c r="AG26" s="2">
        <f t="shared" si="44"/>
        <v>478.30173512370823</v>
      </c>
      <c r="AH26" s="2">
        <f t="shared" si="44"/>
        <v>468.73570042123407</v>
      </c>
      <c r="AI26" s="2">
        <f t="shared" si="44"/>
        <v>459.36098641280938</v>
      </c>
      <c r="AJ26" s="2">
        <f t="shared" si="44"/>
        <v>450.17376668455319</v>
      </c>
      <c r="AK26" s="2">
        <f t="shared" si="44"/>
        <v>441.1702913508621</v>
      </c>
      <c r="AL26" s="2">
        <f t="shared" si="44"/>
        <v>432.34688552384483</v>
      </c>
      <c r="AM26" s="2">
        <f t="shared" si="44"/>
        <v>423.69994781336794</v>
      </c>
      <c r="AN26" s="2">
        <f t="shared" si="44"/>
        <v>415.22594885710055</v>
      </c>
      <c r="AO26" s="2">
        <f t="shared" si="44"/>
        <v>406.92142987995851</v>
      </c>
    </row>
    <row r="27" spans="2:41" s="6" customFormat="1" x14ac:dyDescent="0.2">
      <c r="B27" s="6" t="s">
        <v>35</v>
      </c>
      <c r="C27" s="7"/>
      <c r="D27" s="7">
        <f t="shared" ref="D27:N27" si="45">SUM(D3:D26)</f>
        <v>4935.6000000000004</v>
      </c>
      <c r="E27" s="7">
        <f t="shared" si="45"/>
        <v>5151</v>
      </c>
      <c r="F27" s="7">
        <f t="shared" si="45"/>
        <v>5399.6</v>
      </c>
      <c r="G27" s="7">
        <f t="shared" si="45"/>
        <v>4644.7</v>
      </c>
      <c r="H27" s="7">
        <f t="shared" si="45"/>
        <v>4978.7</v>
      </c>
      <c r="I27" s="7">
        <f t="shared" si="45"/>
        <v>4959.7</v>
      </c>
      <c r="J27" s="7">
        <f t="shared" si="45"/>
        <v>5375.6</v>
      </c>
      <c r="K27" s="7">
        <f t="shared" si="45"/>
        <v>4865.0999999999985</v>
      </c>
      <c r="L27" s="7">
        <f t="shared" si="45"/>
        <v>5404.7999999999993</v>
      </c>
      <c r="M27" s="7">
        <f t="shared" si="45"/>
        <v>5030.6330000000007</v>
      </c>
      <c r="N27" s="7">
        <f t="shared" si="45"/>
        <v>5030.5060000000003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>
        <f t="shared" ref="Z27:AO27" si="46">SUM(Z3:Z26)</f>
        <v>19958.699999999997</v>
      </c>
      <c r="AA27" s="7">
        <f t="shared" si="46"/>
        <v>19719.938999999998</v>
      </c>
      <c r="AB27" s="7">
        <f t="shared" si="46"/>
        <v>19328.641790000001</v>
      </c>
      <c r="AC27" s="7">
        <f t="shared" si="46"/>
        <v>17583.950659400001</v>
      </c>
      <c r="AD27" s="7">
        <f t="shared" si="46"/>
        <v>17498.973148964003</v>
      </c>
      <c r="AE27" s="7">
        <f t="shared" si="46"/>
        <v>16958.429579849242</v>
      </c>
      <c r="AF27" s="7">
        <f t="shared" si="46"/>
        <v>14703.220595680741</v>
      </c>
      <c r="AG27" s="7">
        <f t="shared" si="46"/>
        <v>14837.715088260595</v>
      </c>
      <c r="AH27" s="7">
        <f t="shared" si="46"/>
        <v>14936.906507195472</v>
      </c>
      <c r="AI27" s="7">
        <f t="shared" si="46"/>
        <v>15048.69229975346</v>
      </c>
      <c r="AJ27" s="7">
        <f t="shared" si="46"/>
        <v>14911.723238838667</v>
      </c>
      <c r="AK27" s="7">
        <f t="shared" si="46"/>
        <v>14282.437700798597</v>
      </c>
      <c r="AL27" s="7">
        <f t="shared" si="46"/>
        <v>14157.366667643126</v>
      </c>
      <c r="AM27" s="7">
        <f t="shared" si="46"/>
        <v>14072.678868584479</v>
      </c>
      <c r="AN27" s="7">
        <f t="shared" si="46"/>
        <v>14003.781056324831</v>
      </c>
      <c r="AO27" s="7">
        <f t="shared" si="46"/>
        <v>13387.629594486727</v>
      </c>
    </row>
    <row r="28" spans="2:41" s="2" customFormat="1" x14ac:dyDescent="0.2">
      <c r="B28" s="2" t="s">
        <v>41</v>
      </c>
      <c r="C28" s="5"/>
      <c r="D28" s="5">
        <v>1189.7</v>
      </c>
      <c r="E28" s="5">
        <v>1299.7</v>
      </c>
      <c r="F28" s="5">
        <v>1281.8</v>
      </c>
      <c r="G28" s="5">
        <v>1012.3</v>
      </c>
      <c r="H28" s="5">
        <v>1218.4000000000001</v>
      </c>
      <c r="I28" s="5">
        <v>1099</v>
      </c>
      <c r="J28" s="5">
        <v>1222.3</v>
      </c>
      <c r="K28" s="5">
        <v>1152.4000000000001</v>
      </c>
      <c r="L28" s="5">
        <v>1298.4000000000001</v>
      </c>
      <c r="M28" s="5">
        <f t="shared" ref="M28:N28" si="47">+M27-M29</f>
        <v>1207.3519200000001</v>
      </c>
      <c r="N28" s="5">
        <f t="shared" si="47"/>
        <v>1207.3214400000002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2">
        <f>SUM(G28:J28)</f>
        <v>4552</v>
      </c>
      <c r="AA28" s="2">
        <f t="shared" ref="AA28" si="48">SUM(K28:N28)</f>
        <v>4865.47336</v>
      </c>
      <c r="AB28" s="2">
        <f>+AB27-AB29</f>
        <v>4832.1604475000004</v>
      </c>
      <c r="AC28" s="2">
        <f t="shared" ref="AC28:AO28" si="49">+AC27-AC29</f>
        <v>4395.9876648499994</v>
      </c>
      <c r="AD28" s="2">
        <f t="shared" si="49"/>
        <v>4374.7432872410009</v>
      </c>
      <c r="AE28" s="2">
        <f t="shared" si="49"/>
        <v>4239.6073949623096</v>
      </c>
      <c r="AF28" s="2">
        <f t="shared" si="49"/>
        <v>3675.8051489201862</v>
      </c>
      <c r="AG28" s="2">
        <f t="shared" si="49"/>
        <v>3709.4287720651482</v>
      </c>
      <c r="AH28" s="2">
        <f t="shared" si="49"/>
        <v>3734.2266267988671</v>
      </c>
      <c r="AI28" s="2">
        <f t="shared" si="49"/>
        <v>3762.1730749383642</v>
      </c>
      <c r="AJ28" s="2">
        <f t="shared" si="49"/>
        <v>3727.9308097096673</v>
      </c>
      <c r="AK28" s="2">
        <f t="shared" si="49"/>
        <v>3570.6094251996492</v>
      </c>
      <c r="AL28" s="2">
        <f t="shared" si="49"/>
        <v>3539.341666910781</v>
      </c>
      <c r="AM28" s="2">
        <f t="shared" si="49"/>
        <v>3518.1697171461201</v>
      </c>
      <c r="AN28" s="2">
        <f t="shared" si="49"/>
        <v>3500.9452640812087</v>
      </c>
      <c r="AO28" s="2">
        <f t="shared" si="49"/>
        <v>3346.9073986216827</v>
      </c>
    </row>
    <row r="29" spans="2:41" s="2" customFormat="1" x14ac:dyDescent="0.2">
      <c r="B29" s="2" t="s">
        <v>42</v>
      </c>
      <c r="C29" s="5"/>
      <c r="D29" s="5">
        <f t="shared" ref="D29:E29" si="50">+D27-D28</f>
        <v>3745.9000000000005</v>
      </c>
      <c r="E29" s="5">
        <f t="shared" si="50"/>
        <v>3851.3</v>
      </c>
      <c r="F29" s="5">
        <f t="shared" ref="F29:K29" si="51">+F27-F28</f>
        <v>4117.8</v>
      </c>
      <c r="G29" s="5">
        <f t="shared" si="51"/>
        <v>3632.3999999999996</v>
      </c>
      <c r="H29" s="5">
        <f t="shared" si="51"/>
        <v>3760.2999999999997</v>
      </c>
      <c r="I29" s="5">
        <f t="shared" si="51"/>
        <v>3860.7</v>
      </c>
      <c r="J29" s="5">
        <f t="shared" si="51"/>
        <v>4153.3</v>
      </c>
      <c r="K29" s="5">
        <f t="shared" si="51"/>
        <v>3712.6999999999985</v>
      </c>
      <c r="L29" s="5">
        <f>+L27-L28</f>
        <v>4106.3999999999996</v>
      </c>
      <c r="M29" s="5">
        <f t="shared" ref="M29:N29" si="52">+M27*0.76</f>
        <v>3823.2810800000007</v>
      </c>
      <c r="N29" s="5">
        <f t="shared" si="52"/>
        <v>3823.1845600000001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2">
        <f>+Z27-Z28</f>
        <v>15406.699999999997</v>
      </c>
      <c r="AA29" s="2">
        <f t="shared" ref="AA29" si="53">+AA27-AA28</f>
        <v>14854.465639999999</v>
      </c>
      <c r="AB29" s="2">
        <f>+AB27*0.75</f>
        <v>14496.481342500001</v>
      </c>
      <c r="AC29" s="2">
        <f t="shared" ref="AC29:AO29" si="54">+AC27*0.75</f>
        <v>13187.962994550002</v>
      </c>
      <c r="AD29" s="2">
        <f t="shared" si="54"/>
        <v>13124.229861723003</v>
      </c>
      <c r="AE29" s="2">
        <f t="shared" si="54"/>
        <v>12718.822184886933</v>
      </c>
      <c r="AF29" s="2">
        <f t="shared" si="54"/>
        <v>11027.415446760555</v>
      </c>
      <c r="AG29" s="2">
        <f t="shared" si="54"/>
        <v>11128.286316195446</v>
      </c>
      <c r="AH29" s="2">
        <f t="shared" si="54"/>
        <v>11202.679880396605</v>
      </c>
      <c r="AI29" s="2">
        <f t="shared" si="54"/>
        <v>11286.519224815096</v>
      </c>
      <c r="AJ29" s="2">
        <f t="shared" si="54"/>
        <v>11183.792429129</v>
      </c>
      <c r="AK29" s="2">
        <f t="shared" si="54"/>
        <v>10711.828275598948</v>
      </c>
      <c r="AL29" s="2">
        <f t="shared" si="54"/>
        <v>10618.025000732345</v>
      </c>
      <c r="AM29" s="2">
        <f t="shared" si="54"/>
        <v>10554.509151438358</v>
      </c>
      <c r="AN29" s="2">
        <f t="shared" si="54"/>
        <v>10502.835792243623</v>
      </c>
      <c r="AO29" s="2">
        <f t="shared" si="54"/>
        <v>10040.722195865044</v>
      </c>
    </row>
    <row r="30" spans="2:41" s="2" customFormat="1" x14ac:dyDescent="0.2">
      <c r="B30" s="2" t="s">
        <v>43</v>
      </c>
      <c r="C30" s="5"/>
      <c r="D30" s="5">
        <v>1195.4000000000001</v>
      </c>
      <c r="E30" s="5">
        <v>1243.2</v>
      </c>
      <c r="F30" s="5">
        <v>1185.7</v>
      </c>
      <c r="G30" s="5">
        <v>1039.3</v>
      </c>
      <c r="H30" s="5">
        <v>1169.5</v>
      </c>
      <c r="I30" s="5">
        <v>1143.4000000000001</v>
      </c>
      <c r="J30" s="5">
        <v>1444.2</v>
      </c>
      <c r="K30" s="5">
        <v>1221</v>
      </c>
      <c r="L30" s="5">
        <v>1335.9</v>
      </c>
      <c r="M30" s="5">
        <f t="shared" ref="M30:M31" si="55">+I30</f>
        <v>1143.4000000000001</v>
      </c>
      <c r="N30" s="5">
        <f t="shared" ref="N30:N31" si="56">+J30</f>
        <v>1444.2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2">
        <f>SUM(G30:J30)</f>
        <v>4796.4000000000005</v>
      </c>
      <c r="AA30" s="2">
        <f t="shared" ref="AA30:AA31" si="57">SUM(K30:N30)</f>
        <v>5144.5</v>
      </c>
    </row>
    <row r="31" spans="2:41" s="2" customFormat="1" x14ac:dyDescent="0.2">
      <c r="B31" s="2" t="s">
        <v>44</v>
      </c>
      <c r="C31" s="5"/>
      <c r="D31" s="5">
        <v>1663.9</v>
      </c>
      <c r="E31" s="5">
        <f>1672.1-23.2</f>
        <v>1648.8999999999999</v>
      </c>
      <c r="F31" s="5">
        <f>1799.9+91.4</f>
        <v>1891.3000000000002</v>
      </c>
      <c r="G31" s="5">
        <f>1523.5-35.8</f>
        <v>1487.7</v>
      </c>
      <c r="H31" s="5">
        <v>1635.4</v>
      </c>
      <c r="I31" s="5">
        <f>1575.7-35.8</f>
        <v>1539.9</v>
      </c>
      <c r="J31" s="5">
        <f>1798.4-2.1</f>
        <v>1796.3000000000002</v>
      </c>
      <c r="K31" s="5">
        <f>1473.9-1.9</f>
        <v>1472</v>
      </c>
      <c r="L31" s="5">
        <f>1622.6-2</f>
        <v>1620.6</v>
      </c>
      <c r="M31" s="5">
        <f t="shared" si="55"/>
        <v>1539.9</v>
      </c>
      <c r="N31" s="5">
        <f t="shared" si="56"/>
        <v>1796.3000000000002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2">
        <f>SUM(G31:J31)</f>
        <v>6459.3</v>
      </c>
      <c r="AA31" s="2">
        <f t="shared" si="57"/>
        <v>6428.8</v>
      </c>
      <c r="AB31" s="2">
        <f>+AB27*0.3</f>
        <v>5798.5925370000004</v>
      </c>
      <c r="AC31" s="2">
        <f t="shared" ref="AC31:AO31" si="58">+AC27*0.3</f>
        <v>5275.1851978200002</v>
      </c>
      <c r="AD31" s="2">
        <f t="shared" si="58"/>
        <v>5249.6919446892007</v>
      </c>
      <c r="AE31" s="2">
        <f t="shared" si="58"/>
        <v>5087.5288739547723</v>
      </c>
      <c r="AF31" s="2">
        <f t="shared" si="58"/>
        <v>4410.9661787042223</v>
      </c>
      <c r="AG31" s="2">
        <f t="shared" si="58"/>
        <v>4451.3145264781779</v>
      </c>
      <c r="AH31" s="2">
        <f t="shared" si="58"/>
        <v>4481.0719521586416</v>
      </c>
      <c r="AI31" s="2">
        <f t="shared" si="58"/>
        <v>4514.6076899260379</v>
      </c>
      <c r="AJ31" s="2">
        <f t="shared" si="58"/>
        <v>4473.5169716516002</v>
      </c>
      <c r="AK31" s="2">
        <f t="shared" si="58"/>
        <v>4284.7313102395792</v>
      </c>
      <c r="AL31" s="2">
        <f t="shared" si="58"/>
        <v>4247.2100002929374</v>
      </c>
      <c r="AM31" s="2">
        <f t="shared" si="58"/>
        <v>4221.8036605753432</v>
      </c>
      <c r="AN31" s="2">
        <f t="shared" si="58"/>
        <v>4201.134316897449</v>
      </c>
      <c r="AO31" s="2">
        <f t="shared" si="58"/>
        <v>4016.288878346018</v>
      </c>
    </row>
    <row r="32" spans="2:41" s="2" customFormat="1" x14ac:dyDescent="0.2">
      <c r="B32" s="2" t="s">
        <v>39</v>
      </c>
      <c r="C32" s="5"/>
      <c r="D32" s="5">
        <f t="shared" ref="D32:E32" si="59">+D31+D30</f>
        <v>2859.3</v>
      </c>
      <c r="E32" s="5">
        <f t="shared" si="59"/>
        <v>2892.1</v>
      </c>
      <c r="F32" s="5">
        <f t="shared" ref="F32:K32" si="60">+F31+F30</f>
        <v>3077</v>
      </c>
      <c r="G32" s="5">
        <f t="shared" si="60"/>
        <v>2527</v>
      </c>
      <c r="H32" s="5">
        <f t="shared" si="60"/>
        <v>2804.9</v>
      </c>
      <c r="I32" s="5">
        <f t="shared" si="60"/>
        <v>2683.3</v>
      </c>
      <c r="J32" s="5">
        <f t="shared" si="60"/>
        <v>3240.5</v>
      </c>
      <c r="K32" s="5">
        <f t="shared" si="60"/>
        <v>2693</v>
      </c>
      <c r="L32" s="5">
        <f t="shared" ref="L32:N32" si="61">+L31+L30</f>
        <v>2956.5</v>
      </c>
      <c r="M32" s="5">
        <f t="shared" si="61"/>
        <v>2683.3</v>
      </c>
      <c r="N32" s="5">
        <f t="shared" si="61"/>
        <v>3240.5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f t="shared" ref="Z32" si="62">+Z31+Z30</f>
        <v>11255.7</v>
      </c>
      <c r="AA32" s="5">
        <f t="shared" ref="AA32" si="63">+AA31+AA30</f>
        <v>11573.3</v>
      </c>
      <c r="AB32" s="5">
        <f t="shared" ref="AB32" si="64">+AB31+AB30</f>
        <v>5798.5925370000004</v>
      </c>
      <c r="AC32" s="5">
        <f t="shared" ref="AC32" si="65">+AC31+AC30</f>
        <v>5275.1851978200002</v>
      </c>
      <c r="AD32" s="5">
        <f t="shared" ref="AD32" si="66">+AD31+AD30</f>
        <v>5249.6919446892007</v>
      </c>
      <c r="AE32" s="5">
        <f t="shared" ref="AE32" si="67">+AE31+AE30</f>
        <v>5087.5288739547723</v>
      </c>
      <c r="AF32" s="5">
        <f t="shared" ref="AF32" si="68">+AF31+AF30</f>
        <v>4410.9661787042223</v>
      </c>
      <c r="AG32" s="5">
        <f t="shared" ref="AG32" si="69">+AG31+AG30</f>
        <v>4451.3145264781779</v>
      </c>
      <c r="AH32" s="5">
        <f t="shared" ref="AH32" si="70">+AH31+AH30</f>
        <v>4481.0719521586416</v>
      </c>
      <c r="AI32" s="5">
        <f t="shared" ref="AI32" si="71">+AI31+AI30</f>
        <v>4514.6076899260379</v>
      </c>
      <c r="AJ32" s="5">
        <f t="shared" ref="AJ32" si="72">+AJ31+AJ30</f>
        <v>4473.5169716516002</v>
      </c>
      <c r="AK32" s="5">
        <f t="shared" ref="AK32" si="73">+AK31+AK30</f>
        <v>4284.7313102395792</v>
      </c>
      <c r="AL32" s="5">
        <f t="shared" ref="AL32" si="74">+AL31+AL30</f>
        <v>4247.2100002929374</v>
      </c>
      <c r="AM32" s="5">
        <f t="shared" ref="AM32" si="75">+AM31+AM30</f>
        <v>4221.8036605753432</v>
      </c>
      <c r="AN32" s="5">
        <f t="shared" ref="AN32" si="76">+AN31+AN30</f>
        <v>4201.134316897449</v>
      </c>
      <c r="AO32" s="5">
        <f t="shared" ref="AO32" si="77">+AO31+AO30</f>
        <v>4016.288878346018</v>
      </c>
    </row>
    <row r="33" spans="2:41" s="2" customFormat="1" x14ac:dyDescent="0.2">
      <c r="B33" s="2" t="s">
        <v>40</v>
      </c>
      <c r="C33" s="5"/>
      <c r="D33" s="5">
        <f t="shared" ref="D33:E33" si="78">+D29-D32</f>
        <v>886.60000000000036</v>
      </c>
      <c r="E33" s="5">
        <f t="shared" si="78"/>
        <v>959.20000000000027</v>
      </c>
      <c r="F33" s="5">
        <f t="shared" ref="F33:K33" si="79">+F29-F32</f>
        <v>1040.8000000000002</v>
      </c>
      <c r="G33" s="5">
        <f t="shared" si="79"/>
        <v>1105.3999999999996</v>
      </c>
      <c r="H33" s="5">
        <f t="shared" si="79"/>
        <v>955.39999999999964</v>
      </c>
      <c r="I33" s="5">
        <f t="shared" si="79"/>
        <v>1177.3999999999996</v>
      </c>
      <c r="J33" s="5">
        <f t="shared" si="79"/>
        <v>912.80000000000018</v>
      </c>
      <c r="K33" s="5">
        <f t="shared" si="79"/>
        <v>1019.6999999999985</v>
      </c>
      <c r="L33" s="5">
        <f t="shared" ref="L33:N33" si="80">+L29-L32</f>
        <v>1149.8999999999996</v>
      </c>
      <c r="M33" s="5">
        <f t="shared" si="80"/>
        <v>1139.9810800000005</v>
      </c>
      <c r="N33" s="5">
        <f t="shared" si="80"/>
        <v>582.68456000000015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f t="shared" ref="Z33" si="81">+Z29-Z32</f>
        <v>4150.9999999999964</v>
      </c>
      <c r="AA33" s="5">
        <f t="shared" ref="AA33" si="82">+AA29-AA32</f>
        <v>3281.1656399999993</v>
      </c>
      <c r="AB33" s="5">
        <f t="shared" ref="AB33" si="83">+AB29-AB32</f>
        <v>8697.8888055000007</v>
      </c>
      <c r="AC33" s="5">
        <f t="shared" ref="AC33" si="84">+AC29-AC32</f>
        <v>7912.7777967300017</v>
      </c>
      <c r="AD33" s="5">
        <f t="shared" ref="AD33" si="85">+AD29-AD32</f>
        <v>7874.5379170338019</v>
      </c>
      <c r="AE33" s="5">
        <f t="shared" ref="AE33" si="86">+AE29-AE32</f>
        <v>7631.2933109321602</v>
      </c>
      <c r="AF33" s="5">
        <f t="shared" ref="AF33" si="87">+AF29-AF32</f>
        <v>6616.4492680563326</v>
      </c>
      <c r="AG33" s="5">
        <f t="shared" ref="AG33" si="88">+AG29-AG32</f>
        <v>6676.9717897172686</v>
      </c>
      <c r="AH33" s="5">
        <f t="shared" ref="AH33" si="89">+AH29-AH32</f>
        <v>6721.6079282379633</v>
      </c>
      <c r="AI33" s="5">
        <f t="shared" ref="AI33" si="90">+AI29-AI32</f>
        <v>6771.9115348890582</v>
      </c>
      <c r="AJ33" s="5">
        <f t="shared" ref="AJ33" si="91">+AJ29-AJ32</f>
        <v>6710.2754574773999</v>
      </c>
      <c r="AK33" s="5">
        <f t="shared" ref="AK33" si="92">+AK29-AK32</f>
        <v>6427.0969653593684</v>
      </c>
      <c r="AL33" s="5">
        <f t="shared" ref="AL33" si="93">+AL29-AL32</f>
        <v>6370.8150004394074</v>
      </c>
      <c r="AM33" s="5">
        <f t="shared" ref="AM33" si="94">+AM29-AM32</f>
        <v>6332.7054908630153</v>
      </c>
      <c r="AN33" s="5">
        <f t="shared" ref="AN33" si="95">+AN29-AN32</f>
        <v>6301.7014753461735</v>
      </c>
      <c r="AO33" s="5">
        <f t="shared" ref="AO33" si="96">+AO29-AO32</f>
        <v>6024.4333175190259</v>
      </c>
    </row>
    <row r="34" spans="2:41" s="2" customFormat="1" x14ac:dyDescent="0.2">
      <c r="B34" s="2" t="s">
        <v>49</v>
      </c>
      <c r="C34" s="5"/>
      <c r="D34" s="5">
        <v>53.8</v>
      </c>
      <c r="E34" s="5">
        <v>59.3</v>
      </c>
      <c r="F34" s="5">
        <v>11.9</v>
      </c>
      <c r="G34" s="5">
        <v>92.7</v>
      </c>
      <c r="H34" s="5">
        <v>-123.3</v>
      </c>
      <c r="I34" s="5">
        <v>86.5</v>
      </c>
      <c r="J34" s="5">
        <f>-20.4+65.1</f>
        <v>44.699999999999996</v>
      </c>
      <c r="K34" s="5">
        <v>54.9</v>
      </c>
      <c r="L34" s="5">
        <v>21.2</v>
      </c>
      <c r="M34" s="5">
        <f t="shared" ref="M34:N34" si="97">+L34</f>
        <v>21.2</v>
      </c>
      <c r="N34" s="5">
        <f t="shared" si="97"/>
        <v>21.2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2">
        <f>SUM(G34:J34)</f>
        <v>100.6</v>
      </c>
      <c r="AA34" s="2">
        <f t="shared" ref="AA34" si="98">SUM(K34:N34)</f>
        <v>118.5</v>
      </c>
    </row>
    <row r="35" spans="2:41" s="2" customFormat="1" x14ac:dyDescent="0.2">
      <c r="B35" s="2" t="s">
        <v>48</v>
      </c>
      <c r="C35" s="5"/>
      <c r="D35" s="5">
        <f t="shared" ref="D35:E35" si="99">+D33+D34</f>
        <v>940.40000000000032</v>
      </c>
      <c r="E35" s="5">
        <f t="shared" si="99"/>
        <v>1018.5000000000002</v>
      </c>
      <c r="F35" s="5">
        <f t="shared" ref="F35:K35" si="100">+F33+F34</f>
        <v>1052.7000000000003</v>
      </c>
      <c r="G35" s="5">
        <f t="shared" si="100"/>
        <v>1198.0999999999997</v>
      </c>
      <c r="H35" s="5">
        <f t="shared" si="100"/>
        <v>832.09999999999968</v>
      </c>
      <c r="I35" s="5">
        <f t="shared" si="100"/>
        <v>1263.8999999999996</v>
      </c>
      <c r="J35" s="5">
        <f t="shared" si="100"/>
        <v>957.50000000000023</v>
      </c>
      <c r="K35" s="5">
        <f t="shared" si="100"/>
        <v>1074.5999999999985</v>
      </c>
      <c r="L35" s="5">
        <f t="shared" ref="L35:N35" si="101">+L33+L34</f>
        <v>1171.0999999999997</v>
      </c>
      <c r="M35" s="5">
        <f t="shared" si="101"/>
        <v>1161.1810800000005</v>
      </c>
      <c r="N35" s="5">
        <f t="shared" si="101"/>
        <v>603.88456000000019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f t="shared" ref="Z35" si="102">+Z33+Z34</f>
        <v>4251.5999999999967</v>
      </c>
      <c r="AA35" s="5">
        <f t="shared" ref="AA35:AB35" si="103">+AA33+AA34</f>
        <v>3399.6656399999993</v>
      </c>
      <c r="AB35" s="5">
        <f t="shared" si="103"/>
        <v>8697.8888055000007</v>
      </c>
      <c r="AC35" s="5">
        <f t="shared" ref="AC35" si="104">+AC33+AC34</f>
        <v>7912.7777967300017</v>
      </c>
      <c r="AD35" s="5">
        <f t="shared" ref="AD35" si="105">+AD33+AD34</f>
        <v>7874.5379170338019</v>
      </c>
      <c r="AE35" s="5">
        <f t="shared" ref="AE35" si="106">+AE33+AE34</f>
        <v>7631.2933109321602</v>
      </c>
      <c r="AF35" s="5">
        <f t="shared" ref="AF35" si="107">+AF33+AF34</f>
        <v>6616.4492680563326</v>
      </c>
      <c r="AG35" s="5">
        <f t="shared" ref="AG35" si="108">+AG33+AG34</f>
        <v>6676.9717897172686</v>
      </c>
      <c r="AH35" s="5">
        <f t="shared" ref="AH35" si="109">+AH33+AH34</f>
        <v>6721.6079282379633</v>
      </c>
      <c r="AI35" s="5">
        <f t="shared" ref="AI35" si="110">+AI33+AI34</f>
        <v>6771.9115348890582</v>
      </c>
      <c r="AJ35" s="5">
        <f t="shared" ref="AJ35" si="111">+AJ33+AJ34</f>
        <v>6710.2754574773999</v>
      </c>
      <c r="AK35" s="5">
        <f t="shared" ref="AK35" si="112">+AK33+AK34</f>
        <v>6427.0969653593684</v>
      </c>
      <c r="AL35" s="5">
        <f t="shared" ref="AL35" si="113">+AL33+AL34</f>
        <v>6370.8150004394074</v>
      </c>
      <c r="AM35" s="5">
        <f t="shared" ref="AM35" si="114">+AM33+AM34</f>
        <v>6332.7054908630153</v>
      </c>
      <c r="AN35" s="5">
        <f t="shared" ref="AN35" si="115">+AN33+AN34</f>
        <v>6301.7014753461735</v>
      </c>
      <c r="AO35" s="5">
        <f t="shared" ref="AO35" si="116">+AO33+AO34</f>
        <v>6024.4333175190259</v>
      </c>
    </row>
    <row r="36" spans="2:41" s="2" customFormat="1" x14ac:dyDescent="0.2">
      <c r="B36" s="2" t="s">
        <v>47</v>
      </c>
      <c r="C36" s="5"/>
      <c r="D36" s="5">
        <v>206.9</v>
      </c>
      <c r="E36" s="5">
        <v>237.4</v>
      </c>
      <c r="F36" s="5">
        <v>172.2</v>
      </c>
      <c r="G36" s="5">
        <v>274.39999999999998</v>
      </c>
      <c r="H36" s="5">
        <v>78.900000000000006</v>
      </c>
      <c r="I36" s="5">
        <v>314.3</v>
      </c>
      <c r="J36" s="5">
        <v>129.30000000000001</v>
      </c>
      <c r="K36" s="5">
        <v>192.3</v>
      </c>
      <c r="L36" s="5">
        <v>262.3</v>
      </c>
      <c r="M36" s="5">
        <f t="shared" ref="M36:N36" si="117">+M35*0.2</f>
        <v>232.23621600000013</v>
      </c>
      <c r="N36" s="5">
        <f t="shared" si="117"/>
        <v>120.77691200000004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2">
        <f>SUM(G36:J36)</f>
        <v>796.89999999999986</v>
      </c>
      <c r="AA36" s="2">
        <f t="shared" ref="AA36" si="118">SUM(K36:N36)</f>
        <v>807.61312800000019</v>
      </c>
      <c r="AB36" s="2">
        <f>+AB35*0.25</f>
        <v>2174.4722013750002</v>
      </c>
      <c r="AC36" s="2">
        <f t="shared" ref="AC36:AO36" si="119">+AC35*0.25</f>
        <v>1978.1944491825004</v>
      </c>
      <c r="AD36" s="2">
        <f t="shared" si="119"/>
        <v>1968.6344792584505</v>
      </c>
      <c r="AE36" s="2">
        <f t="shared" si="119"/>
        <v>1907.8233277330401</v>
      </c>
      <c r="AF36" s="2">
        <f t="shared" si="119"/>
        <v>1654.1123170140831</v>
      </c>
      <c r="AG36" s="2">
        <f t="shared" si="119"/>
        <v>1669.2429474293172</v>
      </c>
      <c r="AH36" s="2">
        <f t="shared" si="119"/>
        <v>1680.4019820594908</v>
      </c>
      <c r="AI36" s="2">
        <f t="shared" si="119"/>
        <v>1692.9778837222646</v>
      </c>
      <c r="AJ36" s="2">
        <f t="shared" si="119"/>
        <v>1677.56886436935</v>
      </c>
      <c r="AK36" s="2">
        <f t="shared" si="119"/>
        <v>1606.7742413398421</v>
      </c>
      <c r="AL36" s="2">
        <f t="shared" si="119"/>
        <v>1592.7037501098519</v>
      </c>
      <c r="AM36" s="2">
        <f t="shared" si="119"/>
        <v>1583.1763727157538</v>
      </c>
      <c r="AN36" s="2">
        <f t="shared" si="119"/>
        <v>1575.4253688365434</v>
      </c>
      <c r="AO36" s="2">
        <f t="shared" si="119"/>
        <v>1506.1083293797565</v>
      </c>
    </row>
    <row r="37" spans="2:41" s="2" customFormat="1" x14ac:dyDescent="0.2">
      <c r="B37" s="2" t="s">
        <v>46</v>
      </c>
      <c r="C37" s="5"/>
      <c r="D37" s="5">
        <f t="shared" ref="D37:E37" si="120">+D35-D36</f>
        <v>733.50000000000034</v>
      </c>
      <c r="E37" s="5">
        <f t="shared" si="120"/>
        <v>781.10000000000025</v>
      </c>
      <c r="F37" s="5">
        <f t="shared" ref="F37:K37" si="121">+F35-F36</f>
        <v>880.50000000000023</v>
      </c>
      <c r="G37" s="5">
        <f t="shared" si="121"/>
        <v>923.6999999999997</v>
      </c>
      <c r="H37" s="5">
        <f t="shared" si="121"/>
        <v>753.1999999999997</v>
      </c>
      <c r="I37" s="5">
        <f t="shared" si="121"/>
        <v>949.59999999999968</v>
      </c>
      <c r="J37" s="5">
        <f t="shared" si="121"/>
        <v>828.20000000000027</v>
      </c>
      <c r="K37" s="5">
        <f t="shared" si="121"/>
        <v>882.29999999999859</v>
      </c>
      <c r="L37" s="5">
        <f t="shared" ref="L37:N37" si="122">+L35-L36</f>
        <v>908.79999999999973</v>
      </c>
      <c r="M37" s="5">
        <f t="shared" si="122"/>
        <v>928.94486400000039</v>
      </c>
      <c r="N37" s="5">
        <f t="shared" si="122"/>
        <v>483.10764800000015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f t="shared" ref="Z37" si="123">+Z35-Z36</f>
        <v>3454.6999999999971</v>
      </c>
      <c r="AA37" s="5">
        <f t="shared" ref="AA37:AB37" si="124">+AA35-AA36</f>
        <v>2592.0525119999993</v>
      </c>
      <c r="AB37" s="5">
        <f t="shared" si="124"/>
        <v>6523.416604125001</v>
      </c>
      <c r="AC37" s="5">
        <f t="shared" ref="AC37" si="125">+AC35-AC36</f>
        <v>5934.583347547501</v>
      </c>
      <c r="AD37" s="5">
        <f t="shared" ref="AD37" si="126">+AD35-AD36</f>
        <v>5905.9034377753514</v>
      </c>
      <c r="AE37" s="5">
        <f t="shared" ref="AE37" si="127">+AE35-AE36</f>
        <v>5723.4699831991202</v>
      </c>
      <c r="AF37" s="5">
        <f t="shared" ref="AF37" si="128">+AF35-AF36</f>
        <v>4962.336951042249</v>
      </c>
      <c r="AG37" s="5">
        <f t="shared" ref="AG37" si="129">+AG35-AG36</f>
        <v>5007.7288422879519</v>
      </c>
      <c r="AH37" s="5">
        <f t="shared" ref="AH37" si="130">+AH35-AH36</f>
        <v>5041.205946178472</v>
      </c>
      <c r="AI37" s="5">
        <f t="shared" ref="AI37" si="131">+AI35-AI36</f>
        <v>5078.9336511667934</v>
      </c>
      <c r="AJ37" s="5">
        <f t="shared" ref="AJ37" si="132">+AJ35-AJ36</f>
        <v>5032.7065931080497</v>
      </c>
      <c r="AK37" s="5">
        <f t="shared" ref="AK37" si="133">+AK35-AK36</f>
        <v>4820.3227240195265</v>
      </c>
      <c r="AL37" s="5">
        <f t="shared" ref="AL37" si="134">+AL35-AL36</f>
        <v>4778.1112503295553</v>
      </c>
      <c r="AM37" s="5">
        <f t="shared" ref="AM37" si="135">+AM35-AM36</f>
        <v>4749.5291181472612</v>
      </c>
      <c r="AN37" s="5">
        <f t="shared" ref="AN37" si="136">+AN35-AN36</f>
        <v>4726.2761065096302</v>
      </c>
      <c r="AO37" s="5">
        <f t="shared" ref="AO37" si="137">+AO35-AO36</f>
        <v>4518.3249881392694</v>
      </c>
    </row>
    <row r="38" spans="2:41" s="24" customFormat="1" x14ac:dyDescent="0.2">
      <c r="B38" s="24" t="s">
        <v>45</v>
      </c>
      <c r="C38" s="25"/>
      <c r="D38" s="25">
        <f t="shared" ref="D38:E38" si="138">D37/D39</f>
        <v>0.68142673199444859</v>
      </c>
      <c r="E38" s="25">
        <f t="shared" si="138"/>
        <v>0.72701989787655485</v>
      </c>
      <c r="F38" s="25">
        <f t="shared" ref="F38:K38" si="139">F37/F39</f>
        <v>0.82684363593337562</v>
      </c>
      <c r="G38" s="25">
        <f t="shared" si="139"/>
        <v>0.86741109200642663</v>
      </c>
      <c r="H38" s="25">
        <f t="shared" si="139"/>
        <v>0.70684244508175764</v>
      </c>
      <c r="I38" s="25">
        <f t="shared" si="139"/>
        <v>0.89151009379820256</v>
      </c>
      <c r="J38" s="25">
        <f t="shared" si="139"/>
        <v>0.77417280262332622</v>
      </c>
      <c r="K38" s="25">
        <f t="shared" si="139"/>
        <v>0.82995085012816461</v>
      </c>
      <c r="L38" s="25">
        <f t="shared" ref="L38:N38" si="140">L37/L39</f>
        <v>0.85727761531930935</v>
      </c>
      <c r="M38" s="25">
        <f t="shared" si="140"/>
        <v>0.876280411281955</v>
      </c>
      <c r="N38" s="25">
        <f t="shared" si="140"/>
        <v>0.45571893972266786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>
        <f t="shared" ref="Z38" si="141">Z37/Z39</f>
        <v>3.2397255793856763</v>
      </c>
      <c r="AA38" s="25">
        <f t="shared" ref="AA38:AB38" si="142">AA37/AA39</f>
        <v>2.4433876449759913</v>
      </c>
      <c r="AB38" s="25">
        <f t="shared" si="142"/>
        <v>6.1492718452882444</v>
      </c>
      <c r="AC38" s="25">
        <f t="shared" ref="AC38" si="143">AC37/AC39</f>
        <v>5.5942105965628786</v>
      </c>
      <c r="AD38" s="25">
        <f t="shared" ref="AD38" si="144">AD37/AD39</f>
        <v>5.5671755975141028</v>
      </c>
      <c r="AE38" s="25">
        <f t="shared" ref="AE38" si="145">AE37/AE39</f>
        <v>5.3952054515088772</v>
      </c>
      <c r="AF38" s="25">
        <f t="shared" ref="AF38" si="146">AF37/AF39</f>
        <v>4.6777265276269473</v>
      </c>
      <c r="AG38" s="25">
        <f t="shared" ref="AG38" si="147">AG37/AG39</f>
        <v>4.7205150073118229</v>
      </c>
      <c r="AH38" s="25">
        <f t="shared" ref="AH38" si="148">AH37/AH39</f>
        <v>4.7520720616758805</v>
      </c>
      <c r="AI38" s="25">
        <f t="shared" ref="AI38" si="149">AI37/AI39</f>
        <v>4.7876359276913245</v>
      </c>
      <c r="AJ38" s="25">
        <f t="shared" ref="AJ38" si="150">AJ37/AJ39</f>
        <v>4.7440601814433556</v>
      </c>
      <c r="AK38" s="25">
        <f t="shared" ref="AK38" si="151">AK37/AK39</f>
        <v>4.543857400318875</v>
      </c>
      <c r="AL38" s="25">
        <f t="shared" ref="AL38" si="152">AL37/AL39</f>
        <v>4.5040669281687862</v>
      </c>
      <c r="AM38" s="25">
        <f t="shared" ref="AM38" si="153">AM37/AM39</f>
        <v>4.4771240987631415</v>
      </c>
      <c r="AN38" s="25">
        <f t="shared" ref="AN38" si="154">AN37/AN39</f>
        <v>4.4552047429318691</v>
      </c>
      <c r="AO38" s="25">
        <f t="shared" ref="AO38" si="155">AO37/AO39</f>
        <v>4.2591804760496252</v>
      </c>
    </row>
    <row r="39" spans="2:41" s="2" customFormat="1" x14ac:dyDescent="0.2">
      <c r="B39" s="2" t="s">
        <v>5</v>
      </c>
      <c r="C39" s="5"/>
      <c r="D39" s="5">
        <v>1076.4179999999999</v>
      </c>
      <c r="E39" s="5">
        <v>1074.386</v>
      </c>
      <c r="F39" s="5">
        <v>1064.893</v>
      </c>
      <c r="G39" s="5">
        <v>1064.893</v>
      </c>
      <c r="H39" s="5">
        <v>1065.5840000000001</v>
      </c>
      <c r="I39" s="5">
        <v>1065.1590000000001</v>
      </c>
      <c r="J39" s="5">
        <v>1069.787</v>
      </c>
      <c r="K39" s="5">
        <v>1063.075</v>
      </c>
      <c r="L39" s="5">
        <v>1060.0999999999999</v>
      </c>
      <c r="M39" s="5">
        <f t="shared" ref="M39:N39" si="156">+L39</f>
        <v>1060.0999999999999</v>
      </c>
      <c r="N39" s="5">
        <f t="shared" si="156"/>
        <v>1060.0999999999999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2">
        <f>AVERAGE(G39:J39)</f>
        <v>1066.3557499999999</v>
      </c>
      <c r="AA39" s="2">
        <f>AVERAGE(K39:N39)</f>
        <v>1060.84375</v>
      </c>
      <c r="AB39" s="2">
        <f>+AA39</f>
        <v>1060.84375</v>
      </c>
      <c r="AC39" s="2">
        <f t="shared" ref="AC39:AO39" si="157">+AB39</f>
        <v>1060.84375</v>
      </c>
      <c r="AD39" s="2">
        <f t="shared" si="157"/>
        <v>1060.84375</v>
      </c>
      <c r="AE39" s="2">
        <f t="shared" si="157"/>
        <v>1060.84375</v>
      </c>
      <c r="AF39" s="2">
        <f t="shared" si="157"/>
        <v>1060.84375</v>
      </c>
      <c r="AG39" s="2">
        <f t="shared" si="157"/>
        <v>1060.84375</v>
      </c>
      <c r="AH39" s="2">
        <f t="shared" si="157"/>
        <v>1060.84375</v>
      </c>
      <c r="AI39" s="2">
        <f t="shared" si="157"/>
        <v>1060.84375</v>
      </c>
      <c r="AJ39" s="2">
        <f t="shared" si="157"/>
        <v>1060.84375</v>
      </c>
      <c r="AK39" s="2">
        <f t="shared" si="157"/>
        <v>1060.84375</v>
      </c>
      <c r="AL39" s="2">
        <f t="shared" si="157"/>
        <v>1060.84375</v>
      </c>
      <c r="AM39" s="2">
        <f t="shared" si="157"/>
        <v>1060.84375</v>
      </c>
      <c r="AN39" s="2">
        <f t="shared" si="157"/>
        <v>1060.84375</v>
      </c>
      <c r="AO39" s="2">
        <f t="shared" si="157"/>
        <v>1060.84375</v>
      </c>
    </row>
    <row r="41" spans="2:41" s="3" customFormat="1" x14ac:dyDescent="0.2">
      <c r="B41" s="6" t="s">
        <v>35</v>
      </c>
      <c r="C41" s="4"/>
      <c r="D41" s="4"/>
      <c r="E41" s="4"/>
      <c r="F41" s="4"/>
      <c r="G41" s="4"/>
      <c r="H41" s="23">
        <f>H27/D27-1</f>
        <v>8.73247426857926E-3</v>
      </c>
      <c r="I41" s="23">
        <f t="shared" ref="I41:N41" si="158">I27/E27-1</f>
        <v>-3.7138419724325411E-2</v>
      </c>
      <c r="J41" s="23">
        <f t="shared" si="158"/>
        <v>-4.4447736869397403E-3</v>
      </c>
      <c r="K41" s="23">
        <f t="shared" si="158"/>
        <v>4.7451934462936052E-2</v>
      </c>
      <c r="L41" s="23">
        <f t="shared" si="158"/>
        <v>8.5584590354911727E-2</v>
      </c>
      <c r="M41" s="23">
        <f t="shared" si="158"/>
        <v>1.4301873097163353E-2</v>
      </c>
      <c r="N41" s="23">
        <f t="shared" si="158"/>
        <v>-6.4196368777438839E-2</v>
      </c>
      <c r="O41" s="23"/>
      <c r="P41" s="23"/>
      <c r="Q41" s="23"/>
      <c r="R41" s="23"/>
      <c r="S41" s="4"/>
      <c r="T41" s="4"/>
      <c r="U41" s="4"/>
      <c r="V41" s="4"/>
      <c r="W41" s="4"/>
      <c r="X41" s="4"/>
      <c r="Y41" s="4"/>
    </row>
    <row r="42" spans="2:41" x14ac:dyDescent="0.2">
      <c r="B42" s="2" t="s">
        <v>19</v>
      </c>
      <c r="H42" s="22">
        <f t="shared" ref="H42:N46" si="159">H3/D3-1</f>
        <v>-6.5419225824882243E-2</v>
      </c>
      <c r="I42" s="22">
        <f t="shared" si="159"/>
        <v>-1.5578529953265141E-3</v>
      </c>
      <c r="J42" s="22">
        <f t="shared" si="159"/>
        <v>9.5460156357152659E-2</v>
      </c>
      <c r="K42" s="22">
        <f t="shared" si="159"/>
        <v>-0.11359649122807025</v>
      </c>
      <c r="L42" s="22">
        <f t="shared" si="159"/>
        <v>7.274950328595442E-2</v>
      </c>
      <c r="M42" s="22">
        <f t="shared" si="159"/>
        <v>-9.9999999999998979E-3</v>
      </c>
      <c r="N42" s="22">
        <f t="shared" si="159"/>
        <v>-1.0000000000000009E-2</v>
      </c>
      <c r="O42" s="22"/>
      <c r="P42" s="22"/>
      <c r="Q42" s="22"/>
      <c r="R42" s="22"/>
    </row>
    <row r="43" spans="2:41" x14ac:dyDescent="0.2">
      <c r="B43" s="2" t="s">
        <v>20</v>
      </c>
      <c r="H43" s="22">
        <f t="shared" si="159"/>
        <v>1.7611835153230615E-4</v>
      </c>
      <c r="I43" s="22">
        <f t="shared" si="159"/>
        <v>-4.0464461646726457E-3</v>
      </c>
      <c r="J43" s="22">
        <f t="shared" si="159"/>
        <v>2.5706940874036022E-2</v>
      </c>
      <c r="K43" s="22">
        <f t="shared" si="159"/>
        <v>7.133568642021193E-2</v>
      </c>
      <c r="L43" s="22">
        <f t="shared" si="159"/>
        <v>0.11023067441450962</v>
      </c>
      <c r="M43" s="22">
        <f t="shared" si="159"/>
        <v>-1.000000000000012E-2</v>
      </c>
      <c r="N43" s="22">
        <f t="shared" si="159"/>
        <v>-1.0000000000000009E-2</v>
      </c>
      <c r="O43" s="22"/>
      <c r="P43" s="22"/>
      <c r="Q43" s="22"/>
      <c r="R43" s="22"/>
    </row>
    <row r="44" spans="2:41" x14ac:dyDescent="0.2">
      <c r="B44" s="2" t="s">
        <v>21</v>
      </c>
      <c r="H44" s="22">
        <f t="shared" si="159"/>
        <v>-6.6469926925239009E-2</v>
      </c>
      <c r="I44" s="22">
        <f t="shared" si="159"/>
        <v>-0.13118606580038705</v>
      </c>
      <c r="J44" s="22">
        <f t="shared" si="159"/>
        <v>-0.13489655172413784</v>
      </c>
      <c r="K44" s="22">
        <f t="shared" si="159"/>
        <v>-1.5357766143106355E-2</v>
      </c>
      <c r="L44" s="22">
        <f t="shared" si="159"/>
        <v>-8.6105675146770921E-2</v>
      </c>
      <c r="M44" s="22">
        <f t="shared" si="159"/>
        <v>-9.9999999999998979E-3</v>
      </c>
      <c r="N44" s="22">
        <f t="shared" si="159"/>
        <v>-1.000000000000012E-2</v>
      </c>
      <c r="O44" s="22"/>
      <c r="P44" s="22"/>
      <c r="Q44" s="22"/>
      <c r="R44" s="22"/>
    </row>
    <row r="45" spans="2:41" x14ac:dyDescent="0.2">
      <c r="B45" s="2" t="s">
        <v>22</v>
      </c>
      <c r="H45" s="22">
        <f t="shared" si="159"/>
        <v>-0.10215664018161186</v>
      </c>
      <c r="I45" s="22">
        <f t="shared" si="159"/>
        <v>-5.7159869008633457E-2</v>
      </c>
      <c r="J45" s="22">
        <f t="shared" si="159"/>
        <v>-9.3528816986855445E-2</v>
      </c>
      <c r="K45" s="22">
        <f t="shared" si="159"/>
        <v>0.12891986062717775</v>
      </c>
      <c r="L45" s="22">
        <f t="shared" si="159"/>
        <v>5.0252844500632277E-2</v>
      </c>
      <c r="M45" s="22">
        <f t="shared" si="159"/>
        <v>-1.000000000000012E-2</v>
      </c>
      <c r="N45" s="22">
        <f t="shared" si="159"/>
        <v>-1.0000000000000009E-2</v>
      </c>
      <c r="O45" s="22"/>
      <c r="P45" s="22"/>
      <c r="Q45" s="22"/>
      <c r="R45" s="22"/>
    </row>
    <row r="46" spans="2:41" x14ac:dyDescent="0.2">
      <c r="B46" s="2" t="s">
        <v>23</v>
      </c>
      <c r="H46" s="22">
        <f t="shared" si="159"/>
        <v>6.4160725858716683E-2</v>
      </c>
      <c r="I46" s="22">
        <f t="shared" si="159"/>
        <v>5.0270921131848167E-2</v>
      </c>
      <c r="J46" s="22">
        <f t="shared" si="159"/>
        <v>-7.6155462184874789E-3</v>
      </c>
      <c r="K46" s="22">
        <f t="shared" si="159"/>
        <v>8.7372013651877189E-2</v>
      </c>
      <c r="L46" s="22">
        <f t="shared" si="159"/>
        <v>0.11936662606577353</v>
      </c>
      <c r="M46" s="22">
        <f t="shared" si="159"/>
        <v>2.0000000000000018E-2</v>
      </c>
      <c r="N46" s="22">
        <f t="shared" si="159"/>
        <v>2.0000000000000018E-2</v>
      </c>
      <c r="O46" s="22"/>
      <c r="P46" s="22"/>
      <c r="Q46" s="22"/>
      <c r="R46" s="22"/>
    </row>
    <row r="48" spans="2:41" x14ac:dyDescent="0.2">
      <c r="B48" s="2" t="s">
        <v>67</v>
      </c>
      <c r="D48" s="22">
        <f>D29/D27</f>
        <v>0.75895534484155935</v>
      </c>
      <c r="E48" s="22">
        <f t="shared" ref="E48:N48" si="160">E29/E27</f>
        <v>0.74768006212385951</v>
      </c>
      <c r="F48" s="22">
        <f t="shared" si="160"/>
        <v>0.76261204533669158</v>
      </c>
      <c r="G48" s="22">
        <f t="shared" si="160"/>
        <v>0.78205266217409086</v>
      </c>
      <c r="H48" s="22">
        <f t="shared" si="160"/>
        <v>0.75527748207363365</v>
      </c>
      <c r="I48" s="22">
        <f t="shared" si="160"/>
        <v>0.77841401697683332</v>
      </c>
      <c r="J48" s="22">
        <f t="shared" si="160"/>
        <v>0.77262073070913018</v>
      </c>
      <c r="K48" s="22">
        <f t="shared" si="160"/>
        <v>0.76312922653182869</v>
      </c>
      <c r="L48" s="22">
        <f t="shared" si="160"/>
        <v>0.75976909413854354</v>
      </c>
      <c r="M48" s="22">
        <f t="shared" si="160"/>
        <v>0.76</v>
      </c>
      <c r="N48" s="22">
        <f t="shared" si="160"/>
        <v>0.76</v>
      </c>
      <c r="O48" s="22"/>
      <c r="P48" s="22"/>
      <c r="Q48" s="22"/>
      <c r="R48" s="22"/>
      <c r="Z48" s="22">
        <f t="shared" ref="Z48:AA48" si="161">Z29/Z27</f>
        <v>0.7719290334540827</v>
      </c>
      <c r="AA48" s="22">
        <f t="shared" si="161"/>
        <v>0.7532713787806341</v>
      </c>
    </row>
    <row r="50" spans="2:25" x14ac:dyDescent="0.2">
      <c r="B50" s="2" t="s">
        <v>84</v>
      </c>
      <c r="K50" s="5">
        <f>+K51-K61</f>
        <v>-1366.6000000000004</v>
      </c>
      <c r="L50" s="5">
        <f>+L51-L61</f>
        <v>-947.29999999999927</v>
      </c>
    </row>
    <row r="51" spans="2:25" s="2" customFormat="1" x14ac:dyDescent="0.2">
      <c r="B51" s="2" t="s">
        <v>2</v>
      </c>
      <c r="C51" s="5"/>
      <c r="D51" s="5"/>
      <c r="E51" s="5"/>
      <c r="F51" s="5"/>
      <c r="G51" s="5"/>
      <c r="H51" s="5"/>
      <c r="I51" s="5"/>
      <c r="J51" s="5"/>
      <c r="K51" s="5">
        <f>2307.6+687.4+3764.3</f>
        <v>6759.3</v>
      </c>
      <c r="L51" s="5">
        <f>3238+696.8+4449.2</f>
        <v>8384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s="2" customFormat="1" x14ac:dyDescent="0.2">
      <c r="B52" s="2" t="s">
        <v>93</v>
      </c>
      <c r="C52" s="5"/>
      <c r="D52" s="5"/>
      <c r="E52" s="5"/>
      <c r="F52" s="5"/>
      <c r="G52" s="5"/>
      <c r="H52" s="5"/>
      <c r="I52" s="5"/>
      <c r="J52" s="5"/>
      <c r="K52" s="5">
        <v>3622.6</v>
      </c>
      <c r="L52" s="5">
        <v>3947.9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s="2" customFormat="1" x14ac:dyDescent="0.2">
      <c r="B53" s="2" t="s">
        <v>94</v>
      </c>
      <c r="C53" s="5"/>
      <c r="D53" s="5"/>
      <c r="E53" s="5"/>
      <c r="F53" s="5"/>
      <c r="G53" s="5"/>
      <c r="H53" s="5"/>
      <c r="I53" s="5"/>
      <c r="J53" s="5"/>
      <c r="K53" s="5">
        <v>564.79999999999995</v>
      </c>
      <c r="L53" s="5">
        <v>545.20000000000005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s="2" customFormat="1" x14ac:dyDescent="0.2">
      <c r="B54" s="2" t="s">
        <v>95</v>
      </c>
      <c r="C54" s="5"/>
      <c r="D54" s="5"/>
      <c r="E54" s="5"/>
      <c r="F54" s="5"/>
      <c r="G54" s="5"/>
      <c r="H54" s="5"/>
      <c r="I54" s="5"/>
      <c r="J54" s="5"/>
      <c r="K54" s="5">
        <v>3740.2</v>
      </c>
      <c r="L54" s="5">
        <v>3759.9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s="2" customFormat="1" x14ac:dyDescent="0.2">
      <c r="B55" s="2" t="s">
        <v>96</v>
      </c>
      <c r="C55" s="5"/>
      <c r="D55" s="5"/>
      <c r="E55" s="5"/>
      <c r="F55" s="5"/>
      <c r="G55" s="5"/>
      <c r="H55" s="5"/>
      <c r="I55" s="5"/>
      <c r="J55" s="5"/>
      <c r="K55" s="5">
        <v>792</v>
      </c>
      <c r="L55" s="5">
        <v>789.5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s="2" customFormat="1" x14ac:dyDescent="0.2">
      <c r="B56" s="2" t="s">
        <v>97</v>
      </c>
      <c r="C56" s="5"/>
      <c r="D56" s="5"/>
      <c r="E56" s="5"/>
      <c r="F56" s="5"/>
      <c r="G56" s="5"/>
      <c r="H56" s="5"/>
      <c r="I56" s="5"/>
      <c r="J56" s="5"/>
      <c r="K56" s="5">
        <f>4045.1+4889.8</f>
        <v>8934.9</v>
      </c>
      <c r="L56" s="5">
        <f>4026.5+4806.3</f>
        <v>8832.7999999999993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s="2" customFormat="1" x14ac:dyDescent="0.2">
      <c r="B57" s="2" t="s">
        <v>98</v>
      </c>
      <c r="C57" s="5"/>
      <c r="D57" s="5"/>
      <c r="E57" s="5"/>
      <c r="F57" s="5"/>
      <c r="G57" s="5"/>
      <c r="H57" s="5"/>
      <c r="I57" s="5"/>
      <c r="J57" s="5"/>
      <c r="K57" s="5">
        <v>2244.9</v>
      </c>
      <c r="L57" s="5">
        <v>2149.9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s="2" customFormat="1" x14ac:dyDescent="0.2">
      <c r="B58" s="2" t="s">
        <v>99</v>
      </c>
      <c r="C58" s="5"/>
      <c r="D58" s="5"/>
      <c r="E58" s="5"/>
      <c r="F58" s="5"/>
      <c r="G58" s="5"/>
      <c r="H58" s="5"/>
      <c r="I58" s="5"/>
      <c r="J58" s="5"/>
      <c r="K58" s="5">
        <v>8033.1</v>
      </c>
      <c r="L58" s="5">
        <v>8066.1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s="2" customFormat="1" x14ac:dyDescent="0.2">
      <c r="B59" s="2" t="s">
        <v>100</v>
      </c>
      <c r="C59" s="5"/>
      <c r="D59" s="5"/>
      <c r="E59" s="5"/>
      <c r="F59" s="5"/>
      <c r="G59" s="5"/>
      <c r="H59" s="5"/>
      <c r="I59" s="5"/>
      <c r="J59" s="5"/>
      <c r="K59" s="5">
        <f>SUM(K51:K58)</f>
        <v>34691.799999999996</v>
      </c>
      <c r="L59" s="5">
        <f>SUM(L51:L58)</f>
        <v>36475.300000000003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s="2" customFormat="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s="2" customFormat="1" x14ac:dyDescent="0.2">
      <c r="B61" s="2" t="s">
        <v>3</v>
      </c>
      <c r="C61" s="5"/>
      <c r="D61" s="5"/>
      <c r="E61" s="5"/>
      <c r="F61" s="5"/>
      <c r="G61" s="5"/>
      <c r="H61" s="5"/>
      <c r="I61" s="5"/>
      <c r="J61" s="5"/>
      <c r="K61" s="5">
        <f>648.3+7477.6</f>
        <v>8125.9000000000005</v>
      </c>
      <c r="L61" s="5">
        <f>645.8+8685.5</f>
        <v>9331.2999999999993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s="2" customFormat="1" x14ac:dyDescent="0.2">
      <c r="B62" s="2" t="s">
        <v>85</v>
      </c>
      <c r="C62" s="5"/>
      <c r="D62" s="5"/>
      <c r="E62" s="5"/>
      <c r="F62" s="5"/>
      <c r="G62" s="5"/>
      <c r="H62" s="5"/>
      <c r="I62" s="5"/>
      <c r="J62" s="5"/>
      <c r="K62" s="5">
        <v>1151.5999999999999</v>
      </c>
      <c r="L62" s="5">
        <v>1207.8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s="2" customFormat="1" x14ac:dyDescent="0.2">
      <c r="B63" s="2" t="s">
        <v>86</v>
      </c>
      <c r="C63" s="5"/>
      <c r="D63" s="5"/>
      <c r="E63" s="5"/>
      <c r="F63" s="5"/>
      <c r="G63" s="5"/>
      <c r="H63" s="5"/>
      <c r="I63" s="5"/>
      <c r="J63" s="5"/>
      <c r="K63" s="5">
        <v>548.70000000000005</v>
      </c>
      <c r="L63" s="5">
        <v>622.5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s="2" customFormat="1" x14ac:dyDescent="0.2">
      <c r="B64" s="2" t="s">
        <v>87</v>
      </c>
      <c r="C64" s="5"/>
      <c r="D64" s="5"/>
      <c r="E64" s="5"/>
      <c r="F64" s="5"/>
      <c r="G64" s="5"/>
      <c r="H64" s="5"/>
      <c r="I64" s="5"/>
      <c r="J64" s="5"/>
      <c r="K64" s="5">
        <v>2601.1</v>
      </c>
      <c r="L64" s="5">
        <v>3098.8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s="2" customFormat="1" x14ac:dyDescent="0.2">
      <c r="B65" s="2" t="s">
        <v>88</v>
      </c>
      <c r="C65" s="5"/>
      <c r="D65" s="5"/>
      <c r="E65" s="5"/>
      <c r="F65" s="5"/>
      <c r="G65" s="5"/>
      <c r="H65" s="5"/>
      <c r="I65" s="5"/>
      <c r="J65" s="5"/>
      <c r="K65" s="5">
        <v>0</v>
      </c>
      <c r="L65" s="5">
        <v>537.5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s="2" customFormat="1" x14ac:dyDescent="0.2">
      <c r="B66" s="2" t="s">
        <v>47</v>
      </c>
      <c r="C66" s="5"/>
      <c r="D66" s="5"/>
      <c r="E66" s="5"/>
      <c r="F66" s="5"/>
      <c r="G66" s="5"/>
      <c r="H66" s="5"/>
      <c r="I66" s="5"/>
      <c r="J66" s="5"/>
      <c r="K66" s="5">
        <f>114.6+908</f>
        <v>1022.6</v>
      </c>
      <c r="L66" s="5">
        <f>88+805.1</f>
        <v>893.1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s="2" customFormat="1" x14ac:dyDescent="0.2">
      <c r="B67" s="2" t="s">
        <v>89</v>
      </c>
      <c r="C67" s="5"/>
      <c r="D67" s="5"/>
      <c r="E67" s="5"/>
      <c r="F67" s="5"/>
      <c r="G67" s="5"/>
      <c r="H67" s="5"/>
      <c r="I67" s="5"/>
      <c r="J67" s="5"/>
      <c r="K67" s="5">
        <v>2276.6</v>
      </c>
      <c r="L67" s="5">
        <v>2200.6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s="2" customFormat="1" x14ac:dyDescent="0.2">
      <c r="B68" s="2" t="s">
        <v>101</v>
      </c>
      <c r="C68" s="5"/>
      <c r="D68" s="5"/>
      <c r="E68" s="5"/>
      <c r="F68" s="5"/>
      <c r="G68" s="5"/>
      <c r="H68" s="5"/>
      <c r="I68" s="5"/>
      <c r="J68" s="5"/>
      <c r="K68" s="5">
        <v>2106.6</v>
      </c>
      <c r="L68" s="5">
        <v>2020.4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s="2" customFormat="1" x14ac:dyDescent="0.2">
      <c r="B69" s="2" t="s">
        <v>90</v>
      </c>
      <c r="C69" s="5"/>
      <c r="D69" s="5"/>
      <c r="E69" s="5"/>
      <c r="F69" s="5"/>
      <c r="G69" s="5"/>
      <c r="H69" s="5"/>
      <c r="I69" s="5"/>
      <c r="J69" s="5"/>
      <c r="K69" s="5">
        <v>1829.3</v>
      </c>
      <c r="L69" s="5">
        <v>1907.1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s="2" customFormat="1" x14ac:dyDescent="0.2">
      <c r="B70" s="2" t="s">
        <v>91</v>
      </c>
      <c r="C70" s="5"/>
      <c r="D70" s="5"/>
      <c r="E70" s="5"/>
      <c r="F70" s="5"/>
      <c r="G70" s="5"/>
      <c r="H70" s="5"/>
      <c r="I70" s="5"/>
      <c r="J70" s="5"/>
      <c r="K70" s="5">
        <v>15029.4</v>
      </c>
      <c r="L70" s="5">
        <v>14656.2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s="2" customFormat="1" x14ac:dyDescent="0.2">
      <c r="B71" s="2" t="s">
        <v>92</v>
      </c>
      <c r="C71" s="5"/>
      <c r="D71" s="5"/>
      <c r="E71" s="5"/>
      <c r="F71" s="5"/>
      <c r="G71" s="5"/>
      <c r="H71" s="5"/>
      <c r="I71" s="5"/>
      <c r="J71" s="5"/>
      <c r="K71" s="5">
        <f>SUM(K61:K70)</f>
        <v>34691.800000000003</v>
      </c>
      <c r="L71" s="5">
        <f>SUM(L61:L70)</f>
        <v>36475.300000000003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3" spans="2:25" s="2" customFormat="1" x14ac:dyDescent="0.2">
      <c r="B73" s="2" t="s">
        <v>102</v>
      </c>
      <c r="C73" s="5"/>
      <c r="D73" s="5"/>
      <c r="E73" s="5"/>
      <c r="F73" s="5"/>
      <c r="G73" s="5"/>
      <c r="H73" s="5"/>
      <c r="I73" s="5"/>
      <c r="J73" s="5"/>
      <c r="K73" s="5">
        <f>K37</f>
        <v>882.29999999999859</v>
      </c>
      <c r="L73" s="5">
        <f>L37</f>
        <v>908.79999999999973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s="2" customFormat="1" x14ac:dyDescent="0.2">
      <c r="B74" s="2" t="s">
        <v>103</v>
      </c>
      <c r="C74" s="5"/>
      <c r="D74" s="5"/>
      <c r="E74" s="5"/>
      <c r="F74" s="5"/>
      <c r="G74" s="5"/>
      <c r="H74" s="5"/>
      <c r="I74" s="5"/>
      <c r="J74" s="5"/>
      <c r="K74" s="5">
        <v>440.1</v>
      </c>
      <c r="L74" s="5">
        <f>1187.8-K74</f>
        <v>747.69999999999993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s="2" customFormat="1" x14ac:dyDescent="0.2">
      <c r="B75" s="2" t="s">
        <v>104</v>
      </c>
      <c r="C75" s="5"/>
      <c r="D75" s="5"/>
      <c r="E75" s="5"/>
      <c r="F75" s="5"/>
      <c r="G75" s="5"/>
      <c r="H75" s="5"/>
      <c r="I75" s="5"/>
      <c r="J75" s="5"/>
      <c r="K75" s="5">
        <v>385.5</v>
      </c>
      <c r="L75" s="5">
        <f>759.2-K75</f>
        <v>373.70000000000005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s="2" customFormat="1" x14ac:dyDescent="0.2">
      <c r="B76" s="2" t="s">
        <v>105</v>
      </c>
      <c r="C76" s="5"/>
      <c r="D76" s="5"/>
      <c r="E76" s="5"/>
      <c r="F76" s="5"/>
      <c r="G76" s="5"/>
      <c r="H76" s="5"/>
      <c r="I76" s="5"/>
      <c r="J76" s="5"/>
      <c r="K76" s="5">
        <v>30.6</v>
      </c>
      <c r="L76" s="5">
        <f>168.6-K76</f>
        <v>138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s="2" customFormat="1" x14ac:dyDescent="0.2">
      <c r="B77" s="2" t="s">
        <v>106</v>
      </c>
      <c r="C77" s="5"/>
      <c r="D77" s="5"/>
      <c r="E77" s="5"/>
      <c r="F77" s="5"/>
      <c r="G77" s="5"/>
      <c r="H77" s="5"/>
      <c r="I77" s="5"/>
      <c r="J77" s="5"/>
      <c r="K77" s="5">
        <v>62</v>
      </c>
      <c r="L77" s="5">
        <f>127-K77</f>
        <v>65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s="2" customFormat="1" x14ac:dyDescent="0.2">
      <c r="B78" s="2" t="s">
        <v>133</v>
      </c>
      <c r="C78" s="5"/>
      <c r="D78" s="5"/>
      <c r="E78" s="5"/>
      <c r="F78" s="5"/>
      <c r="G78" s="5"/>
      <c r="H78" s="5"/>
      <c r="I78" s="5"/>
      <c r="J78" s="5"/>
      <c r="K78" s="5">
        <v>0</v>
      </c>
      <c r="L78" s="5">
        <f>-3.4-K78</f>
        <v>-3.4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s="2" customFormat="1" x14ac:dyDescent="0.2">
      <c r="B79" s="2" t="s">
        <v>107</v>
      </c>
      <c r="C79" s="5"/>
      <c r="D79" s="5"/>
      <c r="E79" s="5"/>
      <c r="F79" s="5"/>
      <c r="G79" s="5"/>
      <c r="H79" s="5"/>
      <c r="I79" s="5"/>
      <c r="J79" s="5"/>
      <c r="K79" s="5">
        <v>-1429.5</v>
      </c>
      <c r="L79" s="5">
        <f>-1399.9-K79</f>
        <v>29.599999999999909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s="2" customFormat="1" x14ac:dyDescent="0.2">
      <c r="B80" s="2" t="s">
        <v>36</v>
      </c>
      <c r="C80" s="5"/>
      <c r="D80" s="5"/>
      <c r="E80" s="5"/>
      <c r="F80" s="5"/>
      <c r="G80" s="5"/>
      <c r="H80" s="5"/>
      <c r="I80" s="5"/>
      <c r="J80" s="5"/>
      <c r="K80" s="5">
        <v>184.4</v>
      </c>
      <c r="L80" s="5">
        <f>235.6-K80</f>
        <v>51.199999999999989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s="6" customFormat="1" x14ac:dyDescent="0.2">
      <c r="B81" s="6" t="s">
        <v>108</v>
      </c>
      <c r="C81" s="7"/>
      <c r="D81" s="7"/>
      <c r="E81" s="7"/>
      <c r="F81" s="7"/>
      <c r="G81" s="7"/>
      <c r="H81" s="7"/>
      <c r="I81" s="7"/>
      <c r="J81" s="7"/>
      <c r="K81" s="7">
        <f>SUM(K74:K80)</f>
        <v>-326.89999999999998</v>
      </c>
      <c r="L81" s="7">
        <f>SUM(L74:L80)</f>
        <v>1401.8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 s="2" customFormat="1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s="2" customFormat="1" x14ac:dyDescent="0.2">
      <c r="B83" s="2" t="s">
        <v>99</v>
      </c>
      <c r="C83" s="5"/>
      <c r="D83" s="5"/>
      <c r="E83" s="5"/>
      <c r="F83" s="5"/>
      <c r="G83" s="5"/>
      <c r="H83" s="5"/>
      <c r="I83" s="5"/>
      <c r="J83" s="5"/>
      <c r="K83" s="5">
        <v>-154.30000000000001</v>
      </c>
      <c r="L83" s="5">
        <f>-399.7-K83</f>
        <v>-245.39999999999998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s="2" customFormat="1" x14ac:dyDescent="0.2">
      <c r="B84" s="2" t="s">
        <v>109</v>
      </c>
      <c r="C84" s="5"/>
      <c r="D84" s="5"/>
      <c r="E84" s="5"/>
      <c r="F84" s="5"/>
      <c r="G84" s="5"/>
      <c r="H84" s="5"/>
      <c r="I84" s="5"/>
      <c r="J84" s="5"/>
      <c r="K84" s="5">
        <f>521.6-98.4+338.9-716.7</f>
        <v>45.399999999999977</v>
      </c>
      <c r="L84" s="5">
        <f>925.4-265.3+919.3-2269.2-K84</f>
        <v>-735.19999999999993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s="2" customFormat="1" x14ac:dyDescent="0.2">
      <c r="B85" s="2" t="s">
        <v>134</v>
      </c>
      <c r="C85" s="5"/>
      <c r="D85" s="5"/>
      <c r="E85" s="5"/>
      <c r="F85" s="5"/>
      <c r="G85" s="5"/>
      <c r="H85" s="5"/>
      <c r="I85" s="5"/>
      <c r="J85" s="5"/>
      <c r="K85" s="5">
        <v>0</v>
      </c>
      <c r="L85" s="5">
        <v>-45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s="2" customFormat="1" x14ac:dyDescent="0.2">
      <c r="B86" s="2" t="s">
        <v>36</v>
      </c>
      <c r="C86" s="5"/>
      <c r="D86" s="5"/>
      <c r="E86" s="5"/>
      <c r="F86" s="5"/>
      <c r="G86" s="5"/>
      <c r="H86" s="5"/>
      <c r="I86" s="5"/>
      <c r="J86" s="5"/>
      <c r="K86" s="5">
        <v>-36.5</v>
      </c>
      <c r="L86" s="5">
        <f>-31.8-K86</f>
        <v>4.6999999999999993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s="6" customFormat="1" x14ac:dyDescent="0.2">
      <c r="B87" s="6" t="s">
        <v>110</v>
      </c>
      <c r="C87" s="7"/>
      <c r="D87" s="7"/>
      <c r="E87" s="7"/>
      <c r="F87" s="7"/>
      <c r="G87" s="7"/>
      <c r="H87" s="7"/>
      <c r="I87" s="7"/>
      <c r="J87" s="7"/>
      <c r="K87" s="7">
        <f>SUM(K83:K86)</f>
        <v>-145.40000000000003</v>
      </c>
      <c r="L87" s="7">
        <f>SUM(L83:L86)</f>
        <v>-1020.8999999999999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 s="2" customFormat="1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s="2" customFormat="1" x14ac:dyDescent="0.2">
      <c r="B89" s="2" t="s">
        <v>88</v>
      </c>
      <c r="C89" s="5"/>
      <c r="D89" s="5"/>
      <c r="E89" s="5"/>
      <c r="F89" s="5"/>
      <c r="G89" s="5"/>
      <c r="H89" s="5"/>
      <c r="I89" s="5"/>
      <c r="J89" s="5"/>
      <c r="K89" s="5">
        <v>-538.29999999999995</v>
      </c>
      <c r="L89" s="5">
        <f>-1079.5-K89</f>
        <v>-541.20000000000005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s="2" customFormat="1" x14ac:dyDescent="0.2">
      <c r="B90" s="2" t="s">
        <v>111</v>
      </c>
      <c r="C90" s="5"/>
      <c r="D90" s="5"/>
      <c r="E90" s="5"/>
      <c r="F90" s="5"/>
      <c r="G90" s="5"/>
      <c r="H90" s="5"/>
      <c r="I90" s="5"/>
      <c r="J90" s="5"/>
      <c r="K90" s="5">
        <v>-1.1000000000000001</v>
      </c>
      <c r="L90" s="5">
        <f>-1.4-K90</f>
        <v>-0.29999999999999982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s="2" customFormat="1" x14ac:dyDescent="0.2">
      <c r="B91" s="2" t="s">
        <v>3</v>
      </c>
      <c r="C91" s="5"/>
      <c r="D91" s="5"/>
      <c r="E91" s="5"/>
      <c r="F91" s="5"/>
      <c r="G91" s="5"/>
      <c r="H91" s="5"/>
      <c r="I91" s="5"/>
      <c r="J91" s="5"/>
      <c r="K91" s="5">
        <v>0</v>
      </c>
      <c r="L91" s="5">
        <f>1206.6-0.1-K91</f>
        <v>1206.5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s="2" customFormat="1" x14ac:dyDescent="0.2">
      <c r="B92" s="2" t="s">
        <v>112</v>
      </c>
      <c r="C92" s="5"/>
      <c r="D92" s="5"/>
      <c r="E92" s="5"/>
      <c r="F92" s="5"/>
      <c r="G92" s="5"/>
      <c r="H92" s="5"/>
      <c r="I92" s="5"/>
      <c r="J92" s="5"/>
      <c r="K92" s="5">
        <v>-300.10000000000002</v>
      </c>
      <c r="L92" s="5">
        <f>-300.1-K92</f>
        <v>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s="2" customFormat="1" x14ac:dyDescent="0.2">
      <c r="B93" s="2" t="s">
        <v>36</v>
      </c>
      <c r="C93" s="5"/>
      <c r="D93" s="5"/>
      <c r="E93" s="5"/>
      <c r="F93" s="5"/>
      <c r="G93" s="5"/>
      <c r="H93" s="5"/>
      <c r="I93" s="5"/>
      <c r="J93" s="5"/>
      <c r="K93" s="5">
        <v>23.1</v>
      </c>
      <c r="L93" s="5">
        <f>-62.5-K93</f>
        <v>-85.6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s="6" customFormat="1" x14ac:dyDescent="0.2">
      <c r="B94" s="6" t="s">
        <v>113</v>
      </c>
      <c r="C94" s="7"/>
      <c r="D94" s="7"/>
      <c r="E94" s="7"/>
      <c r="F94" s="7"/>
      <c r="G94" s="7"/>
      <c r="H94" s="7"/>
      <c r="I94" s="7"/>
      <c r="J94" s="7"/>
      <c r="K94" s="7">
        <f>SUM(K89:K93)</f>
        <v>-816.4</v>
      </c>
      <c r="L94" s="7">
        <f>SUM(L89:L93)</f>
        <v>579.4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 s="2" customFormat="1" x14ac:dyDescent="0.2">
      <c r="B95" s="2" t="s">
        <v>114</v>
      </c>
      <c r="C95" s="5"/>
      <c r="D95" s="5"/>
      <c r="E95" s="5"/>
      <c r="F95" s="5"/>
      <c r="G95" s="5"/>
      <c r="H95" s="5"/>
      <c r="I95" s="5"/>
      <c r="J95" s="5"/>
      <c r="K95" s="5">
        <v>-70.099999999999994</v>
      </c>
      <c r="L95" s="5">
        <f>-100-K95</f>
        <v>-29.900000000000006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s="2" customFormat="1" x14ac:dyDescent="0.2">
      <c r="B96" s="2" t="s">
        <v>115</v>
      </c>
      <c r="C96" s="5"/>
      <c r="D96" s="5"/>
      <c r="E96" s="5"/>
      <c r="F96" s="5"/>
      <c r="G96" s="5"/>
      <c r="H96" s="5"/>
      <c r="I96" s="5"/>
      <c r="J96" s="5"/>
      <c r="K96" s="5">
        <f>+K95+K94+K87+K81</f>
        <v>-1358.8000000000002</v>
      </c>
      <c r="L96" s="5">
        <f>+L95+L94+L87+L81</f>
        <v>930.40000000000009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8" spans="2:12" x14ac:dyDescent="0.2">
      <c r="B98" s="2" t="s">
        <v>132</v>
      </c>
      <c r="J98" s="5">
        <v>41275</v>
      </c>
      <c r="K98" s="5"/>
      <c r="L98" s="5">
        <v>41900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2016-05-12T21:49:48Z</dcterms:created>
  <dcterms:modified xsi:type="dcterms:W3CDTF">2016-10-16T08:52:44Z</dcterms:modified>
</cp:coreProperties>
</file>