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405" windowHeight="12150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2" l="1"/>
  <c r="P29" i="2"/>
  <c r="P28" i="2"/>
  <c r="P27" i="2"/>
  <c r="Q21" i="2"/>
  <c r="P14" i="2"/>
  <c r="P9" i="2"/>
  <c r="Q30" i="2"/>
  <c r="Q29" i="2"/>
  <c r="Q28" i="2"/>
  <c r="Q27" i="2"/>
  <c r="R21" i="2"/>
  <c r="S19" i="2"/>
  <c r="R19" i="2"/>
  <c r="Q19" i="2"/>
  <c r="Q14" i="2"/>
  <c r="Q9" i="2"/>
  <c r="T21" i="2"/>
  <c r="S21" i="2"/>
  <c r="R30" i="2"/>
  <c r="R29" i="2"/>
  <c r="R28" i="2"/>
  <c r="R27" i="2"/>
  <c r="S30" i="2"/>
  <c r="S29" i="2"/>
  <c r="S28" i="2"/>
  <c r="S27" i="2"/>
  <c r="R16" i="2"/>
  <c r="R14" i="2"/>
  <c r="R9" i="2"/>
  <c r="S16" i="2"/>
  <c r="S9" i="2"/>
  <c r="S14" i="2"/>
  <c r="P15" i="2" l="1"/>
  <c r="P17" i="2" s="1"/>
  <c r="P19" i="2" s="1"/>
  <c r="Q15" i="2"/>
  <c r="Q17" i="2" s="1"/>
  <c r="R15" i="2"/>
  <c r="R17" i="2" s="1"/>
  <c r="S15" i="2"/>
  <c r="S17" i="2" s="1"/>
  <c r="J29" i="2"/>
  <c r="I29" i="2"/>
  <c r="H29" i="2"/>
  <c r="G29" i="2"/>
  <c r="F29" i="2"/>
  <c r="J28" i="2"/>
  <c r="I28" i="2"/>
  <c r="H28" i="2"/>
  <c r="G28" i="2"/>
  <c r="F28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T18" i="2"/>
  <c r="T16" i="2"/>
  <c r="T13" i="2"/>
  <c r="T12" i="2"/>
  <c r="T11" i="2"/>
  <c r="T29" i="2" s="1"/>
  <c r="T10" i="2"/>
  <c r="T14" i="2" s="1"/>
  <c r="T7" i="2"/>
  <c r="K13" i="2"/>
  <c r="H15" i="2"/>
  <c r="G15" i="2"/>
  <c r="J14" i="2"/>
  <c r="I14" i="2"/>
  <c r="H14" i="2"/>
  <c r="G14" i="2"/>
  <c r="F14" i="2"/>
  <c r="J88" i="2"/>
  <c r="J90" i="2" s="1"/>
  <c r="J91" i="2" s="1"/>
  <c r="J92" i="2" s="1"/>
  <c r="F68" i="2"/>
  <c r="F69" i="2" s="1"/>
  <c r="G68" i="2"/>
  <c r="G69" i="2" s="1"/>
  <c r="H68" i="2"/>
  <c r="H69" i="2" s="1"/>
  <c r="I68" i="2"/>
  <c r="I69" i="2" s="1"/>
  <c r="J68" i="2"/>
  <c r="J69" i="2" s="1"/>
  <c r="F59" i="2"/>
  <c r="F53" i="2"/>
  <c r="F61" i="2" s="1"/>
  <c r="G59" i="2"/>
  <c r="G53" i="2"/>
  <c r="H53" i="2"/>
  <c r="H59" i="2"/>
  <c r="I59" i="2"/>
  <c r="I53" i="2"/>
  <c r="I61" i="2"/>
  <c r="J59" i="2"/>
  <c r="J53" i="2"/>
  <c r="J52" i="2" s="1"/>
  <c r="J61" i="2"/>
  <c r="K7" i="2"/>
  <c r="K22" i="2" s="1"/>
  <c r="J38" i="2"/>
  <c r="J41" i="2"/>
  <c r="J48" i="2" s="1"/>
  <c r="J50" i="2" s="1"/>
  <c r="J36" i="2"/>
  <c r="C3" i="1"/>
  <c r="C4" i="1"/>
  <c r="C5" i="1"/>
  <c r="K16" i="2"/>
  <c r="L16" i="2" s="1"/>
  <c r="M16" i="2" s="1"/>
  <c r="N16" i="2" s="1"/>
  <c r="N12" i="2"/>
  <c r="N25" i="2" s="1"/>
  <c r="M12" i="2"/>
  <c r="M25" i="2" s="1"/>
  <c r="L12" i="2"/>
  <c r="L25" i="2" s="1"/>
  <c r="K12" i="2"/>
  <c r="K25" i="2" s="1"/>
  <c r="N11" i="2"/>
  <c r="N24" i="2" s="1"/>
  <c r="M11" i="2"/>
  <c r="M24" i="2" s="1"/>
  <c r="L11" i="2"/>
  <c r="L24" i="2" s="1"/>
  <c r="K11" i="2"/>
  <c r="K24" i="2" s="1"/>
  <c r="N10" i="2"/>
  <c r="N23" i="2" s="1"/>
  <c r="M10" i="2"/>
  <c r="M23" i="2" s="1"/>
  <c r="L10" i="2"/>
  <c r="L23" i="2" s="1"/>
  <c r="K10" i="2"/>
  <c r="K23" i="2" s="1"/>
  <c r="J25" i="2"/>
  <c r="J24" i="2"/>
  <c r="J23" i="2"/>
  <c r="J22" i="2"/>
  <c r="I22" i="2"/>
  <c r="H22" i="2"/>
  <c r="G22" i="2"/>
  <c r="J27" i="2"/>
  <c r="J21" i="2"/>
  <c r="I9" i="2"/>
  <c r="I27" i="2" s="1"/>
  <c r="H9" i="2"/>
  <c r="H27" i="2" s="1"/>
  <c r="G9" i="2"/>
  <c r="G27" i="2" s="1"/>
  <c r="F9" i="2"/>
  <c r="F27" i="2" s="1"/>
  <c r="J9" i="2"/>
  <c r="S2" i="2"/>
  <c r="T2" i="2" s="1"/>
  <c r="U2" i="2" s="1"/>
  <c r="V2" i="2" s="1"/>
  <c r="W2" i="2" s="1"/>
  <c r="K5" i="1"/>
  <c r="K3" i="1"/>
  <c r="K4" i="1" s="1"/>
  <c r="K7" i="1" s="1"/>
  <c r="T28" i="2" l="1"/>
  <c r="I15" i="2"/>
  <c r="G61" i="2"/>
  <c r="L13" i="2"/>
  <c r="M13" i="2" s="1"/>
  <c r="N13" i="2" s="1"/>
  <c r="F15" i="2"/>
  <c r="J15" i="2"/>
  <c r="J30" i="2" s="1"/>
  <c r="K28" i="2"/>
  <c r="U16" i="2"/>
  <c r="T9" i="2"/>
  <c r="H61" i="2"/>
  <c r="U10" i="2"/>
  <c r="K29" i="2"/>
  <c r="U11" i="2"/>
  <c r="U12" i="2"/>
  <c r="V12" i="2" s="1"/>
  <c r="M14" i="2"/>
  <c r="N14" i="2"/>
  <c r="K9" i="2"/>
  <c r="L14" i="2"/>
  <c r="K21" i="2"/>
  <c r="K14" i="2"/>
  <c r="L7" i="2"/>
  <c r="M7" i="2" s="1"/>
  <c r="J43" i="2"/>
  <c r="J45" i="2" s="1"/>
  <c r="J46" i="2" s="1"/>
  <c r="M22" i="2" l="1"/>
  <c r="M29" i="2"/>
  <c r="M28" i="2"/>
  <c r="K8" i="2"/>
  <c r="K15" i="2"/>
  <c r="K30" i="2" s="1"/>
  <c r="J17" i="2"/>
  <c r="J19" i="2" s="1"/>
  <c r="J74" i="2" s="1"/>
  <c r="T27" i="2"/>
  <c r="T15" i="2"/>
  <c r="L28" i="2"/>
  <c r="U13" i="2"/>
  <c r="V13" i="2" s="1"/>
  <c r="W13" i="2" s="1"/>
  <c r="X13" i="2" s="1"/>
  <c r="Y13" i="2" s="1"/>
  <c r="Z13" i="2" s="1"/>
  <c r="K27" i="2"/>
  <c r="L29" i="2"/>
  <c r="T8" i="2"/>
  <c r="W12" i="2"/>
  <c r="K17" i="2"/>
  <c r="K18" i="2" s="1"/>
  <c r="G17" i="2"/>
  <c r="G19" i="2" s="1"/>
  <c r="G30" i="2"/>
  <c r="F17" i="2"/>
  <c r="F19" i="2" s="1"/>
  <c r="F74" i="2" s="1"/>
  <c r="F30" i="2"/>
  <c r="I17" i="2"/>
  <c r="I19" i="2" s="1"/>
  <c r="I74" i="2" s="1"/>
  <c r="I30" i="2"/>
  <c r="L9" i="2"/>
  <c r="L22" i="2"/>
  <c r="L21" i="2"/>
  <c r="H17" i="2"/>
  <c r="H19" i="2" s="1"/>
  <c r="H74" i="2" s="1"/>
  <c r="H30" i="2"/>
  <c r="N7" i="2"/>
  <c r="M21" i="2"/>
  <c r="M9" i="2"/>
  <c r="M15" i="2" s="1"/>
  <c r="T30" i="2" l="1"/>
  <c r="T17" i="2"/>
  <c r="T19" i="2" s="1"/>
  <c r="N22" i="2"/>
  <c r="N29" i="2"/>
  <c r="N28" i="2"/>
  <c r="U14" i="2"/>
  <c r="X12" i="2"/>
  <c r="AA13" i="2"/>
  <c r="K19" i="2"/>
  <c r="K52" i="2" s="1"/>
  <c r="J71" i="2"/>
  <c r="G74" i="2"/>
  <c r="J72" i="2"/>
  <c r="L15" i="2"/>
  <c r="L27" i="2"/>
  <c r="L8" i="2"/>
  <c r="M27" i="2"/>
  <c r="M8" i="2"/>
  <c r="N9" i="2"/>
  <c r="N15" i="2" s="1"/>
  <c r="N17" i="2" s="1"/>
  <c r="N21" i="2"/>
  <c r="U7" i="2"/>
  <c r="V7" i="2" l="1"/>
  <c r="U21" i="2"/>
  <c r="U28" i="2"/>
  <c r="U29" i="2"/>
  <c r="U9" i="2"/>
  <c r="U27" i="2" s="1"/>
  <c r="Y12" i="2"/>
  <c r="AB13" i="2"/>
  <c r="M17" i="2"/>
  <c r="M18" i="2" s="1"/>
  <c r="M19" i="2" s="1"/>
  <c r="M30" i="2"/>
  <c r="N27" i="2"/>
  <c r="L17" i="2"/>
  <c r="L18" i="2" s="1"/>
  <c r="L30" i="2"/>
  <c r="N8" i="2"/>
  <c r="U15" i="2" l="1"/>
  <c r="U8" i="2"/>
  <c r="W7" i="2"/>
  <c r="V10" i="2"/>
  <c r="V21" i="2"/>
  <c r="V11" i="2"/>
  <c r="V9" i="2"/>
  <c r="Z12" i="2"/>
  <c r="AC13" i="2"/>
  <c r="L19" i="2"/>
  <c r="L52" i="2" s="1"/>
  <c r="M52" i="2" s="1"/>
  <c r="N52" i="2" s="1"/>
  <c r="U52" i="2" s="1"/>
  <c r="N18" i="2"/>
  <c r="N19" i="2" s="1"/>
  <c r="N30" i="2"/>
  <c r="V28" i="2" l="1"/>
  <c r="V14" i="2"/>
  <c r="V15" i="2" s="1"/>
  <c r="X7" i="2"/>
  <c r="W9" i="2"/>
  <c r="W27" i="2" s="1"/>
  <c r="W10" i="2"/>
  <c r="W21" i="2"/>
  <c r="W11" i="2"/>
  <c r="W8" i="2"/>
  <c r="V8" i="2"/>
  <c r="V27" i="2"/>
  <c r="U17" i="2"/>
  <c r="U30" i="2"/>
  <c r="AA12" i="2"/>
  <c r="AD13" i="2"/>
  <c r="U18" i="2"/>
  <c r="U19" i="2" l="1"/>
  <c r="Y7" i="2"/>
  <c r="X10" i="2"/>
  <c r="X9" i="2"/>
  <c r="X27" i="2" s="1"/>
  <c r="X11" i="2"/>
  <c r="X21" i="2"/>
  <c r="X8" i="2"/>
  <c r="W28" i="2"/>
  <c r="W14" i="2"/>
  <c r="W15" i="2" s="1"/>
  <c r="W30" i="2" s="1"/>
  <c r="V17" i="2"/>
  <c r="V18" i="2" s="1"/>
  <c r="V19" i="2" s="1"/>
  <c r="V52" i="2" s="1"/>
  <c r="W16" i="2" s="1"/>
  <c r="W17" i="2" s="1"/>
  <c r="W18" i="2" s="1"/>
  <c r="W19" i="2" s="1"/>
  <c r="W52" i="2" s="1"/>
  <c r="X16" i="2" s="1"/>
  <c r="V30" i="2"/>
  <c r="AB12" i="2"/>
  <c r="AE13" i="2"/>
  <c r="Y10" i="2" l="1"/>
  <c r="Y21" i="2"/>
  <c r="Y11" i="2"/>
  <c r="Y9" i="2"/>
  <c r="Y27" i="2" s="1"/>
  <c r="Z7" i="2"/>
  <c r="Y8" i="2"/>
  <c r="X28" i="2"/>
  <c r="X14" i="2"/>
  <c r="X15" i="2" s="1"/>
  <c r="X30" i="2" s="1"/>
  <c r="AC12" i="2"/>
  <c r="AF13" i="2"/>
  <c r="AA7" i="2" l="1"/>
  <c r="Z9" i="2"/>
  <c r="Z27" i="2" s="1"/>
  <c r="Z10" i="2"/>
  <c r="Z11" i="2"/>
  <c r="Z21" i="2"/>
  <c r="Z8" i="2"/>
  <c r="Y28" i="2"/>
  <c r="Y14" i="2"/>
  <c r="Y15" i="2" s="1"/>
  <c r="Y30" i="2" s="1"/>
  <c r="X17" i="2"/>
  <c r="X18" i="2" s="1"/>
  <c r="X19" i="2" s="1"/>
  <c r="X52" i="2" s="1"/>
  <c r="Y16" i="2" s="1"/>
  <c r="Y17" i="2" s="1"/>
  <c r="Y18" i="2" s="1"/>
  <c r="Y19" i="2" s="1"/>
  <c r="Y52" i="2" s="1"/>
  <c r="Z16" i="2" s="1"/>
  <c r="AD12" i="2"/>
  <c r="AG13" i="2"/>
  <c r="Z28" i="2" l="1"/>
  <c r="Z14" i="2"/>
  <c r="Z15" i="2" s="1"/>
  <c r="Z30" i="2" s="1"/>
  <c r="AA9" i="2"/>
  <c r="AA27" i="2" s="1"/>
  <c r="AB7" i="2"/>
  <c r="AA11" i="2"/>
  <c r="AA8" i="2"/>
  <c r="AA21" i="2"/>
  <c r="AA10" i="2"/>
  <c r="AE12" i="2"/>
  <c r="AH13" i="2"/>
  <c r="AB11" i="2" l="1"/>
  <c r="AB10" i="2"/>
  <c r="AB9" i="2"/>
  <c r="AB27" i="2" s="1"/>
  <c r="AC7" i="2"/>
  <c r="AA28" i="2"/>
  <c r="AA14" i="2"/>
  <c r="AA15" i="2" s="1"/>
  <c r="AA30" i="2" s="1"/>
  <c r="Z17" i="2"/>
  <c r="Z18" i="2" s="1"/>
  <c r="Z19" i="2" s="1"/>
  <c r="Z52" i="2" s="1"/>
  <c r="AA16" i="2" s="1"/>
  <c r="AA17" i="2" s="1"/>
  <c r="AF12" i="2"/>
  <c r="AI13" i="2"/>
  <c r="AB28" i="2" l="1"/>
  <c r="AB14" i="2"/>
  <c r="AB15" i="2" s="1"/>
  <c r="AB30" i="2" s="1"/>
  <c r="AC9" i="2"/>
  <c r="AC27" i="2" s="1"/>
  <c r="AD7" i="2"/>
  <c r="AC10" i="2"/>
  <c r="AC11" i="2"/>
  <c r="AC8" i="2"/>
  <c r="AB8" i="2"/>
  <c r="AA18" i="2"/>
  <c r="AA19" i="2" s="1"/>
  <c r="AA52" i="2" s="1"/>
  <c r="AB16" i="2" s="1"/>
  <c r="AB17" i="2" s="1"/>
  <c r="AB18" i="2" s="1"/>
  <c r="AB19" i="2" s="1"/>
  <c r="AB52" i="2" s="1"/>
  <c r="AC16" i="2" s="1"/>
  <c r="AG12" i="2"/>
  <c r="AD10" i="2" l="1"/>
  <c r="AD11" i="2"/>
  <c r="AE7" i="2"/>
  <c r="AD9" i="2"/>
  <c r="AD27" i="2" s="1"/>
  <c r="AC28" i="2"/>
  <c r="AC14" i="2"/>
  <c r="AC15" i="2" s="1"/>
  <c r="AC30" i="2" s="1"/>
  <c r="AH12" i="2"/>
  <c r="AD8" i="2" l="1"/>
  <c r="AF7" i="2"/>
  <c r="AE10" i="2"/>
  <c r="AE11" i="2"/>
  <c r="AE9" i="2"/>
  <c r="AE27" i="2" s="1"/>
  <c r="AE8" i="2"/>
  <c r="AD28" i="2"/>
  <c r="AD14" i="2"/>
  <c r="AD15" i="2" s="1"/>
  <c r="AD30" i="2" s="1"/>
  <c r="AC17" i="2"/>
  <c r="AI12" i="2"/>
  <c r="AF11" i="2" l="1"/>
  <c r="AF9" i="2"/>
  <c r="AF27" i="2" s="1"/>
  <c r="AG7" i="2"/>
  <c r="AF10" i="2"/>
  <c r="AC18" i="2"/>
  <c r="AC19" i="2" s="1"/>
  <c r="AC52" i="2" s="1"/>
  <c r="AD16" i="2" s="1"/>
  <c r="AD17" i="2" s="1"/>
  <c r="AD18" i="2" s="1"/>
  <c r="AD19" i="2" s="1"/>
  <c r="AD52" i="2" s="1"/>
  <c r="AE16" i="2" s="1"/>
  <c r="AE17" i="2" s="1"/>
  <c r="AE18" i="2" s="1"/>
  <c r="AE19" i="2" s="1"/>
  <c r="AE52" i="2" s="1"/>
  <c r="AF16" i="2" s="1"/>
  <c r="AE28" i="2"/>
  <c r="AE14" i="2"/>
  <c r="AE15" i="2" s="1"/>
  <c r="AE30" i="2" s="1"/>
  <c r="AF28" i="2" l="1"/>
  <c r="AF14" i="2"/>
  <c r="AF15" i="2" s="1"/>
  <c r="AF30" i="2" s="1"/>
  <c r="AG11" i="2"/>
  <c r="AG10" i="2"/>
  <c r="AH7" i="2"/>
  <c r="AG9" i="2"/>
  <c r="AG27" i="2" s="1"/>
  <c r="AG8" i="2"/>
  <c r="AF8" i="2"/>
  <c r="AH10" i="2" l="1"/>
  <c r="AI7" i="2"/>
  <c r="AH9" i="2"/>
  <c r="AH27" i="2" s="1"/>
  <c r="AH11" i="2"/>
  <c r="AG28" i="2"/>
  <c r="AG14" i="2"/>
  <c r="AG15" i="2" s="1"/>
  <c r="AG30" i="2" s="1"/>
  <c r="AF17" i="2"/>
  <c r="AF18" i="2" s="1"/>
  <c r="AF19" i="2" s="1"/>
  <c r="AF52" i="2" s="1"/>
  <c r="AG16" i="2" s="1"/>
  <c r="AG17" i="2" s="1"/>
  <c r="AG18" i="2" s="1"/>
  <c r="AG19" i="2" s="1"/>
  <c r="AG52" i="2" s="1"/>
  <c r="AH16" i="2" s="1"/>
  <c r="AH8" i="2" l="1"/>
  <c r="AI11" i="2"/>
  <c r="AI9" i="2"/>
  <c r="AI27" i="2" s="1"/>
  <c r="AI10" i="2"/>
  <c r="AI8" i="2"/>
  <c r="AH28" i="2"/>
  <c r="AH14" i="2"/>
  <c r="AH15" i="2" s="1"/>
  <c r="AH30" i="2" s="1"/>
  <c r="AI28" i="2" l="1"/>
  <c r="AI14" i="2"/>
  <c r="AI15" i="2" s="1"/>
  <c r="AI30" i="2" s="1"/>
  <c r="AH17" i="2"/>
  <c r="AH18" i="2" s="1"/>
  <c r="AH19" i="2" s="1"/>
  <c r="AH52" i="2" s="1"/>
  <c r="AI16" i="2" l="1"/>
  <c r="AI17" i="2" s="1"/>
  <c r="AI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AL24" i="2" s="1"/>
  <c r="AL25" i="2" s="1"/>
  <c r="AL26" i="2" s="1"/>
  <c r="AI52" i="2" l="1"/>
</calcChain>
</file>

<file path=xl/comments1.xml><?xml version="1.0" encoding="utf-8"?>
<comments xmlns="http://schemas.openxmlformats.org/spreadsheetml/2006/main">
  <authors>
    <author>Martin Shkreli</author>
  </authors>
  <commentList>
    <comment ref="U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Q4: guided to 3.60-3.65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39% CC</t>
        </r>
      </text>
    </comment>
  </commentList>
</comments>
</file>

<file path=xl/sharedStrings.xml><?xml version="1.0" encoding="utf-8"?>
<sst xmlns="http://schemas.openxmlformats.org/spreadsheetml/2006/main" count="117" uniqueCount="102">
  <si>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</si>
  <si>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</si>
  <si>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</si>
  <si>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</si>
  <si>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</si>
  <si>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</si>
  <si>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</si>
  <si>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</si>
  <si>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</si>
  <si>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</si>
  <si>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</si>
  <si>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</si>
  <si>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</si>
  <si>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</si>
  <si>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</si>
  <si>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</si>
  <si>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</si>
  <si>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</si>
  <si>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</si>
  <si>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Net Income</t>
  </si>
  <si>
    <t>Taxes</t>
  </si>
  <si>
    <t>Pretax Income</t>
  </si>
  <si>
    <t>Interest Income</t>
  </si>
  <si>
    <t>Operating Income</t>
  </si>
  <si>
    <t>Operating Expenses</t>
  </si>
  <si>
    <t>COGS</t>
  </si>
  <si>
    <t>Gross Profit</t>
  </si>
  <si>
    <t>S&amp;M</t>
  </si>
  <si>
    <t>R&amp;D</t>
  </si>
  <si>
    <t>G&amp;A</t>
  </si>
  <si>
    <t>Revenue Growth</t>
  </si>
  <si>
    <t>Gross Margin</t>
  </si>
  <si>
    <t>Operating Margin</t>
  </si>
  <si>
    <t>Revenue Growth q/q</t>
  </si>
  <si>
    <t>S&amp;M y/y</t>
  </si>
  <si>
    <t>R&amp;D y/y</t>
  </si>
  <si>
    <t>G&amp;A y/y</t>
  </si>
  <si>
    <t>Open Listings</t>
  </si>
  <si>
    <t>Talent Solutions</t>
  </si>
  <si>
    <t>Name</t>
  </si>
  <si>
    <t>% of revenue</t>
  </si>
  <si>
    <t>Marketing Solutions</t>
  </si>
  <si>
    <t>Premium Subscriptions</t>
  </si>
  <si>
    <t>Competition</t>
  </si>
  <si>
    <t>GOOG, FB, BIDU, TWTR</t>
  </si>
  <si>
    <t>Description</t>
  </si>
  <si>
    <t>Ads???</t>
  </si>
  <si>
    <t>Headhunter?</t>
  </si>
  <si>
    <t>Monster.Com? Indeed?</t>
  </si>
  <si>
    <t>Talent</t>
  </si>
  <si>
    <t>Marketing</t>
  </si>
  <si>
    <t>Premium</t>
  </si>
  <si>
    <t>US Labor Force</t>
  </si>
  <si>
    <t>US Unemployed</t>
  </si>
  <si>
    <t>US Population</t>
  </si>
  <si>
    <t>Participation</t>
  </si>
  <si>
    <t>EU Population</t>
  </si>
  <si>
    <t>EU Labor Force</t>
  </si>
  <si>
    <t>Unemployment Rate</t>
  </si>
  <si>
    <t>EU Unemployed</t>
  </si>
  <si>
    <t>TOTAL US+EU Unemployed</t>
  </si>
  <si>
    <t>Main</t>
  </si>
  <si>
    <t>Cumulative Members</t>
  </si>
  <si>
    <t>US+EU Labor Force</t>
  </si>
  <si>
    <t>A/R</t>
  </si>
  <si>
    <t>Deferred Commissions</t>
  </si>
  <si>
    <t>Assets</t>
  </si>
  <si>
    <t>Other</t>
  </si>
  <si>
    <t>Goodwill</t>
  </si>
  <si>
    <t>PP&amp;E</t>
  </si>
  <si>
    <t>OCA</t>
  </si>
  <si>
    <t>Prepaids</t>
  </si>
  <si>
    <t>A/P</t>
  </si>
  <si>
    <t>A/L</t>
  </si>
  <si>
    <t>D/R</t>
  </si>
  <si>
    <t>OLTL</t>
  </si>
  <si>
    <t>S/E</t>
  </si>
  <si>
    <t>L+S/E</t>
  </si>
  <si>
    <t>ROE</t>
  </si>
  <si>
    <t>Buffett Return</t>
  </si>
  <si>
    <t>Model NI</t>
  </si>
  <si>
    <t>Reported NI</t>
  </si>
  <si>
    <t>CFFO</t>
  </si>
  <si>
    <t>D&amp;A</t>
  </si>
  <si>
    <t>Doubtful</t>
  </si>
  <si>
    <t>Amortization of Investment</t>
  </si>
  <si>
    <t>Amortization of Debt Discount</t>
  </si>
  <si>
    <t>SBC</t>
  </si>
  <si>
    <t>SBC Tax Benefit</t>
  </si>
  <si>
    <t>D/C</t>
  </si>
  <si>
    <t>CapEx</t>
  </si>
  <si>
    <t>FCF</t>
  </si>
  <si>
    <t>FCF+SBC</t>
  </si>
  <si>
    <t>FCF+SBC+R&amp;D</t>
  </si>
  <si>
    <t>S&amp;M % of sales</t>
  </si>
  <si>
    <t>R&amp;D % of sales</t>
  </si>
  <si>
    <t>Net Cash</t>
  </si>
  <si>
    <t>Maturity</t>
  </si>
  <si>
    <t>Discount</t>
  </si>
  <si>
    <t>NPV</t>
  </si>
  <si>
    <t>Value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</si>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</sst>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3" fontId="0" fillId="0" borderId="0" xfId="0" applyNumberFormat="1" applyFont="1"/>
    <xf numFmtId="0" fontId="2" fillId="0" borderId="0" xfId="1"/>
    <xf numFmtId="1" fontId="0" fillId="0" borderId="0" xfId="0" applyNumberFormat="1"/>
    <xf numFmtId="1" fontId="0" fillId="0" borderId="0" xfId="0" applyNumberFormat="1" applyAlignment="1">
      <alignment horizontal="righ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28575</xdr:rowOff>
    </xdr:from>
    <xdr:to>
      <xdr:col>10</xdr:col>
      <xdr:colOff>38100</xdr:colOff>
      <xdr:row>95</xdr:row>
      <xdr:rowOff>142875</xdr:rowOff>
    </xdr:to>
    <xdr:cxnSp macro="">
      <xdr:nvCxnSpPr>
        <xdr:cNvPr id="3" name="Straight Connector 2"/>
        <xdr:cNvCxnSpPr/>
      </xdr:nvCxnSpPr>
      <xdr:spPr>
        <a:xfrm>
          <a:off x="7000875" y="28575"/>
          <a:ext cx="0" cy="1533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0</xdr:row>
      <xdr:rowOff>47625</xdr:rowOff>
    </xdr:from>
    <xdr:to>
      <xdr:col>20</xdr:col>
      <xdr:colOff>38100</xdr:colOff>
      <xdr:row>41</xdr:row>
      <xdr:rowOff>28575</xdr:rowOff>
    </xdr:to>
    <xdr:cxnSp macro="">
      <xdr:nvCxnSpPr>
        <xdr:cNvPr id="5" name="Straight Connector 4"/>
        <xdr:cNvCxnSpPr/>
      </xdr:nvCxnSpPr>
      <xdr:spPr>
        <a:xfrm>
          <a:off x="12487275" y="47625"/>
          <a:ext cx="0" cy="6619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tabSelected="1" workbookViewId="0">
      <selection activeCell="K3" sqref="K3"/>
    </sheetView>
  </sheetViews>
  <sheetFormatPr defaultRowHeight="12.75" x14ac:dyDescent="0.2"/>
  <cols>
    <col min="1" max="1" width="3.42578125" customWidth="1"/>
    <col min="2" max="2" width="20.5703125" bestFit="1" customWidth="1"/>
    <col min="3" max="3" width="11.5703125" bestFit="1" customWidth="1"/>
    <col min="4" max="4" width="22.85546875" customWidth="1"/>
    <col min="5" max="5" width="11.42578125" bestFit="1" customWidth="1"/>
  </cols>
  <sheetData>
    <row r="2" spans="2:12" x14ac:dyDescent="0.2">
      <c r="B2" s="18" t="s">
        <v>39</v>
      </c>
      <c r="C2" s="21" t="s">
        <v>40</v>
      </c>
      <c r="D2" s="21" t="s">
        <v>43</v>
      </c>
      <c r="E2" s="19" t="s">
        <v>45</v>
      </c>
      <c r="F2" s="19"/>
      <c r="G2" s="20"/>
      <c r="J2" t="s">
        <v>0</v>
      </c>
      <c r="K2" s="1">
        <v>120.48</v>
      </c>
    </row>
    <row r="3" spans="2:12" x14ac:dyDescent="0.2">
      <c r="B3" s="12" t="s">
        <v>38</v>
      </c>
      <c r="C3" s="22">
        <f>535/862</f>
        <v>0.62064965197215782</v>
      </c>
      <c r="D3" s="23" t="s">
        <v>48</v>
      </c>
      <c r="E3" s="13" t="s">
        <v>47</v>
      </c>
      <c r="F3" s="13"/>
      <c r="G3" s="14"/>
      <c r="J3" t="s">
        <v>1</v>
      </c>
      <c r="K3" s="2">
        <f>116.508+15.566</f>
        <v>132.07399999999998</v>
      </c>
      <c r="L3" s="3" t="s">
        <v>6</v>
      </c>
    </row>
    <row r="4" spans="2:12" x14ac:dyDescent="0.2">
      <c r="B4" s="12" t="s">
        <v>41</v>
      </c>
      <c r="C4" s="22">
        <f>183/862</f>
        <v>0.21229698375870071</v>
      </c>
      <c r="D4" s="23" t="s">
        <v>44</v>
      </c>
      <c r="E4" s="13" t="s">
        <v>46</v>
      </c>
      <c r="F4" s="13"/>
      <c r="G4" s="14"/>
      <c r="J4" t="s">
        <v>2</v>
      </c>
      <c r="K4" s="2">
        <f>+K3*K2</f>
        <v>15912.275519999999</v>
      </c>
    </row>
    <row r="5" spans="2:12" x14ac:dyDescent="0.2">
      <c r="B5" s="12" t="s">
        <v>42</v>
      </c>
      <c r="C5" s="22">
        <f>144/862</f>
        <v>0.16705336426914152</v>
      </c>
      <c r="D5" s="23" t="s">
        <v>48</v>
      </c>
      <c r="E5" s="25" t="s">
        <v>47</v>
      </c>
      <c r="F5" s="13"/>
      <c r="G5" s="14"/>
      <c r="J5" t="s">
        <v>3</v>
      </c>
      <c r="K5" s="2">
        <f>546.237+2573.145</f>
        <v>3119.3820000000001</v>
      </c>
      <c r="L5" s="3" t="s">
        <v>6</v>
      </c>
    </row>
    <row r="6" spans="2:12" x14ac:dyDescent="0.2">
      <c r="B6" s="12"/>
      <c r="C6" s="23"/>
      <c r="D6" s="23"/>
      <c r="E6" s="13"/>
      <c r="F6" s="13"/>
      <c r="G6" s="14"/>
      <c r="J6" t="s">
        <v>4</v>
      </c>
      <c r="K6" s="2">
        <v>1126.5340000000001</v>
      </c>
      <c r="L6" s="3" t="s">
        <v>6</v>
      </c>
    </row>
    <row r="7" spans="2:12" x14ac:dyDescent="0.2">
      <c r="B7" s="12"/>
      <c r="C7" s="23"/>
      <c r="D7" s="23"/>
      <c r="E7" s="13"/>
      <c r="F7" s="13"/>
      <c r="G7" s="14"/>
      <c r="J7" t="s">
        <v>5</v>
      </c>
      <c r="K7" s="2">
        <f>+K4-K5+K6</f>
        <v>13919.427519999999</v>
      </c>
    </row>
    <row r="8" spans="2:12" x14ac:dyDescent="0.2">
      <c r="B8" s="15"/>
      <c r="C8" s="24"/>
      <c r="D8" s="24"/>
      <c r="E8" s="16"/>
      <c r="F8" s="16"/>
      <c r="G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T92"/>
  <sheetViews>
    <sheetView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I13" sqref="AI13"/>
    </sheetView>
  </sheetViews>
  <sheetFormatPr defaultRowHeight="12.75" x14ac:dyDescent="0.2"/>
  <cols>
    <col min="1" max="1" width="5" bestFit="1" customWidth="1"/>
    <col min="2" max="2" width="26.42578125" bestFit="1" customWidth="1"/>
    <col min="3" max="9" width="9.140625" style="3"/>
    <col min="10" max="10" width="9" style="3" customWidth="1"/>
    <col min="11" max="14" width="9.140625" style="3"/>
    <col min="38" max="38" width="9.7109375" bestFit="1" customWidth="1"/>
  </cols>
  <sheetData>
    <row r="1" spans="1:35" x14ac:dyDescent="0.2">
      <c r="A1" s="27" t="s">
        <v>61</v>
      </c>
    </row>
    <row r="2" spans="1:35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15</v>
      </c>
      <c r="L2" s="3" t="s">
        <v>16</v>
      </c>
      <c r="M2" s="3" t="s">
        <v>17</v>
      </c>
      <c r="N2" s="3" t="s">
        <v>18</v>
      </c>
      <c r="P2">
        <v>2011</v>
      </c>
      <c r="Q2">
        <v>2012</v>
      </c>
      <c r="R2">
        <v>2013</v>
      </c>
      <c r="S2">
        <f>+R2+1</f>
        <v>2014</v>
      </c>
      <c r="T2">
        <f t="shared" ref="T2:W2" si="0">+S2+1</f>
        <v>2015</v>
      </c>
      <c r="U2">
        <f t="shared" si="0"/>
        <v>2016</v>
      </c>
      <c r="V2">
        <f t="shared" si="0"/>
        <v>2017</v>
      </c>
      <c r="W2">
        <f t="shared" si="0"/>
        <v>2018</v>
      </c>
      <c r="X2">
        <v>2019</v>
      </c>
      <c r="Y2">
        <f>+X2+1</f>
        <v>2020</v>
      </c>
      <c r="Z2">
        <f t="shared" ref="Z2:AI2" si="1">+Y2+1</f>
        <v>2021</v>
      </c>
      <c r="AA2">
        <f t="shared" si="1"/>
        <v>2022</v>
      </c>
      <c r="AB2">
        <f t="shared" si="1"/>
        <v>2023</v>
      </c>
      <c r="AC2">
        <f t="shared" si="1"/>
        <v>2024</v>
      </c>
      <c r="AD2">
        <f t="shared" si="1"/>
        <v>2025</v>
      </c>
      <c r="AE2">
        <f t="shared" si="1"/>
        <v>2026</v>
      </c>
      <c r="AF2">
        <f t="shared" si="1"/>
        <v>2027</v>
      </c>
      <c r="AG2">
        <f t="shared" si="1"/>
        <v>2028</v>
      </c>
      <c r="AH2">
        <f t="shared" si="1"/>
        <v>2029</v>
      </c>
      <c r="AI2">
        <f t="shared" si="1"/>
        <v>2030</v>
      </c>
    </row>
    <row r="3" spans="1:35" x14ac:dyDescent="0.2">
      <c r="B3" t="s">
        <v>49</v>
      </c>
      <c r="J3" s="3">
        <v>535</v>
      </c>
    </row>
    <row r="4" spans="1:35" x14ac:dyDescent="0.2">
      <c r="B4" t="s">
        <v>50</v>
      </c>
      <c r="J4" s="3">
        <v>183</v>
      </c>
    </row>
    <row r="5" spans="1:35" x14ac:dyDescent="0.2">
      <c r="B5" t="s">
        <v>51</v>
      </c>
      <c r="J5" s="3">
        <v>144</v>
      </c>
    </row>
    <row r="7" spans="1:35" s="5" customFormat="1" x14ac:dyDescent="0.2">
      <c r="B7" s="5" t="s">
        <v>7</v>
      </c>
      <c r="C7" s="6"/>
      <c r="D7" s="6"/>
      <c r="E7" s="6"/>
      <c r="F7" s="6">
        <v>643.43200000000002</v>
      </c>
      <c r="G7" s="6">
        <v>637.68700000000001</v>
      </c>
      <c r="H7" s="6">
        <v>711.73500000000001</v>
      </c>
      <c r="I7" s="6">
        <v>779.59500000000003</v>
      </c>
      <c r="J7" s="6">
        <v>861.89400000000001</v>
      </c>
      <c r="K7" s="6">
        <f>+J7*0.955</f>
        <v>823.10876999999994</v>
      </c>
      <c r="L7" s="6">
        <f>+K7*1.09</f>
        <v>897.18855929999995</v>
      </c>
      <c r="M7" s="6">
        <f t="shared" ref="M7:N7" si="2">+L7*1.09</f>
        <v>977.93552963700006</v>
      </c>
      <c r="N7" s="6">
        <f t="shared" si="2"/>
        <v>1065.9497273043301</v>
      </c>
      <c r="P7" s="5">
        <v>522.18899999999996</v>
      </c>
      <c r="Q7" s="5">
        <v>972.30899999999997</v>
      </c>
      <c r="R7" s="5">
        <v>1528.5450000000001</v>
      </c>
      <c r="S7" s="5">
        <v>2218.7669999999998</v>
      </c>
      <c r="T7" s="5">
        <f>SUM(G7:J7)</f>
        <v>2990.9110000000001</v>
      </c>
      <c r="U7" s="5">
        <f>SUM(K7:N7)</f>
        <v>3764.1825862413298</v>
      </c>
      <c r="V7" s="5">
        <f>+U7*1.2</f>
        <v>4517.0191034895952</v>
      </c>
      <c r="W7" s="5">
        <f>+V7*1.2</f>
        <v>5420.4229241875137</v>
      </c>
      <c r="X7" s="5">
        <f>+W7*1.15</f>
        <v>6233.4863628156399</v>
      </c>
      <c r="Y7" s="5">
        <f>+X7*1.1</f>
        <v>6856.8349990972047</v>
      </c>
      <c r="Z7" s="5">
        <f t="shared" ref="Z7:AI7" si="3">+Y7*1.02</f>
        <v>6993.9716990791485</v>
      </c>
      <c r="AA7" s="5">
        <f t="shared" si="3"/>
        <v>7133.8511330607316</v>
      </c>
      <c r="AB7" s="5">
        <f t="shared" si="3"/>
        <v>7276.528155721946</v>
      </c>
      <c r="AC7" s="5">
        <f t="shared" si="3"/>
        <v>7422.0587188363852</v>
      </c>
      <c r="AD7" s="5">
        <f t="shared" si="3"/>
        <v>7570.499893213113</v>
      </c>
      <c r="AE7" s="5">
        <f t="shared" si="3"/>
        <v>7721.9098910773755</v>
      </c>
      <c r="AF7" s="5">
        <f t="shared" si="3"/>
        <v>7876.3480888989234</v>
      </c>
      <c r="AG7" s="5">
        <f t="shared" si="3"/>
        <v>8033.875050676902</v>
      </c>
      <c r="AH7" s="5">
        <f t="shared" si="3"/>
        <v>8194.5525516904399</v>
      </c>
      <c r="AI7" s="5">
        <f t="shared" si="3"/>
        <v>8358.4436027242482</v>
      </c>
    </row>
    <row r="8" spans="1:35" s="2" customFormat="1" x14ac:dyDescent="0.2">
      <c r="B8" s="2" t="s">
        <v>25</v>
      </c>
      <c r="C8" s="4"/>
      <c r="D8" s="4"/>
      <c r="E8" s="4"/>
      <c r="F8" s="4">
        <v>86.902000000000001</v>
      </c>
      <c r="G8" s="4">
        <v>88.406000000000006</v>
      </c>
      <c r="H8" s="4">
        <v>100.086</v>
      </c>
      <c r="I8" s="4">
        <v>111.36799999999999</v>
      </c>
      <c r="J8" s="4">
        <v>118.998</v>
      </c>
      <c r="K8" s="4">
        <f>+K7-K9</f>
        <v>115.23522779999996</v>
      </c>
      <c r="L8" s="4">
        <f t="shared" ref="L8:N8" si="4">+L7-L9</f>
        <v>125.606398302</v>
      </c>
      <c r="M8" s="4">
        <f t="shared" si="4"/>
        <v>136.91097414917999</v>
      </c>
      <c r="N8" s="4">
        <f t="shared" si="4"/>
        <v>149.23296182260617</v>
      </c>
      <c r="P8" s="2">
        <v>81.447999999999993</v>
      </c>
      <c r="Q8" s="2">
        <v>125.521</v>
      </c>
      <c r="R8" s="2">
        <v>202.90799999999999</v>
      </c>
      <c r="S8" s="2">
        <v>293.79700000000003</v>
      </c>
      <c r="T8" s="2">
        <f>T7-T9</f>
        <v>418.85800000000017</v>
      </c>
      <c r="U8" s="2">
        <f>+U7-U9</f>
        <v>526.98556207378579</v>
      </c>
      <c r="V8" s="2">
        <f>+V7-V9</f>
        <v>632.38267448854322</v>
      </c>
      <c r="W8" s="2">
        <f t="shared" ref="W8:AI8" si="5">+W7-W9</f>
        <v>758.85920938625168</v>
      </c>
      <c r="X8" s="2">
        <f t="shared" si="5"/>
        <v>872.68809079418952</v>
      </c>
      <c r="Y8" s="2">
        <f t="shared" si="5"/>
        <v>959.95689987360856</v>
      </c>
      <c r="Z8" s="2">
        <f t="shared" si="5"/>
        <v>979.15603787108103</v>
      </c>
      <c r="AA8" s="2">
        <f t="shared" si="5"/>
        <v>998.73915862850208</v>
      </c>
      <c r="AB8" s="2">
        <f t="shared" si="5"/>
        <v>1018.7139418010729</v>
      </c>
      <c r="AC8" s="2">
        <f t="shared" si="5"/>
        <v>1039.0882206370943</v>
      </c>
      <c r="AD8" s="2">
        <f t="shared" si="5"/>
        <v>1059.869985049836</v>
      </c>
      <c r="AE8" s="2">
        <f t="shared" si="5"/>
        <v>1081.0673847508324</v>
      </c>
      <c r="AF8" s="2">
        <f t="shared" si="5"/>
        <v>1102.6887324458494</v>
      </c>
      <c r="AG8" s="2">
        <f t="shared" si="5"/>
        <v>1124.7425070947666</v>
      </c>
      <c r="AH8" s="2">
        <f t="shared" si="5"/>
        <v>1147.2373572366614</v>
      </c>
      <c r="AI8" s="2">
        <f t="shared" si="5"/>
        <v>1170.1821043813952</v>
      </c>
    </row>
    <row r="9" spans="1:35" s="2" customFormat="1" x14ac:dyDescent="0.2">
      <c r="B9" s="2" t="s">
        <v>26</v>
      </c>
      <c r="C9" s="4"/>
      <c r="D9" s="4"/>
      <c r="E9" s="4"/>
      <c r="F9" s="4">
        <f t="shared" ref="F9:I9" si="6">+F7-F8</f>
        <v>556.53</v>
      </c>
      <c r="G9" s="4">
        <f t="shared" si="6"/>
        <v>549.28099999999995</v>
      </c>
      <c r="H9" s="4">
        <f t="shared" si="6"/>
        <v>611.649</v>
      </c>
      <c r="I9" s="4">
        <f t="shared" si="6"/>
        <v>668.22700000000009</v>
      </c>
      <c r="J9" s="4">
        <f>+J7-J8</f>
        <v>742.89599999999996</v>
      </c>
      <c r="K9" s="4">
        <f>+K7*0.86</f>
        <v>707.87354219999997</v>
      </c>
      <c r="L9" s="4">
        <f t="shared" ref="L9:N9" si="7">+L7*0.86</f>
        <v>771.58216099799995</v>
      </c>
      <c r="M9" s="4">
        <f t="shared" si="7"/>
        <v>841.02455548782007</v>
      </c>
      <c r="N9" s="4">
        <f t="shared" si="7"/>
        <v>916.71676548172388</v>
      </c>
      <c r="P9" s="26">
        <f>+P7-P8</f>
        <v>440.74099999999999</v>
      </c>
      <c r="Q9" s="26">
        <f>+Q7-Q8</f>
        <v>846.78800000000001</v>
      </c>
      <c r="R9" s="26">
        <f>+R7-R8</f>
        <v>1325.6370000000002</v>
      </c>
      <c r="S9" s="26">
        <f>+S7-S8</f>
        <v>1924.9699999999998</v>
      </c>
      <c r="T9" s="26">
        <f>SUM(G9:J9)</f>
        <v>2572.0529999999999</v>
      </c>
      <c r="U9" s="2">
        <f>SUM(K9:N9)</f>
        <v>3237.197024167544</v>
      </c>
      <c r="V9" s="2">
        <f>+V7*0.86</f>
        <v>3884.636429001052</v>
      </c>
      <c r="W9" s="2">
        <f t="shared" ref="W9:AI9" si="8">+W7*0.86</f>
        <v>4661.563714801262</v>
      </c>
      <c r="X9" s="2">
        <f t="shared" si="8"/>
        <v>5360.7982720214504</v>
      </c>
      <c r="Y9" s="2">
        <f t="shared" si="8"/>
        <v>5896.8780992235961</v>
      </c>
      <c r="Z9" s="2">
        <f t="shared" si="8"/>
        <v>6014.8156612080675</v>
      </c>
      <c r="AA9" s="2">
        <f t="shared" si="8"/>
        <v>6135.1119744322295</v>
      </c>
      <c r="AB9" s="2">
        <f t="shared" si="8"/>
        <v>6257.814213920873</v>
      </c>
      <c r="AC9" s="2">
        <f t="shared" si="8"/>
        <v>6382.9704981992909</v>
      </c>
      <c r="AD9" s="2">
        <f t="shared" si="8"/>
        <v>6510.6299081632769</v>
      </c>
      <c r="AE9" s="2">
        <f t="shared" si="8"/>
        <v>6640.8425063265431</v>
      </c>
      <c r="AF9" s="2">
        <f t="shared" si="8"/>
        <v>6773.659356453074</v>
      </c>
      <c r="AG9" s="2">
        <f t="shared" si="8"/>
        <v>6909.1325435821354</v>
      </c>
      <c r="AH9" s="2">
        <f t="shared" si="8"/>
        <v>7047.3151944537785</v>
      </c>
      <c r="AI9" s="2">
        <f t="shared" si="8"/>
        <v>7188.261498342853</v>
      </c>
    </row>
    <row r="10" spans="1:35" s="2" customFormat="1" x14ac:dyDescent="0.2">
      <c r="B10" s="2" t="s">
        <v>27</v>
      </c>
      <c r="C10" s="4"/>
      <c r="D10" s="4"/>
      <c r="E10" s="4"/>
      <c r="F10" s="4">
        <v>224.227</v>
      </c>
      <c r="G10" s="4">
        <v>229.636</v>
      </c>
      <c r="H10" s="4">
        <v>261.27100000000002</v>
      </c>
      <c r="I10" s="4">
        <v>265.45400000000001</v>
      </c>
      <c r="J10" s="4">
        <v>291.76799999999997</v>
      </c>
      <c r="K10" s="4">
        <f>+G10*1.25</f>
        <v>287.04500000000002</v>
      </c>
      <c r="L10" s="4">
        <f t="shared" ref="L10:L12" si="9">+H10*1.25</f>
        <v>326.58875</v>
      </c>
      <c r="M10" s="4">
        <f t="shared" ref="M10:M12" si="10">+I10*1.25</f>
        <v>331.8175</v>
      </c>
      <c r="N10" s="4">
        <f t="shared" ref="N10:N12" si="11">+J10*1.25</f>
        <v>364.71</v>
      </c>
      <c r="P10" s="26">
        <v>164.703</v>
      </c>
      <c r="Q10" s="26">
        <v>324.89600000000002</v>
      </c>
      <c r="R10" s="26">
        <v>522.1</v>
      </c>
      <c r="S10" s="26">
        <v>774.41099999999994</v>
      </c>
      <c r="T10" s="26">
        <f>SUM(G10:J10)</f>
        <v>1048.1290000000001</v>
      </c>
      <c r="U10" s="2">
        <f t="shared" ref="U10:U13" si="12">SUM(K10:N10)</f>
        <v>1310.1612499999999</v>
      </c>
      <c r="V10" s="2">
        <f>+V7*0.35</f>
        <v>1580.9566862213583</v>
      </c>
      <c r="W10" s="2">
        <f t="shared" ref="W10:AI10" si="13">+W7*0.35</f>
        <v>1897.1480234656296</v>
      </c>
      <c r="X10" s="2">
        <f t="shared" si="13"/>
        <v>2181.7202269854738</v>
      </c>
      <c r="Y10" s="2">
        <f t="shared" si="13"/>
        <v>2399.8922496840214</v>
      </c>
      <c r="Z10" s="2">
        <f t="shared" si="13"/>
        <v>2447.8900946777017</v>
      </c>
      <c r="AA10" s="2">
        <f t="shared" si="13"/>
        <v>2496.8478965712561</v>
      </c>
      <c r="AB10" s="2">
        <f t="shared" si="13"/>
        <v>2546.7848545026809</v>
      </c>
      <c r="AC10" s="2">
        <f t="shared" si="13"/>
        <v>2597.7205515927349</v>
      </c>
      <c r="AD10" s="2">
        <f t="shared" si="13"/>
        <v>2649.6749626245892</v>
      </c>
      <c r="AE10" s="2">
        <f t="shared" si="13"/>
        <v>2702.6684618770814</v>
      </c>
      <c r="AF10" s="2">
        <f t="shared" si="13"/>
        <v>2756.721831114623</v>
      </c>
      <c r="AG10" s="2">
        <f t="shared" si="13"/>
        <v>2811.8562677369155</v>
      </c>
      <c r="AH10" s="2">
        <f t="shared" si="13"/>
        <v>2868.093393091654</v>
      </c>
      <c r="AI10" s="2">
        <f t="shared" si="13"/>
        <v>2925.4552609534867</v>
      </c>
    </row>
    <row r="11" spans="1:35" s="2" customFormat="1" x14ac:dyDescent="0.2">
      <c r="B11" s="2" t="s">
        <v>28</v>
      </c>
      <c r="C11" s="4"/>
      <c r="D11" s="4"/>
      <c r="E11" s="4"/>
      <c r="F11" s="4">
        <v>150.28899999999999</v>
      </c>
      <c r="G11" s="4">
        <v>165.58</v>
      </c>
      <c r="H11" s="4">
        <v>190.13300000000001</v>
      </c>
      <c r="I11" s="4">
        <v>202.68199999999999</v>
      </c>
      <c r="J11" s="4">
        <v>217.26499999999999</v>
      </c>
      <c r="K11" s="4">
        <f t="shared" ref="K11:K12" si="14">+G11*1.25</f>
        <v>206.97500000000002</v>
      </c>
      <c r="L11" s="4">
        <f t="shared" si="9"/>
        <v>237.66625000000002</v>
      </c>
      <c r="M11" s="4">
        <f t="shared" si="10"/>
        <v>253.35249999999999</v>
      </c>
      <c r="N11" s="4">
        <f t="shared" si="11"/>
        <v>271.58124999999995</v>
      </c>
      <c r="P11" s="26">
        <v>132.22200000000001</v>
      </c>
      <c r="Q11" s="26">
        <v>257.17899999999997</v>
      </c>
      <c r="R11" s="26">
        <v>395.64299999999997</v>
      </c>
      <c r="S11" s="26">
        <v>536.18399999999997</v>
      </c>
      <c r="T11" s="26">
        <f>SUM(G11:J11)</f>
        <v>775.66</v>
      </c>
      <c r="U11" s="2">
        <f t="shared" si="12"/>
        <v>969.57499999999993</v>
      </c>
      <c r="V11" s="2">
        <f>+V7*0.25</f>
        <v>1129.2547758723988</v>
      </c>
      <c r="W11" s="2">
        <f>+W7*0.24</f>
        <v>1300.9015018050031</v>
      </c>
      <c r="X11" s="2">
        <f>+X7*0.23</f>
        <v>1433.7018634475974</v>
      </c>
      <c r="Y11" s="2">
        <f>+Y7*0.22</f>
        <v>1508.503699801385</v>
      </c>
      <c r="Z11" s="2">
        <f>+Z7*0.21</f>
        <v>1468.7340568066211</v>
      </c>
      <c r="AA11" s="2">
        <f>+AA7*0.2</f>
        <v>1426.7702266121464</v>
      </c>
      <c r="AB11" s="2">
        <f t="shared" ref="AB11:AI11" si="15">+AB7*0.2</f>
        <v>1455.3056311443893</v>
      </c>
      <c r="AC11" s="2">
        <f t="shared" si="15"/>
        <v>1484.4117437672771</v>
      </c>
      <c r="AD11" s="2">
        <f t="shared" si="15"/>
        <v>1514.0999786426228</v>
      </c>
      <c r="AE11" s="2">
        <f t="shared" si="15"/>
        <v>1544.3819782154751</v>
      </c>
      <c r="AF11" s="2">
        <f t="shared" si="15"/>
        <v>1575.2696177797848</v>
      </c>
      <c r="AG11" s="2">
        <f t="shared" si="15"/>
        <v>1606.7750101353804</v>
      </c>
      <c r="AH11" s="2">
        <f t="shared" si="15"/>
        <v>1638.910510338088</v>
      </c>
      <c r="AI11" s="2">
        <f t="shared" si="15"/>
        <v>1671.6887205448497</v>
      </c>
    </row>
    <row r="12" spans="1:35" s="2" customFormat="1" x14ac:dyDescent="0.2">
      <c r="B12" s="2" t="s">
        <v>29</v>
      </c>
      <c r="C12" s="4"/>
      <c r="D12" s="4"/>
      <c r="E12" s="4"/>
      <c r="F12" s="4">
        <v>96.721999999999994</v>
      </c>
      <c r="G12" s="4">
        <v>97.313000000000002</v>
      </c>
      <c r="H12" s="4">
        <v>142.38900000000001</v>
      </c>
      <c r="I12" s="4">
        <v>118.871</v>
      </c>
      <c r="J12" s="4">
        <v>120.161</v>
      </c>
      <c r="K12" s="4">
        <f t="shared" si="14"/>
        <v>121.64125</v>
      </c>
      <c r="L12" s="4">
        <f t="shared" si="9"/>
        <v>177.98625000000001</v>
      </c>
      <c r="M12" s="4">
        <f t="shared" si="10"/>
        <v>148.58875</v>
      </c>
      <c r="N12" s="4">
        <f t="shared" si="11"/>
        <v>150.20125000000002</v>
      </c>
      <c r="P12" s="26">
        <v>74.870999999999995</v>
      </c>
      <c r="Q12" s="26">
        <v>128.00200000000001</v>
      </c>
      <c r="R12" s="26">
        <v>225.566</v>
      </c>
      <c r="S12" s="26">
        <v>341.29399999999998</v>
      </c>
      <c r="T12" s="26">
        <f>SUM(G12:J12)</f>
        <v>478.73399999999998</v>
      </c>
      <c r="U12" s="2">
        <f t="shared" si="12"/>
        <v>598.41750000000002</v>
      </c>
      <c r="V12" s="2">
        <f>+U12*1.01</f>
        <v>604.40167500000007</v>
      </c>
      <c r="W12" s="2">
        <f t="shared" ref="W12:AI12" si="16">+V12*1.01</f>
        <v>610.44569175000004</v>
      </c>
      <c r="X12" s="2">
        <f t="shared" si="16"/>
        <v>616.55014866750003</v>
      </c>
      <c r="Y12" s="2">
        <f t="shared" si="16"/>
        <v>622.71565015417502</v>
      </c>
      <c r="Z12" s="2">
        <f t="shared" si="16"/>
        <v>628.94280665571682</v>
      </c>
      <c r="AA12" s="2">
        <f t="shared" si="16"/>
        <v>635.23223472227403</v>
      </c>
      <c r="AB12" s="2">
        <f t="shared" si="16"/>
        <v>641.58455706949678</v>
      </c>
      <c r="AC12" s="2">
        <f t="shared" si="16"/>
        <v>648.00040264019174</v>
      </c>
      <c r="AD12" s="2">
        <f t="shared" si="16"/>
        <v>654.48040666659369</v>
      </c>
      <c r="AE12" s="2">
        <f t="shared" si="16"/>
        <v>661.02521073325966</v>
      </c>
      <c r="AF12" s="2">
        <f t="shared" si="16"/>
        <v>667.63546284059225</v>
      </c>
      <c r="AG12" s="2">
        <f t="shared" si="16"/>
        <v>674.31181746899813</v>
      </c>
      <c r="AH12" s="2">
        <f t="shared" si="16"/>
        <v>681.05493564368817</v>
      </c>
      <c r="AI12" s="2">
        <f t="shared" si="16"/>
        <v>687.86548500012509</v>
      </c>
    </row>
    <row r="13" spans="1:35" s="2" customFormat="1" x14ac:dyDescent="0.2">
      <c r="B13" s="2" t="s">
        <v>83</v>
      </c>
      <c r="C13" s="4"/>
      <c r="D13" s="4"/>
      <c r="E13" s="4"/>
      <c r="F13" s="4">
        <v>71.117999999999995</v>
      </c>
      <c r="G13" s="4">
        <v>73.971999999999994</v>
      </c>
      <c r="H13" s="4">
        <v>99.004000000000005</v>
      </c>
      <c r="I13" s="4">
        <v>117.901</v>
      </c>
      <c r="J13" s="4">
        <v>129.595</v>
      </c>
      <c r="K13" s="4">
        <f>+J13+15</f>
        <v>144.595</v>
      </c>
      <c r="L13" s="4">
        <f>+K13+5</f>
        <v>149.595</v>
      </c>
      <c r="M13" s="4">
        <f t="shared" ref="M13:N13" si="17">+L13+5</f>
        <v>154.595</v>
      </c>
      <c r="N13" s="4">
        <f t="shared" si="17"/>
        <v>159.595</v>
      </c>
      <c r="P13" s="26">
        <v>43.1</v>
      </c>
      <c r="Q13" s="26">
        <v>79.849000000000004</v>
      </c>
      <c r="R13" s="26">
        <v>134.51599999999999</v>
      </c>
      <c r="S13" s="26">
        <v>236.946</v>
      </c>
      <c r="T13" s="26">
        <f>SUM(G13:J13)</f>
        <v>420.47199999999998</v>
      </c>
      <c r="U13" s="2">
        <f t="shared" si="12"/>
        <v>608.38</v>
      </c>
      <c r="V13" s="2">
        <f>+U13</f>
        <v>608.38</v>
      </c>
      <c r="W13" s="2">
        <f t="shared" ref="W13:AI13" si="18">+V13</f>
        <v>608.38</v>
      </c>
      <c r="X13" s="2">
        <f t="shared" si="18"/>
        <v>608.38</v>
      </c>
      <c r="Y13" s="2">
        <f t="shared" si="18"/>
        <v>608.38</v>
      </c>
      <c r="Z13" s="2">
        <f t="shared" si="18"/>
        <v>608.38</v>
      </c>
      <c r="AA13" s="2">
        <f t="shared" si="18"/>
        <v>608.38</v>
      </c>
      <c r="AB13" s="2">
        <f t="shared" si="18"/>
        <v>608.38</v>
      </c>
      <c r="AC13" s="2">
        <f t="shared" si="18"/>
        <v>608.38</v>
      </c>
      <c r="AD13" s="2">
        <f t="shared" si="18"/>
        <v>608.38</v>
      </c>
      <c r="AE13" s="2">
        <f t="shared" si="18"/>
        <v>608.38</v>
      </c>
      <c r="AF13" s="2">
        <f t="shared" si="18"/>
        <v>608.38</v>
      </c>
      <c r="AG13" s="2">
        <f t="shared" si="18"/>
        <v>608.38</v>
      </c>
      <c r="AH13" s="2">
        <f t="shared" si="18"/>
        <v>608.38</v>
      </c>
      <c r="AI13" s="2">
        <f t="shared" si="18"/>
        <v>608.38</v>
      </c>
    </row>
    <row r="14" spans="1:35" s="2" customFormat="1" x14ac:dyDescent="0.2">
      <c r="B14" s="2" t="s">
        <v>24</v>
      </c>
      <c r="C14" s="4"/>
      <c r="D14" s="4"/>
      <c r="E14" s="4"/>
      <c r="F14" s="4">
        <f>SUM(F10:F13)</f>
        <v>542.35599999999999</v>
      </c>
      <c r="G14" s="4">
        <f>SUM(G10:G13)</f>
        <v>566.50099999999998</v>
      </c>
      <c r="H14" s="4">
        <f>SUM(H10:H13)</f>
        <v>692.79700000000003</v>
      </c>
      <c r="I14" s="4">
        <f>SUM(I10:I13)</f>
        <v>704.9079999999999</v>
      </c>
      <c r="J14" s="4">
        <f>SUM(J10:J13)</f>
        <v>758.78899999999999</v>
      </c>
      <c r="K14" s="4">
        <f t="shared" ref="K14:L14" si="19">SUM(K10:K12)</f>
        <v>615.66125</v>
      </c>
      <c r="L14" s="4">
        <f t="shared" si="19"/>
        <v>742.24125000000004</v>
      </c>
      <c r="M14" s="4">
        <f>SUM(M10:M12)</f>
        <v>733.75874999999996</v>
      </c>
      <c r="N14" s="4">
        <f>SUM(N10:N12)</f>
        <v>786.49250000000006</v>
      </c>
      <c r="P14" s="4">
        <f>SUM(P10:P13)</f>
        <v>414.89600000000002</v>
      </c>
      <c r="Q14" s="4">
        <f>SUM(Q10:Q13)</f>
        <v>789.92600000000004</v>
      </c>
      <c r="R14" s="4">
        <f>SUM(R10:R13)</f>
        <v>1277.825</v>
      </c>
      <c r="S14" s="4">
        <f>SUM(S10:S13)</f>
        <v>1888.8349999999996</v>
      </c>
      <c r="T14" s="4">
        <f>SUM(T10:T13)</f>
        <v>2722.9949999999999</v>
      </c>
      <c r="U14" s="4">
        <f>SUM(U10:U13)</f>
        <v>3486.5337500000001</v>
      </c>
      <c r="V14" s="4">
        <f t="shared" ref="V14" si="20">SUM(V10:V13)</f>
        <v>3922.9931370937575</v>
      </c>
      <c r="W14" s="4">
        <f t="shared" ref="W14" si="21">SUM(W10:W13)</f>
        <v>4416.8752170206326</v>
      </c>
      <c r="X14" s="4">
        <f t="shared" ref="X14" si="22">SUM(X10:X13)</f>
        <v>4840.3522391005718</v>
      </c>
      <c r="Y14" s="4">
        <f t="shared" ref="Y14" si="23">SUM(Y10:Y13)</f>
        <v>5139.4915996395812</v>
      </c>
      <c r="Z14" s="4">
        <f t="shared" ref="Z14" si="24">SUM(Z10:Z13)</f>
        <v>5153.9469581400399</v>
      </c>
      <c r="AA14" s="4">
        <f t="shared" ref="AA14" si="25">SUM(AA10:AA13)</f>
        <v>5167.230357905677</v>
      </c>
      <c r="AB14" s="4">
        <f t="shared" ref="AB14" si="26">SUM(AB10:AB13)</f>
        <v>5252.0550427165672</v>
      </c>
      <c r="AC14" s="4">
        <f t="shared" ref="AC14" si="27">SUM(AC10:AC13)</f>
        <v>5338.5126980002042</v>
      </c>
      <c r="AD14" s="4">
        <f t="shared" ref="AD14" si="28">SUM(AD10:AD13)</f>
        <v>5426.6353479338059</v>
      </c>
      <c r="AE14" s="4">
        <f t="shared" ref="AE14" si="29">SUM(AE10:AE13)</f>
        <v>5516.4556508258165</v>
      </c>
      <c r="AF14" s="4">
        <f t="shared" ref="AF14" si="30">SUM(AF10:AF13)</f>
        <v>5608.0069117350004</v>
      </c>
      <c r="AG14" s="4">
        <f t="shared" ref="AG14" si="31">SUM(AG10:AG13)</f>
        <v>5701.323095341294</v>
      </c>
      <c r="AH14" s="4">
        <f t="shared" ref="AH14" si="32">SUM(AH10:AH13)</f>
        <v>5796.4388390734302</v>
      </c>
      <c r="AI14" s="4">
        <f t="shared" ref="AI14" si="33">SUM(AI10:AI13)</f>
        <v>5893.3894664984618</v>
      </c>
    </row>
    <row r="15" spans="1:35" s="2" customFormat="1" x14ac:dyDescent="0.2">
      <c r="B15" s="2" t="s">
        <v>23</v>
      </c>
      <c r="C15" s="4"/>
      <c r="D15" s="4"/>
      <c r="E15" s="4"/>
      <c r="F15" s="4">
        <f t="shared" ref="F15:K15" si="34">F9-F14</f>
        <v>14.173999999999978</v>
      </c>
      <c r="G15" s="4">
        <f t="shared" si="34"/>
        <v>-17.220000000000027</v>
      </c>
      <c r="H15" s="4">
        <f t="shared" si="34"/>
        <v>-81.148000000000025</v>
      </c>
      <c r="I15" s="4">
        <f t="shared" si="34"/>
        <v>-36.680999999999813</v>
      </c>
      <c r="J15" s="4">
        <f t="shared" si="34"/>
        <v>-15.893000000000029</v>
      </c>
      <c r="K15" s="4">
        <f t="shared" si="34"/>
        <v>92.212292199999979</v>
      </c>
      <c r="L15" s="4">
        <f t="shared" ref="L15" si="35">L9-L14</f>
        <v>29.340910997999913</v>
      </c>
      <c r="M15" s="4">
        <f>M9-M14</f>
        <v>107.2658054878201</v>
      </c>
      <c r="N15" s="4">
        <f>N9-N14</f>
        <v>130.22426548172382</v>
      </c>
      <c r="P15" s="4">
        <f>P9-P14</f>
        <v>25.84499999999997</v>
      </c>
      <c r="Q15" s="4">
        <f>Q9-Q14</f>
        <v>56.861999999999966</v>
      </c>
      <c r="R15" s="4">
        <f>R9-R14</f>
        <v>47.812000000000126</v>
      </c>
      <c r="S15" s="4">
        <f>S9-S14</f>
        <v>36.135000000000218</v>
      </c>
      <c r="T15" s="4">
        <f>T9-T14</f>
        <v>-150.94200000000001</v>
      </c>
      <c r="U15" s="4">
        <f>U9-U14</f>
        <v>-249.33672583245607</v>
      </c>
      <c r="V15" s="4">
        <f>V9-V14</f>
        <v>-38.356708092705503</v>
      </c>
      <c r="W15" s="4">
        <f t="shared" ref="W15:AI15" si="36">W9-W14</f>
        <v>244.6884977806294</v>
      </c>
      <c r="X15" s="4">
        <f t="shared" si="36"/>
        <v>520.44603292087868</v>
      </c>
      <c r="Y15" s="4">
        <f t="shared" si="36"/>
        <v>757.38649958401493</v>
      </c>
      <c r="Z15" s="4">
        <f t="shared" si="36"/>
        <v>860.86870306802757</v>
      </c>
      <c r="AA15" s="4">
        <f t="shared" si="36"/>
        <v>967.88161652655253</v>
      </c>
      <c r="AB15" s="4">
        <f t="shared" si="36"/>
        <v>1005.7591712043059</v>
      </c>
      <c r="AC15" s="4">
        <f t="shared" si="36"/>
        <v>1044.4578001990867</v>
      </c>
      <c r="AD15" s="4">
        <f t="shared" si="36"/>
        <v>1083.9945602294711</v>
      </c>
      <c r="AE15" s="4">
        <f t="shared" si="36"/>
        <v>1124.3868555007266</v>
      </c>
      <c r="AF15" s="4">
        <f t="shared" si="36"/>
        <v>1165.6524447180736</v>
      </c>
      <c r="AG15" s="4">
        <f t="shared" si="36"/>
        <v>1207.8094482408414</v>
      </c>
      <c r="AH15" s="4">
        <f t="shared" si="36"/>
        <v>1250.8763553803483</v>
      </c>
      <c r="AI15" s="4">
        <f t="shared" si="36"/>
        <v>1294.8720318443911</v>
      </c>
    </row>
    <row r="16" spans="1:35" s="2" customFormat="1" x14ac:dyDescent="0.2">
      <c r="B16" s="2" t="s">
        <v>22</v>
      </c>
      <c r="C16" s="4"/>
      <c r="D16" s="4"/>
      <c r="E16" s="4"/>
      <c r="F16" s="4">
        <v>-7.3049999999999997</v>
      </c>
      <c r="G16" s="4">
        <v>-14.647</v>
      </c>
      <c r="H16" s="4">
        <v>-12.4</v>
      </c>
      <c r="I16" s="4">
        <v>-20.658999999999999</v>
      </c>
      <c r="J16" s="4">
        <v>-16.082000000000001</v>
      </c>
      <c r="K16" s="4">
        <f>+J16</f>
        <v>-16.082000000000001</v>
      </c>
      <c r="L16" s="4">
        <f t="shared" ref="L16:N16" si="37">+K16</f>
        <v>-16.082000000000001</v>
      </c>
      <c r="M16" s="4">
        <f t="shared" si="37"/>
        <v>-16.082000000000001</v>
      </c>
      <c r="N16" s="4">
        <f t="shared" si="37"/>
        <v>-16.082000000000001</v>
      </c>
      <c r="P16" s="26">
        <v>-2.903</v>
      </c>
      <c r="Q16" s="26">
        <v>0.252</v>
      </c>
      <c r="R16" s="26">
        <f>2.895-1.479</f>
        <v>1.4159999999999999</v>
      </c>
      <c r="S16" s="26">
        <f>4.971-6.797-3.104</f>
        <v>-4.93</v>
      </c>
      <c r="T16" s="26">
        <f>SUM(G16:J16)</f>
        <v>-63.788000000000004</v>
      </c>
      <c r="U16" s="2">
        <f t="shared" ref="U16:U18" si="38">SUM(K16:N16)</f>
        <v>-64.328000000000003</v>
      </c>
      <c r="V16" s="2">
        <v>0</v>
      </c>
      <c r="W16" s="2">
        <f>+V52*0.01</f>
        <v>21.851169245561291</v>
      </c>
      <c r="X16" s="2">
        <f t="shared" ref="X16:AI16" si="39">+W52*0.01</f>
        <v>23.850216748257722</v>
      </c>
      <c r="Y16" s="2">
        <f t="shared" si="39"/>
        <v>27.932438620776242</v>
      </c>
      <c r="Z16" s="2">
        <f t="shared" si="39"/>
        <v>33.822330657312179</v>
      </c>
      <c r="AA16" s="2">
        <f t="shared" si="39"/>
        <v>40.532513410252221</v>
      </c>
      <c r="AB16" s="2">
        <f t="shared" si="39"/>
        <v>48.09561938477826</v>
      </c>
      <c r="AC16" s="2">
        <f t="shared" si="39"/>
        <v>55.999530314196392</v>
      </c>
      <c r="AD16" s="2">
        <f t="shared" si="39"/>
        <v>64.252960293046016</v>
      </c>
      <c r="AE16" s="2">
        <f t="shared" si="39"/>
        <v>72.864816696964894</v>
      </c>
      <c r="AF16" s="2">
        <f t="shared" si="39"/>
        <v>81.844204238447588</v>
      </c>
      <c r="AG16" s="2">
        <f t="shared" si="39"/>
        <v>91.200429105621495</v>
      </c>
      <c r="AH16" s="2">
        <f t="shared" si="39"/>
        <v>100.94300318571997</v>
      </c>
      <c r="AI16" s="2">
        <f t="shared" si="39"/>
        <v>111.08164837496548</v>
      </c>
    </row>
    <row r="17" spans="2:150" s="2" customFormat="1" x14ac:dyDescent="0.2">
      <c r="B17" s="2" t="s">
        <v>21</v>
      </c>
      <c r="C17" s="4"/>
      <c r="D17" s="4"/>
      <c r="E17" s="4"/>
      <c r="F17" s="4">
        <f t="shared" ref="F17:I17" si="40">+F15+F16</f>
        <v>6.8689999999999785</v>
      </c>
      <c r="G17" s="4">
        <f t="shared" si="40"/>
        <v>-31.867000000000026</v>
      </c>
      <c r="H17" s="4">
        <f t="shared" si="40"/>
        <v>-93.54800000000003</v>
      </c>
      <c r="I17" s="4">
        <f t="shared" si="40"/>
        <v>-57.339999999999812</v>
      </c>
      <c r="J17" s="4">
        <f>+J15+J16</f>
        <v>-31.97500000000003</v>
      </c>
      <c r="K17" s="4">
        <f t="shared" ref="K17:M17" si="41">+K15+K16</f>
        <v>76.130292199999985</v>
      </c>
      <c r="L17" s="4">
        <f t="shared" si="41"/>
        <v>13.258910997999912</v>
      </c>
      <c r="M17" s="4">
        <f t="shared" si="41"/>
        <v>91.183805487820109</v>
      </c>
      <c r="N17" s="4">
        <f>+N15+N16</f>
        <v>114.14226548172383</v>
      </c>
      <c r="P17" s="4">
        <f>+P15+P16</f>
        <v>22.941999999999972</v>
      </c>
      <c r="Q17" s="4">
        <f>+Q15+Q16</f>
        <v>57.113999999999969</v>
      </c>
      <c r="R17" s="4">
        <f>+R15+R16</f>
        <v>49.228000000000122</v>
      </c>
      <c r="S17" s="4">
        <f>+S15+S16</f>
        <v>31.205000000000219</v>
      </c>
      <c r="T17" s="4">
        <f>+T15+T16</f>
        <v>-214.73000000000002</v>
      </c>
      <c r="U17" s="4">
        <f>+U15+U16</f>
        <v>-313.66472583245604</v>
      </c>
      <c r="V17" s="4">
        <f t="shared" ref="V17:AI17" si="42">+V15+V16</f>
        <v>-38.356708092705503</v>
      </c>
      <c r="W17" s="4">
        <f t="shared" si="42"/>
        <v>266.53966702619067</v>
      </c>
      <c r="X17" s="4">
        <f t="shared" si="42"/>
        <v>544.29624966913639</v>
      </c>
      <c r="Y17" s="4">
        <f t="shared" si="42"/>
        <v>785.31893820479115</v>
      </c>
      <c r="Z17" s="4">
        <f t="shared" si="42"/>
        <v>894.69103372533971</v>
      </c>
      <c r="AA17" s="4">
        <f t="shared" si="42"/>
        <v>1008.4141299368048</v>
      </c>
      <c r="AB17" s="4">
        <f t="shared" si="42"/>
        <v>1053.8547905890841</v>
      </c>
      <c r="AC17" s="4">
        <f t="shared" si="42"/>
        <v>1100.4573305132831</v>
      </c>
      <c r="AD17" s="4">
        <f t="shared" si="42"/>
        <v>1148.2475205225171</v>
      </c>
      <c r="AE17" s="4">
        <f t="shared" si="42"/>
        <v>1197.2516721976915</v>
      </c>
      <c r="AF17" s="4">
        <f t="shared" si="42"/>
        <v>1247.4966489565213</v>
      </c>
      <c r="AG17" s="4">
        <f t="shared" si="42"/>
        <v>1299.0098773464629</v>
      </c>
      <c r="AH17" s="4">
        <f t="shared" si="42"/>
        <v>1351.8193585660683</v>
      </c>
      <c r="AI17" s="4">
        <f t="shared" si="42"/>
        <v>1405.9536802193566</v>
      </c>
    </row>
    <row r="18" spans="2:150" s="2" customFormat="1" x14ac:dyDescent="0.2">
      <c r="B18" s="2" t="s">
        <v>20</v>
      </c>
      <c r="C18" s="4"/>
      <c r="D18" s="4"/>
      <c r="E18" s="4"/>
      <c r="F18" s="4">
        <v>3.774</v>
      </c>
      <c r="G18" s="4">
        <v>10.571999999999999</v>
      </c>
      <c r="H18" s="4">
        <v>-26.047999999999998</v>
      </c>
      <c r="I18" s="4">
        <v>-10.429</v>
      </c>
      <c r="J18" s="4">
        <v>-24.064</v>
      </c>
      <c r="K18" s="4">
        <f>+K17*0.25</f>
        <v>19.032573049999996</v>
      </c>
      <c r="L18" s="4">
        <f t="shared" ref="L18:N18" si="43">+L17*0.25</f>
        <v>3.3147277494999781</v>
      </c>
      <c r="M18" s="4">
        <f t="shared" si="43"/>
        <v>22.795951371955027</v>
      </c>
      <c r="N18" s="4">
        <f t="shared" si="43"/>
        <v>28.535566370430956</v>
      </c>
      <c r="P18" s="26">
        <v>11.03</v>
      </c>
      <c r="Q18" s="26">
        <v>35.503999999999998</v>
      </c>
      <c r="R18" s="26">
        <v>22.459</v>
      </c>
      <c r="S18" s="26">
        <v>46.524999999999999</v>
      </c>
      <c r="T18" s="26">
        <f>SUM(G18:J18)</f>
        <v>-49.969000000000001</v>
      </c>
      <c r="U18" s="2">
        <f t="shared" si="38"/>
        <v>73.67881854188596</v>
      </c>
      <c r="V18" s="2">
        <f>+V17*0.25</f>
        <v>-9.5891770231763758</v>
      </c>
      <c r="W18" s="2">
        <f t="shared" ref="W18:AI18" si="44">+W17*0.25</f>
        <v>66.634916756547668</v>
      </c>
      <c r="X18" s="2">
        <f t="shared" si="44"/>
        <v>136.0740624172841</v>
      </c>
      <c r="Y18" s="2">
        <f t="shared" si="44"/>
        <v>196.32973455119779</v>
      </c>
      <c r="Z18" s="2">
        <f t="shared" si="44"/>
        <v>223.67275843133493</v>
      </c>
      <c r="AA18" s="2">
        <f t="shared" si="44"/>
        <v>252.1035324842012</v>
      </c>
      <c r="AB18" s="2">
        <f t="shared" si="44"/>
        <v>263.46369764727103</v>
      </c>
      <c r="AC18" s="2">
        <f t="shared" si="44"/>
        <v>275.11433262832077</v>
      </c>
      <c r="AD18" s="2">
        <f t="shared" si="44"/>
        <v>287.06188013062928</v>
      </c>
      <c r="AE18" s="2">
        <f t="shared" si="44"/>
        <v>299.31291804942288</v>
      </c>
      <c r="AF18" s="2">
        <f t="shared" si="44"/>
        <v>311.87416223913033</v>
      </c>
      <c r="AG18" s="2">
        <f t="shared" si="44"/>
        <v>324.75246933661572</v>
      </c>
      <c r="AH18" s="2">
        <f t="shared" si="44"/>
        <v>337.95483964151708</v>
      </c>
      <c r="AI18" s="2">
        <f t="shared" si="44"/>
        <v>351.48842005483914</v>
      </c>
    </row>
    <row r="19" spans="2:150" s="2" customFormat="1" x14ac:dyDescent="0.2">
      <c r="B19" s="2" t="s">
        <v>19</v>
      </c>
      <c r="C19" s="4"/>
      <c r="D19" s="4"/>
      <c r="E19" s="4"/>
      <c r="F19" s="4">
        <f t="shared" ref="F19:I19" si="45">+F17-F18</f>
        <v>3.0949999999999784</v>
      </c>
      <c r="G19" s="4">
        <f t="shared" si="45"/>
        <v>-42.439000000000021</v>
      </c>
      <c r="H19" s="4">
        <f t="shared" si="45"/>
        <v>-67.500000000000028</v>
      </c>
      <c r="I19" s="4">
        <f t="shared" si="45"/>
        <v>-46.91099999999981</v>
      </c>
      <c r="J19" s="4">
        <f>+J17-J18</f>
        <v>-7.9110000000000298</v>
      </c>
      <c r="K19" s="4">
        <f t="shared" ref="K19:N19" si="46">+K17-K18</f>
        <v>57.097719149999989</v>
      </c>
      <c r="L19" s="4">
        <f t="shared" si="46"/>
        <v>9.9441832484999342</v>
      </c>
      <c r="M19" s="4">
        <f t="shared" si="46"/>
        <v>68.387854115865082</v>
      </c>
      <c r="N19" s="4">
        <f t="shared" si="46"/>
        <v>85.606699111292869</v>
      </c>
      <c r="P19" s="4">
        <f t="shared" ref="P19" si="47">+P17-P18</f>
        <v>11.911999999999972</v>
      </c>
      <c r="Q19" s="4">
        <f t="shared" ref="Q19:T19" si="48">+Q17-Q18</f>
        <v>21.609999999999971</v>
      </c>
      <c r="R19" s="4">
        <f t="shared" si="48"/>
        <v>26.769000000000123</v>
      </c>
      <c r="S19" s="4">
        <f t="shared" si="48"/>
        <v>-15.31999999999978</v>
      </c>
      <c r="T19" s="4">
        <f t="shared" ref="T19:V19" si="49">+T17-T18</f>
        <v>-164.76100000000002</v>
      </c>
      <c r="U19" s="4">
        <f t="shared" si="49"/>
        <v>-387.343544374342</v>
      </c>
      <c r="V19" s="4">
        <f t="shared" si="49"/>
        <v>-28.767531069529127</v>
      </c>
      <c r="W19" s="4">
        <f t="shared" ref="W19" si="50">+W17-W18</f>
        <v>199.90475026964299</v>
      </c>
      <c r="X19" s="4">
        <f t="shared" ref="X19" si="51">+X17-X18</f>
        <v>408.22218725185229</v>
      </c>
      <c r="Y19" s="4">
        <f t="shared" ref="Y19" si="52">+Y17-Y18</f>
        <v>588.98920365359334</v>
      </c>
      <c r="Z19" s="4">
        <f t="shared" ref="Z19" si="53">+Z17-Z18</f>
        <v>671.01827529400475</v>
      </c>
      <c r="AA19" s="4">
        <f t="shared" ref="AA19" si="54">+AA17-AA18</f>
        <v>756.31059745260359</v>
      </c>
      <c r="AB19" s="4">
        <f t="shared" ref="AB19" si="55">+AB17-AB18</f>
        <v>790.3910929418131</v>
      </c>
      <c r="AC19" s="4">
        <f t="shared" ref="AC19" si="56">+AC17-AC18</f>
        <v>825.3429978849623</v>
      </c>
      <c r="AD19" s="4">
        <f t="shared" ref="AD19" si="57">+AD17-AD18</f>
        <v>861.18564039188777</v>
      </c>
      <c r="AE19" s="4">
        <f t="shared" ref="AE19" si="58">+AE17-AE18</f>
        <v>897.93875414826857</v>
      </c>
      <c r="AF19" s="4">
        <f t="shared" ref="AF19" si="59">+AF17-AF18</f>
        <v>935.62248671739098</v>
      </c>
      <c r="AG19" s="4">
        <f t="shared" ref="AG19" si="60">+AG17-AG18</f>
        <v>974.25740800984715</v>
      </c>
      <c r="AH19" s="4">
        <f t="shared" ref="AH19" si="61">+AH17-AH18</f>
        <v>1013.8645189245512</v>
      </c>
      <c r="AI19" s="4">
        <f t="shared" ref="AI19" si="62">+AI17-AI18</f>
        <v>1054.4652601645175</v>
      </c>
      <c r="AJ19" s="2">
        <f>AI19*(1+$AL$22)</f>
        <v>1043.9206075628724</v>
      </c>
      <c r="AK19" s="2">
        <f t="shared" ref="AK19:CV19" si="63">AJ19*(1+$AL$22)</f>
        <v>1033.4814014872436</v>
      </c>
      <c r="AL19" s="2">
        <f t="shared" si="63"/>
        <v>1023.1465874723712</v>
      </c>
      <c r="AM19" s="2">
        <f t="shared" si="63"/>
        <v>1012.9151215976474</v>
      </c>
      <c r="AN19" s="2">
        <f t="shared" si="63"/>
        <v>1002.7859703816709</v>
      </c>
      <c r="AO19" s="2">
        <f t="shared" si="63"/>
        <v>992.75811067785423</v>
      </c>
      <c r="AP19" s="2">
        <f t="shared" si="63"/>
        <v>982.83052957107566</v>
      </c>
      <c r="AQ19" s="2">
        <f t="shared" si="63"/>
        <v>973.00222427536494</v>
      </c>
      <c r="AR19" s="2">
        <f t="shared" si="63"/>
        <v>963.27220203261129</v>
      </c>
      <c r="AS19" s="2">
        <f t="shared" si="63"/>
        <v>953.63948001228516</v>
      </c>
      <c r="AT19" s="2">
        <f t="shared" si="63"/>
        <v>944.10308521216234</v>
      </c>
      <c r="AU19" s="2">
        <f t="shared" si="63"/>
        <v>934.66205436004066</v>
      </c>
      <c r="AV19" s="2">
        <f t="shared" si="63"/>
        <v>925.31543381644019</v>
      </c>
      <c r="AW19" s="2">
        <f t="shared" si="63"/>
        <v>916.06227947827574</v>
      </c>
      <c r="AX19" s="2">
        <f t="shared" si="63"/>
        <v>906.901656683493</v>
      </c>
      <c r="AY19" s="2">
        <f t="shared" si="63"/>
        <v>897.83264011665801</v>
      </c>
      <c r="AZ19" s="2">
        <f t="shared" si="63"/>
        <v>888.85431371549146</v>
      </c>
      <c r="BA19" s="2">
        <f t="shared" si="63"/>
        <v>879.96577057833656</v>
      </c>
      <c r="BB19" s="2">
        <f t="shared" si="63"/>
        <v>871.16611287255319</v>
      </c>
      <c r="BC19" s="2">
        <f t="shared" si="63"/>
        <v>862.45445174382769</v>
      </c>
      <c r="BD19" s="2">
        <f t="shared" si="63"/>
        <v>853.82990722638942</v>
      </c>
      <c r="BE19" s="2">
        <f t="shared" si="63"/>
        <v>845.29160815412547</v>
      </c>
      <c r="BF19" s="2">
        <f t="shared" si="63"/>
        <v>836.83869207258419</v>
      </c>
      <c r="BG19" s="2">
        <f t="shared" si="63"/>
        <v>828.47030515185838</v>
      </c>
      <c r="BH19" s="2">
        <f t="shared" si="63"/>
        <v>820.18560210033979</v>
      </c>
      <c r="BI19" s="2">
        <f t="shared" si="63"/>
        <v>811.98374607933636</v>
      </c>
      <c r="BJ19" s="2">
        <f t="shared" si="63"/>
        <v>803.86390861854295</v>
      </c>
      <c r="BK19" s="2">
        <f t="shared" si="63"/>
        <v>795.82526953235754</v>
      </c>
      <c r="BL19" s="2">
        <f t="shared" si="63"/>
        <v>787.86701683703393</v>
      </c>
      <c r="BM19" s="2">
        <f t="shared" si="63"/>
        <v>779.98834666866355</v>
      </c>
      <c r="BN19" s="2">
        <f t="shared" si="63"/>
        <v>772.1884632019769</v>
      </c>
      <c r="BO19" s="2">
        <f t="shared" si="63"/>
        <v>764.46657856995716</v>
      </c>
      <c r="BP19" s="2">
        <f t="shared" si="63"/>
        <v>756.82191278425762</v>
      </c>
      <c r="BQ19" s="2">
        <f t="shared" si="63"/>
        <v>749.25369365641507</v>
      </c>
      <c r="BR19" s="2">
        <f t="shared" si="63"/>
        <v>741.76115671985087</v>
      </c>
      <c r="BS19" s="2">
        <f t="shared" si="63"/>
        <v>734.34354515265238</v>
      </c>
      <c r="BT19" s="2">
        <f t="shared" si="63"/>
        <v>727.00010970112589</v>
      </c>
      <c r="BU19" s="2">
        <f t="shared" si="63"/>
        <v>719.73010860411466</v>
      </c>
      <c r="BV19" s="2">
        <f t="shared" si="63"/>
        <v>712.53280751807347</v>
      </c>
      <c r="BW19" s="2">
        <f t="shared" si="63"/>
        <v>705.40747944289274</v>
      </c>
      <c r="BX19" s="2">
        <f t="shared" si="63"/>
        <v>698.35340464846377</v>
      </c>
      <c r="BY19" s="2">
        <f t="shared" si="63"/>
        <v>691.36987060197907</v>
      </c>
      <c r="BZ19" s="2">
        <f t="shared" si="63"/>
        <v>684.4561718959593</v>
      </c>
      <c r="CA19" s="2">
        <f t="shared" si="63"/>
        <v>677.61161017699965</v>
      </c>
      <c r="CB19" s="2">
        <f t="shared" si="63"/>
        <v>670.83549407522969</v>
      </c>
      <c r="CC19" s="2">
        <f t="shared" si="63"/>
        <v>664.12713913447737</v>
      </c>
      <c r="CD19" s="2">
        <f t="shared" si="63"/>
        <v>657.48586774313264</v>
      </c>
      <c r="CE19" s="2">
        <f t="shared" si="63"/>
        <v>650.91100906570136</v>
      </c>
      <c r="CF19" s="2">
        <f t="shared" si="63"/>
        <v>644.40189897504433</v>
      </c>
      <c r="CG19" s="2">
        <f t="shared" si="63"/>
        <v>637.95787998529386</v>
      </c>
      <c r="CH19" s="2">
        <f t="shared" si="63"/>
        <v>631.57830118544086</v>
      </c>
      <c r="CI19" s="2">
        <f t="shared" si="63"/>
        <v>625.2625181735865</v>
      </c>
      <c r="CJ19" s="2">
        <f t="shared" si="63"/>
        <v>619.00989299185062</v>
      </c>
      <c r="CK19" s="2">
        <f t="shared" si="63"/>
        <v>612.81979406193216</v>
      </c>
      <c r="CL19" s="2">
        <f t="shared" si="63"/>
        <v>606.69159612131284</v>
      </c>
      <c r="CM19" s="2">
        <f t="shared" si="63"/>
        <v>600.62468016009973</v>
      </c>
      <c r="CN19" s="2">
        <f t="shared" si="63"/>
        <v>594.61843335849869</v>
      </c>
      <c r="CO19" s="2">
        <f t="shared" si="63"/>
        <v>588.67224902491375</v>
      </c>
      <c r="CP19" s="2">
        <f t="shared" si="63"/>
        <v>582.78552653466465</v>
      </c>
      <c r="CQ19" s="2">
        <f t="shared" si="63"/>
        <v>576.95767126931798</v>
      </c>
      <c r="CR19" s="2">
        <f t="shared" si="63"/>
        <v>571.18809455662483</v>
      </c>
      <c r="CS19" s="2">
        <f t="shared" si="63"/>
        <v>565.4762136110586</v>
      </c>
      <c r="CT19" s="2">
        <f t="shared" si="63"/>
        <v>559.82145147494805</v>
      </c>
      <c r="CU19" s="2">
        <f t="shared" si="63"/>
        <v>554.22323696019862</v>
      </c>
      <c r="CV19" s="2">
        <f t="shared" si="63"/>
        <v>548.68100459059667</v>
      </c>
      <c r="CW19" s="2">
        <f t="shared" ref="CW19:ET19" si="64">CV19*(1+$AL$22)</f>
        <v>543.19419454469073</v>
      </c>
      <c r="CX19" s="2">
        <f t="shared" si="64"/>
        <v>537.76225259924377</v>
      </c>
      <c r="CY19" s="2">
        <f t="shared" si="64"/>
        <v>532.38463007325129</v>
      </c>
      <c r="CZ19" s="2">
        <f t="shared" si="64"/>
        <v>527.06078377251879</v>
      </c>
      <c r="DA19" s="2">
        <f t="shared" si="64"/>
        <v>521.79017593479364</v>
      </c>
      <c r="DB19" s="2">
        <f t="shared" si="64"/>
        <v>516.57227417544573</v>
      </c>
      <c r="DC19" s="2">
        <f t="shared" si="64"/>
        <v>511.40655143369128</v>
      </c>
      <c r="DD19" s="2">
        <f t="shared" si="64"/>
        <v>506.29248591935436</v>
      </c>
      <c r="DE19" s="2">
        <f t="shared" si="64"/>
        <v>501.22956106016079</v>
      </c>
      <c r="DF19" s="2">
        <f t="shared" si="64"/>
        <v>496.21726544955919</v>
      </c>
      <c r="DG19" s="2">
        <f t="shared" si="64"/>
        <v>491.2550927950636</v>
      </c>
      <c r="DH19" s="2">
        <f t="shared" si="64"/>
        <v>486.34254186711297</v>
      </c>
      <c r="DI19" s="2">
        <f t="shared" si="64"/>
        <v>481.47911644844186</v>
      </c>
      <c r="DJ19" s="2">
        <f t="shared" si="64"/>
        <v>476.66432528395745</v>
      </c>
      <c r="DK19" s="2">
        <f t="shared" si="64"/>
        <v>471.89768203111788</v>
      </c>
      <c r="DL19" s="2">
        <f t="shared" si="64"/>
        <v>467.1787052108067</v>
      </c>
      <c r="DM19" s="2">
        <f t="shared" si="64"/>
        <v>462.50691815869862</v>
      </c>
      <c r="DN19" s="2">
        <f t="shared" si="64"/>
        <v>457.88184897711164</v>
      </c>
      <c r="DO19" s="2">
        <f t="shared" si="64"/>
        <v>453.30303048734055</v>
      </c>
      <c r="DP19" s="2">
        <f t="shared" si="64"/>
        <v>448.77000018246713</v>
      </c>
      <c r="DQ19" s="2">
        <f t="shared" si="64"/>
        <v>444.28230018064244</v>
      </c>
      <c r="DR19" s="2">
        <f t="shared" si="64"/>
        <v>439.83947717883603</v>
      </c>
      <c r="DS19" s="2">
        <f t="shared" si="64"/>
        <v>435.44108240704765</v>
      </c>
      <c r="DT19" s="2">
        <f t="shared" si="64"/>
        <v>431.08667158297715</v>
      </c>
      <c r="DU19" s="2">
        <f t="shared" si="64"/>
        <v>426.77580486714737</v>
      </c>
      <c r="DV19" s="2">
        <f t="shared" si="64"/>
        <v>422.50804681847592</v>
      </c>
      <c r="DW19" s="2">
        <f t="shared" si="64"/>
        <v>418.28296635029113</v>
      </c>
      <c r="DX19" s="2">
        <f t="shared" si="64"/>
        <v>414.10013668678823</v>
      </c>
      <c r="DY19" s="2">
        <f t="shared" si="64"/>
        <v>409.95913531992034</v>
      </c>
      <c r="DZ19" s="2">
        <f t="shared" si="64"/>
        <v>405.85954396672111</v>
      </c>
      <c r="EA19" s="2">
        <f t="shared" si="64"/>
        <v>401.80094852705389</v>
      </c>
      <c r="EB19" s="2">
        <f t="shared" si="64"/>
        <v>397.78293904178332</v>
      </c>
      <c r="EC19" s="2">
        <f t="shared" si="64"/>
        <v>393.80510965136551</v>
      </c>
      <c r="ED19" s="2">
        <f t="shared" si="64"/>
        <v>389.86705855485184</v>
      </c>
      <c r="EE19" s="2">
        <f t="shared" si="64"/>
        <v>385.96838796930331</v>
      </c>
      <c r="EF19" s="2">
        <f t="shared" si="64"/>
        <v>382.10870408961028</v>
      </c>
      <c r="EG19" s="2">
        <f t="shared" si="64"/>
        <v>378.2876170487142</v>
      </c>
      <c r="EH19" s="2">
        <f t="shared" si="64"/>
        <v>374.50474087822704</v>
      </c>
      <c r="EI19" s="2">
        <f t="shared" si="64"/>
        <v>370.75969346944476</v>
      </c>
      <c r="EJ19" s="2">
        <f t="shared" si="64"/>
        <v>367.05209653475032</v>
      </c>
      <c r="EK19" s="2">
        <f t="shared" si="64"/>
        <v>363.3815755694028</v>
      </c>
      <c r="EL19" s="2">
        <f t="shared" si="64"/>
        <v>359.74775981370874</v>
      </c>
      <c r="EM19" s="2">
        <f t="shared" si="64"/>
        <v>356.15028221557162</v>
      </c>
      <c r="EN19" s="2">
        <f t="shared" si="64"/>
        <v>352.5887793934159</v>
      </c>
      <c r="EO19" s="2">
        <f t="shared" si="64"/>
        <v>349.06289159948176</v>
      </c>
      <c r="EP19" s="2">
        <f t="shared" si="64"/>
        <v>345.57226268348694</v>
      </c>
      <c r="EQ19" s="2">
        <f t="shared" si="64"/>
        <v>342.11654005665207</v>
      </c>
      <c r="ER19" s="2">
        <f t="shared" si="64"/>
        <v>338.69537465608556</v>
      </c>
      <c r="ES19" s="2">
        <f t="shared" si="64"/>
        <v>335.30842090952473</v>
      </c>
      <c r="ET19" s="2">
        <f t="shared" si="64"/>
        <v>331.95533670042948</v>
      </c>
    </row>
    <row r="21" spans="2:150" s="10" customFormat="1" x14ac:dyDescent="0.2">
      <c r="B21" s="5" t="s">
        <v>30</v>
      </c>
      <c r="C21" s="8"/>
      <c r="D21" s="8"/>
      <c r="E21" s="8"/>
      <c r="F21" s="8"/>
      <c r="G21" s="8"/>
      <c r="H21" s="8"/>
      <c r="I21" s="8"/>
      <c r="J21" s="9">
        <f>J7/F7-1</f>
        <v>0.33952616593517271</v>
      </c>
      <c r="K21" s="9">
        <f>K7/G7-1</f>
        <v>0.290772385198381</v>
      </c>
      <c r="L21" s="9">
        <f t="shared" ref="L21:N21" si="65">L7/H7-1</f>
        <v>0.26056546228582267</v>
      </c>
      <c r="M21" s="9">
        <f t="shared" si="65"/>
        <v>0.25441483031189271</v>
      </c>
      <c r="N21" s="9">
        <f t="shared" si="65"/>
        <v>0.23675269500000007</v>
      </c>
      <c r="Q21" s="30">
        <f t="shared" ref="Q21:U21" si="66">Q7/P7-1</f>
        <v>0.86198675192315433</v>
      </c>
      <c r="R21" s="30">
        <f t="shared" si="66"/>
        <v>0.57207739514907319</v>
      </c>
      <c r="S21" s="30">
        <f t="shared" si="66"/>
        <v>0.45155491006152881</v>
      </c>
      <c r="T21" s="30">
        <f t="shared" si="66"/>
        <v>0.34800589696890216</v>
      </c>
      <c r="U21" s="30">
        <f>U7/T7-1</f>
        <v>0.25854048690894849</v>
      </c>
      <c r="V21" s="30">
        <f t="shared" ref="V21:AA21" si="67">V7/U7-1</f>
        <v>0.19999999999999996</v>
      </c>
      <c r="W21" s="30">
        <f t="shared" si="67"/>
        <v>0.19999999999999996</v>
      </c>
      <c r="X21" s="30">
        <f t="shared" si="67"/>
        <v>0.14999999999999991</v>
      </c>
      <c r="Y21" s="30">
        <f t="shared" si="67"/>
        <v>0.10000000000000009</v>
      </c>
      <c r="Z21" s="30">
        <f t="shared" si="67"/>
        <v>2.0000000000000018E-2</v>
      </c>
      <c r="AA21" s="30">
        <f t="shared" si="67"/>
        <v>2.0000000000000018E-2</v>
      </c>
    </row>
    <row r="22" spans="2:150" x14ac:dyDescent="0.2">
      <c r="B22" s="2" t="s">
        <v>33</v>
      </c>
      <c r="G22" s="7">
        <f>G7/F7-1</f>
        <v>-8.928682440413338E-3</v>
      </c>
      <c r="H22" s="7">
        <f>H7/G7-1</f>
        <v>0.11611966372217086</v>
      </c>
      <c r="I22" s="7">
        <f>I7/H7-1</f>
        <v>9.5344475120655803E-2</v>
      </c>
      <c r="J22" s="7">
        <f>J7/I7-1</f>
        <v>0.10556635175956752</v>
      </c>
      <c r="K22" s="7">
        <f>K7/J7-1</f>
        <v>-4.500000000000004E-2</v>
      </c>
      <c r="L22" s="7">
        <f t="shared" ref="L22:N22" si="68">L7/K7-1</f>
        <v>9.000000000000008E-2</v>
      </c>
      <c r="M22" s="7">
        <f t="shared" si="68"/>
        <v>9.000000000000008E-2</v>
      </c>
      <c r="N22" s="7">
        <f t="shared" si="68"/>
        <v>9.000000000000008E-2</v>
      </c>
      <c r="AK22" t="s">
        <v>97</v>
      </c>
      <c r="AL22" s="11">
        <v>-0.01</v>
      </c>
    </row>
    <row r="23" spans="2:150" x14ac:dyDescent="0.2">
      <c r="B23" s="2" t="s">
        <v>34</v>
      </c>
      <c r="G23" s="7"/>
      <c r="H23" s="7"/>
      <c r="I23" s="7"/>
      <c r="J23" s="7">
        <f t="shared" ref="J23:N25" si="69">J10/F10-1</f>
        <v>0.30121707020117983</v>
      </c>
      <c r="K23" s="7">
        <f t="shared" si="69"/>
        <v>0.25</v>
      </c>
      <c r="L23" s="7">
        <f t="shared" si="69"/>
        <v>0.25</v>
      </c>
      <c r="M23" s="7">
        <f t="shared" si="69"/>
        <v>0.25</v>
      </c>
      <c r="N23" s="7">
        <f t="shared" si="69"/>
        <v>0.25</v>
      </c>
      <c r="AK23" t="s">
        <v>98</v>
      </c>
      <c r="AL23" s="11">
        <v>0.08</v>
      </c>
    </row>
    <row r="24" spans="2:150" x14ac:dyDescent="0.2">
      <c r="B24" s="2" t="s">
        <v>35</v>
      </c>
      <c r="G24" s="7"/>
      <c r="H24" s="7"/>
      <c r="I24" s="7"/>
      <c r="J24" s="7">
        <f t="shared" si="69"/>
        <v>0.44564805142092911</v>
      </c>
      <c r="K24" s="7">
        <f t="shared" si="69"/>
        <v>0.25</v>
      </c>
      <c r="L24" s="7">
        <f t="shared" si="69"/>
        <v>0.25</v>
      </c>
      <c r="M24" s="7">
        <f t="shared" si="69"/>
        <v>0.25</v>
      </c>
      <c r="N24" s="7">
        <f t="shared" si="69"/>
        <v>0.24999999999999978</v>
      </c>
      <c r="AK24" t="s">
        <v>99</v>
      </c>
      <c r="AL24" s="2">
        <f>NPV(AL23,V19:ET19)</f>
        <v>9057.6744498551852</v>
      </c>
    </row>
    <row r="25" spans="2:150" x14ac:dyDescent="0.2">
      <c r="B25" s="2" t="s">
        <v>36</v>
      </c>
      <c r="G25" s="7"/>
      <c r="H25" s="7"/>
      <c r="I25" s="7"/>
      <c r="J25" s="7">
        <f t="shared" si="69"/>
        <v>0.24233369864146748</v>
      </c>
      <c r="K25" s="7">
        <f t="shared" si="69"/>
        <v>0.25</v>
      </c>
      <c r="L25" s="7">
        <f t="shared" si="69"/>
        <v>0.25</v>
      </c>
      <c r="M25" s="7">
        <f t="shared" si="69"/>
        <v>0.25</v>
      </c>
      <c r="N25" s="7">
        <f t="shared" si="69"/>
        <v>0.25000000000000022</v>
      </c>
      <c r="AK25" t="s">
        <v>100</v>
      </c>
      <c r="AL25" s="2">
        <f>AL24+Main!K5-Main!K6</f>
        <v>11050.522449855185</v>
      </c>
    </row>
    <row r="26" spans="2:150" x14ac:dyDescent="0.2">
      <c r="AK26" t="s">
        <v>101</v>
      </c>
      <c r="AL26" s="1">
        <f>AL25/Main!K3</f>
        <v>83.669173719696431</v>
      </c>
    </row>
    <row r="27" spans="2:150" x14ac:dyDescent="0.2">
      <c r="B27" s="2" t="s">
        <v>31</v>
      </c>
      <c r="F27" s="7">
        <f t="shared" ref="F27:I27" si="70">F9/F7</f>
        <v>0.86493988486739848</v>
      </c>
      <c r="G27" s="7">
        <f t="shared" si="70"/>
        <v>0.86136458795616022</v>
      </c>
      <c r="H27" s="7">
        <f t="shared" si="70"/>
        <v>0.85937743682690892</v>
      </c>
      <c r="I27" s="7">
        <f t="shared" si="70"/>
        <v>0.85714633880412272</v>
      </c>
      <c r="J27" s="7">
        <f>J9/J7</f>
        <v>0.86193429818515965</v>
      </c>
      <c r="K27" s="7">
        <f t="shared" ref="K27:N27" si="71">K9/K7</f>
        <v>0.86</v>
      </c>
      <c r="L27" s="7">
        <f t="shared" si="71"/>
        <v>0.86</v>
      </c>
      <c r="M27" s="7">
        <f t="shared" si="71"/>
        <v>0.86</v>
      </c>
      <c r="N27" s="7">
        <f t="shared" si="71"/>
        <v>0.86</v>
      </c>
      <c r="P27" s="7">
        <f t="shared" ref="P27" si="72">P9/P7</f>
        <v>0.84402582206825505</v>
      </c>
      <c r="Q27" s="7">
        <f t="shared" ref="Q27:R27" si="73">Q9/Q7</f>
        <v>0.87090420843579563</v>
      </c>
      <c r="R27" s="7">
        <f t="shared" si="73"/>
        <v>0.86725415345966272</v>
      </c>
      <c r="S27" s="7">
        <f t="shared" ref="S27" si="74">S9/S7</f>
        <v>0.86758546526066049</v>
      </c>
      <c r="T27" s="7">
        <f t="shared" ref="T27:U27" si="75">T9/T7</f>
        <v>0.85995638118285689</v>
      </c>
      <c r="U27" s="7">
        <f t="shared" si="75"/>
        <v>0.8600000000000001</v>
      </c>
      <c r="V27" s="7">
        <f t="shared" ref="V27:AI27" si="76">V9/V7</f>
        <v>0.86</v>
      </c>
      <c r="W27" s="7">
        <f t="shared" si="76"/>
        <v>0.8600000000000001</v>
      </c>
      <c r="X27" s="7">
        <f t="shared" si="76"/>
        <v>0.86</v>
      </c>
      <c r="Y27" s="7">
        <f t="shared" si="76"/>
        <v>0.86</v>
      </c>
      <c r="Z27" s="7">
        <f t="shared" si="76"/>
        <v>0.86</v>
      </c>
      <c r="AA27" s="7">
        <f t="shared" si="76"/>
        <v>0.8600000000000001</v>
      </c>
      <c r="AB27" s="7">
        <f t="shared" si="76"/>
        <v>0.86</v>
      </c>
      <c r="AC27" s="7">
        <f t="shared" si="76"/>
        <v>0.86</v>
      </c>
      <c r="AD27" s="7">
        <f t="shared" si="76"/>
        <v>0.86</v>
      </c>
      <c r="AE27" s="7">
        <f t="shared" si="76"/>
        <v>0.86</v>
      </c>
      <c r="AF27" s="7">
        <f t="shared" si="76"/>
        <v>0.86</v>
      </c>
      <c r="AG27" s="7">
        <f t="shared" si="76"/>
        <v>0.86</v>
      </c>
      <c r="AH27" s="7">
        <f t="shared" si="76"/>
        <v>0.86</v>
      </c>
      <c r="AI27" s="7">
        <f t="shared" si="76"/>
        <v>0.86</v>
      </c>
    </row>
    <row r="28" spans="2:150" x14ac:dyDescent="0.2">
      <c r="B28" s="2" t="s">
        <v>94</v>
      </c>
      <c r="F28" s="7">
        <f>F10/F7</f>
        <v>0.34848593169130537</v>
      </c>
      <c r="G28" s="7">
        <f t="shared" ref="G28:N28" si="77">G10/G7</f>
        <v>0.36010770174082268</v>
      </c>
      <c r="H28" s="7">
        <f t="shared" si="77"/>
        <v>0.36709027938769345</v>
      </c>
      <c r="I28" s="7">
        <f t="shared" si="77"/>
        <v>0.34050244036967914</v>
      </c>
      <c r="J28" s="7">
        <f t="shared" si="77"/>
        <v>0.33851958593516135</v>
      </c>
      <c r="K28" s="7">
        <f t="shared" si="77"/>
        <v>0.34873276833145639</v>
      </c>
      <c r="L28" s="7">
        <f t="shared" si="77"/>
        <v>0.36401350264074867</v>
      </c>
      <c r="M28" s="7">
        <f t="shared" si="77"/>
        <v>0.33930406447464623</v>
      </c>
      <c r="N28" s="7">
        <f t="shared" si="77"/>
        <v>0.34214559153958563</v>
      </c>
      <c r="P28" s="7">
        <f t="shared" ref="P28" si="78">P10/P7</f>
        <v>0.3154087887718815</v>
      </c>
      <c r="Q28" s="7">
        <f t="shared" ref="Q28:R28" si="79">Q10/Q7</f>
        <v>0.33414891767946203</v>
      </c>
      <c r="R28" s="7">
        <f t="shared" si="79"/>
        <v>0.34156665325521984</v>
      </c>
      <c r="S28" s="7">
        <f t="shared" ref="S28" si="80">S10/S7</f>
        <v>0.3490276356192426</v>
      </c>
      <c r="T28" s="7">
        <f t="shared" ref="T28:AI28" si="81">T10/T7</f>
        <v>0.35043804379334592</v>
      </c>
      <c r="U28" s="7">
        <f t="shared" si="81"/>
        <v>0.34805996255039329</v>
      </c>
      <c r="V28" s="7">
        <f t="shared" si="81"/>
        <v>0.35</v>
      </c>
      <c r="W28" s="7">
        <f t="shared" si="81"/>
        <v>0.35</v>
      </c>
      <c r="X28" s="7">
        <f t="shared" si="81"/>
        <v>0.35</v>
      </c>
      <c r="Y28" s="7">
        <f t="shared" si="81"/>
        <v>0.35</v>
      </c>
      <c r="Z28" s="7">
        <f t="shared" si="81"/>
        <v>0.35</v>
      </c>
      <c r="AA28" s="7">
        <f t="shared" si="81"/>
        <v>0.35000000000000003</v>
      </c>
      <c r="AB28" s="7">
        <f t="shared" si="81"/>
        <v>0.35</v>
      </c>
      <c r="AC28" s="7">
        <f t="shared" si="81"/>
        <v>0.35000000000000003</v>
      </c>
      <c r="AD28" s="7">
        <f t="shared" si="81"/>
        <v>0.35</v>
      </c>
      <c r="AE28" s="7">
        <f t="shared" si="81"/>
        <v>0.35</v>
      </c>
      <c r="AF28" s="7">
        <f t="shared" si="81"/>
        <v>0.35</v>
      </c>
      <c r="AG28" s="7">
        <f t="shared" si="81"/>
        <v>0.35</v>
      </c>
      <c r="AH28" s="7">
        <f t="shared" si="81"/>
        <v>0.35</v>
      </c>
      <c r="AI28" s="7">
        <f t="shared" si="81"/>
        <v>0.35</v>
      </c>
    </row>
    <row r="29" spans="2:150" x14ac:dyDescent="0.2">
      <c r="B29" s="2" t="s">
        <v>95</v>
      </c>
      <c r="F29" s="7">
        <f>F11/F7</f>
        <v>0.23357402180805428</v>
      </c>
      <c r="G29" s="7">
        <f t="shared" ref="G29:N29" si="82">G11/G7</f>
        <v>0.25965716723094562</v>
      </c>
      <c r="H29" s="7">
        <f t="shared" si="82"/>
        <v>0.26714015750244124</v>
      </c>
      <c r="I29" s="7">
        <f t="shared" si="82"/>
        <v>0.25998370949018396</v>
      </c>
      <c r="J29" s="7">
        <f t="shared" si="82"/>
        <v>0.25207856186491606</v>
      </c>
      <c r="K29" s="7">
        <f t="shared" si="82"/>
        <v>0.25145522383390478</v>
      </c>
      <c r="L29" s="7">
        <f t="shared" si="82"/>
        <v>0.26490111530783539</v>
      </c>
      <c r="M29" s="7">
        <f t="shared" si="82"/>
        <v>0.25906871396117687</v>
      </c>
      <c r="N29" s="7">
        <f t="shared" si="82"/>
        <v>0.25477866642622926</v>
      </c>
      <c r="P29" s="7">
        <f t="shared" ref="P29" si="83">P11/P7</f>
        <v>0.25320717211584315</v>
      </c>
      <c r="Q29" s="7">
        <f t="shared" ref="Q29:R29" si="84">Q11/Q7</f>
        <v>0.26450336261414836</v>
      </c>
      <c r="R29" s="7">
        <f t="shared" si="84"/>
        <v>0.25883634436670161</v>
      </c>
      <c r="S29" s="7">
        <f t="shared" ref="S29" si="85">S11/S7</f>
        <v>0.24165854278524965</v>
      </c>
      <c r="T29" s="7">
        <f t="shared" ref="T29:U29" si="86">T11/T7</f>
        <v>0.25933904419088361</v>
      </c>
      <c r="U29" s="7">
        <f t="shared" si="86"/>
        <v>0.25757916301508504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2:150" x14ac:dyDescent="0.2">
      <c r="B30" t="s">
        <v>32</v>
      </c>
      <c r="F30" s="7">
        <f t="shared" ref="F30:I30" si="87">F15/F7</f>
        <v>2.2028745850377316E-2</v>
      </c>
      <c r="G30" s="7">
        <f t="shared" si="87"/>
        <v>-2.7003843578432721E-2</v>
      </c>
      <c r="H30" s="7">
        <f t="shared" si="87"/>
        <v>-0.11401434522680495</v>
      </c>
      <c r="I30" s="7">
        <f t="shared" si="87"/>
        <v>-4.7051353587439393E-2</v>
      </c>
      <c r="J30" s="7">
        <f>J15/J7</f>
        <v>-1.8439622505783806E-2</v>
      </c>
      <c r="K30" s="7">
        <f t="shared" ref="K30:N30" si="88">K15/K7</f>
        <v>0.11202929134141043</v>
      </c>
      <c r="L30" s="7">
        <f t="shared" si="88"/>
        <v>3.2703171138174267E-2</v>
      </c>
      <c r="M30" s="7">
        <f t="shared" si="88"/>
        <v>0.10968596828426523</v>
      </c>
      <c r="N30" s="7">
        <f t="shared" si="88"/>
        <v>0.12216736131735471</v>
      </c>
      <c r="P30" s="7">
        <f t="shared" ref="P30" si="89">P15/P7</f>
        <v>4.949357416567559E-2</v>
      </c>
      <c r="Q30" s="7">
        <f t="shared" ref="Q30:R30" si="90">Q15/Q7</f>
        <v>5.8481408687978791E-2</v>
      </c>
      <c r="R30" s="7">
        <f t="shared" si="90"/>
        <v>3.1279419317063038E-2</v>
      </c>
      <c r="S30" s="7">
        <f t="shared" ref="S30" si="91">S15/S7</f>
        <v>1.6286072399670729E-2</v>
      </c>
      <c r="T30" s="7">
        <f t="shared" ref="T30:U30" si="92">T15/T7</f>
        <v>-5.0466897878271876E-2</v>
      </c>
      <c r="U30" s="7">
        <f t="shared" si="92"/>
        <v>-6.6239275093567571E-2</v>
      </c>
      <c r="V30" s="7">
        <f t="shared" ref="V30:AI30" si="93">V15/V7</f>
        <v>-8.4915974924864197E-3</v>
      </c>
      <c r="W30" s="7">
        <f t="shared" si="93"/>
        <v>4.5141956855203627E-2</v>
      </c>
      <c r="X30" s="7">
        <f t="shared" si="93"/>
        <v>8.3491966233450676E-2</v>
      </c>
      <c r="Y30" s="7">
        <f t="shared" si="93"/>
        <v>0.11045715693665301</v>
      </c>
      <c r="Z30" s="7">
        <f t="shared" si="93"/>
        <v>0.1230872442880163</v>
      </c>
      <c r="AA30" s="7">
        <f t="shared" si="93"/>
        <v>0.13567449032417492</v>
      </c>
      <c r="AB30" s="7">
        <f t="shared" si="93"/>
        <v>0.13821964949224042</v>
      </c>
      <c r="AC30" s="7">
        <f t="shared" si="93"/>
        <v>0.14072346228525051</v>
      </c>
      <c r="AD30" s="7">
        <f t="shared" si="93"/>
        <v>0.14318665550755277</v>
      </c>
      <c r="AE30" s="7">
        <f t="shared" si="93"/>
        <v>0.14560994253506498</v>
      </c>
      <c r="AF30" s="7">
        <f t="shared" si="93"/>
        <v>0.14799402357051317</v>
      </c>
      <c r="AG30" s="7">
        <f t="shared" si="93"/>
        <v>0.1503395858937433</v>
      </c>
      <c r="AH30" s="7">
        <f t="shared" si="93"/>
        <v>0.15264730410720317</v>
      </c>
      <c r="AI30" s="7">
        <f t="shared" si="93"/>
        <v>0.15491784037668885</v>
      </c>
    </row>
    <row r="32" spans="2:150" x14ac:dyDescent="0.2">
      <c r="B32" t="s">
        <v>37</v>
      </c>
      <c r="J32" s="4">
        <v>6000</v>
      </c>
    </row>
    <row r="34" spans="2:14" x14ac:dyDescent="0.2">
      <c r="B34" t="s">
        <v>54</v>
      </c>
      <c r="J34" s="4">
        <v>318900</v>
      </c>
    </row>
    <row r="35" spans="2:14" s="2" customFormat="1" x14ac:dyDescent="0.2">
      <c r="B35" s="2" t="s">
        <v>52</v>
      </c>
      <c r="C35" s="4"/>
      <c r="D35" s="4"/>
      <c r="E35" s="4"/>
      <c r="F35" s="4"/>
      <c r="G35" s="4"/>
      <c r="H35" s="4"/>
      <c r="I35" s="4"/>
      <c r="J35" s="4">
        <v>157833</v>
      </c>
      <c r="K35" s="4"/>
      <c r="L35" s="4"/>
      <c r="M35" s="4"/>
      <c r="N35" s="4"/>
    </row>
    <row r="36" spans="2:14" s="2" customFormat="1" x14ac:dyDescent="0.2">
      <c r="B36" s="2" t="s">
        <v>55</v>
      </c>
      <c r="C36" s="4"/>
      <c r="D36" s="4"/>
      <c r="E36" s="4"/>
      <c r="F36" s="4"/>
      <c r="G36" s="4"/>
      <c r="H36" s="4"/>
      <c r="I36" s="4"/>
      <c r="J36" s="7">
        <f>J35/J34</f>
        <v>0.49492944496707431</v>
      </c>
      <c r="K36" s="4"/>
      <c r="L36" s="4"/>
      <c r="M36" s="4"/>
      <c r="N36" s="4"/>
    </row>
    <row r="37" spans="2:14" s="2" customFormat="1" x14ac:dyDescent="0.2">
      <c r="B37" s="2" t="s">
        <v>53</v>
      </c>
      <c r="C37" s="4"/>
      <c r="D37" s="4"/>
      <c r="E37" s="4"/>
      <c r="F37" s="4"/>
      <c r="G37" s="4"/>
      <c r="H37" s="4"/>
      <c r="I37" s="4"/>
      <c r="J37" s="4">
        <v>7904</v>
      </c>
      <c r="K37" s="4"/>
      <c r="L37" s="4"/>
      <c r="M37" s="4"/>
      <c r="N37" s="4"/>
    </row>
    <row r="38" spans="2:14" s="2" customFormat="1" x14ac:dyDescent="0.2">
      <c r="B38" s="2" t="s">
        <v>58</v>
      </c>
      <c r="C38" s="4"/>
      <c r="D38" s="4"/>
      <c r="E38" s="4"/>
      <c r="F38" s="4"/>
      <c r="G38" s="4"/>
      <c r="H38" s="4"/>
      <c r="I38" s="4"/>
      <c r="J38" s="7">
        <f>J37/J35</f>
        <v>5.0078247261345854E-2</v>
      </c>
      <c r="K38" s="4"/>
      <c r="L38" s="4"/>
      <c r="M38" s="4"/>
      <c r="N38" s="4"/>
    </row>
    <row r="40" spans="2:14" x14ac:dyDescent="0.2">
      <c r="B40" s="2" t="s">
        <v>56</v>
      </c>
      <c r="J40" s="4">
        <v>800000</v>
      </c>
    </row>
    <row r="41" spans="2:14" x14ac:dyDescent="0.2">
      <c r="B41" s="2" t="s">
        <v>57</v>
      </c>
      <c r="J41" s="4">
        <f>J40*J42</f>
        <v>320000</v>
      </c>
    </row>
    <row r="42" spans="2:14" x14ac:dyDescent="0.2">
      <c r="B42" s="2" t="s">
        <v>55</v>
      </c>
      <c r="J42" s="7">
        <v>0.4</v>
      </c>
    </row>
    <row r="43" spans="2:14" x14ac:dyDescent="0.2">
      <c r="B43" s="2" t="s">
        <v>59</v>
      </c>
      <c r="J43" s="4">
        <f>+J41*J44</f>
        <v>28800</v>
      </c>
    </row>
    <row r="44" spans="2:14" x14ac:dyDescent="0.2">
      <c r="B44" s="2" t="s">
        <v>58</v>
      </c>
      <c r="J44" s="7">
        <v>0.09</v>
      </c>
    </row>
    <row r="45" spans="2:14" s="10" customFormat="1" x14ac:dyDescent="0.2">
      <c r="B45" s="5" t="s">
        <v>60</v>
      </c>
      <c r="C45" s="8"/>
      <c r="D45" s="8"/>
      <c r="E45" s="8"/>
      <c r="F45" s="8"/>
      <c r="G45" s="8"/>
      <c r="H45" s="8"/>
      <c r="I45" s="8"/>
      <c r="J45" s="6">
        <f>J43+J37</f>
        <v>36704</v>
      </c>
      <c r="K45" s="8"/>
      <c r="L45" s="8"/>
      <c r="M45" s="8"/>
      <c r="N45" s="8"/>
    </row>
    <row r="46" spans="2:14" x14ac:dyDescent="0.2">
      <c r="J46" s="7">
        <f>J32/J45</f>
        <v>0.16346992153443765</v>
      </c>
    </row>
    <row r="48" spans="2:14" x14ac:dyDescent="0.2">
      <c r="B48" t="s">
        <v>63</v>
      </c>
      <c r="J48" s="4">
        <f>J35+J41</f>
        <v>477833</v>
      </c>
    </row>
    <row r="49" spans="2:35" s="10" customFormat="1" x14ac:dyDescent="0.2">
      <c r="B49" s="10" t="s">
        <v>62</v>
      </c>
      <c r="C49" s="8"/>
      <c r="D49" s="8"/>
      <c r="E49" s="8"/>
      <c r="F49" s="8"/>
      <c r="G49" s="8"/>
      <c r="H49" s="8"/>
      <c r="I49" s="8"/>
      <c r="J49" s="6">
        <v>414000</v>
      </c>
      <c r="K49" s="8"/>
      <c r="L49" s="8"/>
      <c r="M49" s="8"/>
      <c r="N49" s="8"/>
    </row>
    <row r="50" spans="2:35" x14ac:dyDescent="0.2">
      <c r="J50" s="7">
        <f>J49/J48</f>
        <v>0.86641148685837943</v>
      </c>
    </row>
    <row r="52" spans="2:35" x14ac:dyDescent="0.2">
      <c r="B52" t="s">
        <v>96</v>
      </c>
      <c r="J52" s="4">
        <f>J53-J66</f>
        <v>1992.848</v>
      </c>
      <c r="K52" s="4">
        <f>+J52+K19</f>
        <v>2049.9457191500001</v>
      </c>
      <c r="L52" s="4">
        <f t="shared" ref="L52:N52" si="94">+K52+L19</f>
        <v>2059.8899023985</v>
      </c>
      <c r="M52" s="4">
        <f t="shared" si="94"/>
        <v>2128.2777565143651</v>
      </c>
      <c r="N52" s="4">
        <f t="shared" si="94"/>
        <v>2213.8844556256581</v>
      </c>
      <c r="U52" s="2">
        <f>+N52</f>
        <v>2213.8844556256581</v>
      </c>
      <c r="V52" s="2">
        <f>+U52+V19</f>
        <v>2185.1169245561291</v>
      </c>
      <c r="W52" s="2">
        <f t="shared" ref="W52:AI52" si="95">+V52+W19</f>
        <v>2385.0216748257722</v>
      </c>
      <c r="X52" s="2">
        <f t="shared" si="95"/>
        <v>2793.2438620776243</v>
      </c>
      <c r="Y52" s="2">
        <f t="shared" si="95"/>
        <v>3382.2330657312177</v>
      </c>
      <c r="Z52" s="2">
        <f t="shared" si="95"/>
        <v>4053.2513410252222</v>
      </c>
      <c r="AA52" s="2">
        <f t="shared" si="95"/>
        <v>4809.5619384778256</v>
      </c>
      <c r="AB52" s="2">
        <f t="shared" si="95"/>
        <v>5599.953031419639</v>
      </c>
      <c r="AC52" s="2">
        <f t="shared" si="95"/>
        <v>6425.2960293046017</v>
      </c>
      <c r="AD52" s="2">
        <f t="shared" si="95"/>
        <v>7286.4816696964899</v>
      </c>
      <c r="AE52" s="2">
        <f t="shared" si="95"/>
        <v>8184.4204238447583</v>
      </c>
      <c r="AF52" s="2">
        <f t="shared" si="95"/>
        <v>9120.0429105621497</v>
      </c>
      <c r="AG52" s="2">
        <f t="shared" si="95"/>
        <v>10094.300318571997</v>
      </c>
      <c r="AH52" s="2">
        <f t="shared" si="95"/>
        <v>11108.164837496548</v>
      </c>
      <c r="AI52" s="2">
        <f t="shared" si="95"/>
        <v>12162.630097661066</v>
      </c>
    </row>
    <row r="53" spans="2:35" s="2" customFormat="1" x14ac:dyDescent="0.2">
      <c r="B53" s="2" t="s">
        <v>3</v>
      </c>
      <c r="C53" s="4"/>
      <c r="D53" s="4"/>
      <c r="E53" s="4"/>
      <c r="F53" s="4">
        <f>460.887+2982.422</f>
        <v>3443.3090000000002</v>
      </c>
      <c r="G53" s="4">
        <f>1017.287+2512.588</f>
        <v>3529.875</v>
      </c>
      <c r="H53" s="4">
        <f>450.991+2582.435</f>
        <v>3033.4259999999999</v>
      </c>
      <c r="I53" s="4">
        <f>631.725+2457.607</f>
        <v>3089.3319999999999</v>
      </c>
      <c r="J53" s="4">
        <f>546.237+2573.145</f>
        <v>3119.3820000000001</v>
      </c>
      <c r="K53" s="4"/>
      <c r="L53" s="4"/>
      <c r="M53" s="4"/>
      <c r="N53" s="4"/>
    </row>
    <row r="54" spans="2:35" s="2" customFormat="1" x14ac:dyDescent="0.2">
      <c r="B54" s="2" t="s">
        <v>64</v>
      </c>
      <c r="C54" s="4"/>
      <c r="D54" s="4"/>
      <c r="E54" s="4"/>
      <c r="F54" s="4">
        <v>449.048</v>
      </c>
      <c r="G54" s="4">
        <v>424.78699999999998</v>
      </c>
      <c r="H54" s="4">
        <v>449.5</v>
      </c>
      <c r="I54" s="4">
        <v>457.97500000000002</v>
      </c>
      <c r="J54" s="4">
        <v>603.05999999999995</v>
      </c>
      <c r="K54" s="4"/>
      <c r="L54" s="4"/>
      <c r="M54" s="4"/>
      <c r="N54" s="4"/>
    </row>
    <row r="55" spans="2:35" s="2" customFormat="1" x14ac:dyDescent="0.2">
      <c r="B55" s="2" t="s">
        <v>65</v>
      </c>
      <c r="C55" s="4"/>
      <c r="D55" s="4"/>
      <c r="E55" s="4"/>
      <c r="F55" s="4">
        <v>66.561000000000007</v>
      </c>
      <c r="G55" s="4">
        <v>60.259</v>
      </c>
      <c r="H55" s="4">
        <v>58.585000000000001</v>
      </c>
      <c r="I55" s="4">
        <v>56.453000000000003</v>
      </c>
      <c r="J55" s="4">
        <v>87.706000000000003</v>
      </c>
      <c r="K55" s="4"/>
      <c r="L55" s="4"/>
      <c r="M55" s="4"/>
      <c r="N55" s="4"/>
    </row>
    <row r="56" spans="2:35" s="2" customFormat="1" x14ac:dyDescent="0.2">
      <c r="B56" s="2" t="s">
        <v>71</v>
      </c>
      <c r="C56" s="4"/>
      <c r="D56" s="4"/>
      <c r="E56" s="4"/>
      <c r="F56" s="4">
        <v>52.978000000000002</v>
      </c>
      <c r="G56" s="4">
        <v>62.8</v>
      </c>
      <c r="H56" s="4">
        <v>75.668999999999997</v>
      </c>
      <c r="I56" s="4">
        <v>72.751999999999995</v>
      </c>
      <c r="J56" s="4">
        <v>62.991999999999997</v>
      </c>
      <c r="K56" s="4"/>
      <c r="L56" s="4"/>
      <c r="M56" s="4"/>
      <c r="N56" s="4"/>
    </row>
    <row r="57" spans="2:35" s="2" customFormat="1" x14ac:dyDescent="0.2">
      <c r="B57" s="2" t="s">
        <v>70</v>
      </c>
      <c r="C57" s="4"/>
      <c r="D57" s="4"/>
      <c r="E57" s="4"/>
      <c r="F57" s="4">
        <v>110.20399999999999</v>
      </c>
      <c r="G57" s="4">
        <v>141.798</v>
      </c>
      <c r="H57" s="4">
        <v>118.718</v>
      </c>
      <c r="I57" s="4">
        <v>136.22499999999999</v>
      </c>
      <c r="J57" s="4">
        <v>61.948999999999998</v>
      </c>
      <c r="K57" s="4"/>
      <c r="L57" s="4"/>
      <c r="M57" s="4"/>
      <c r="N57" s="4"/>
    </row>
    <row r="58" spans="2:35" s="2" customFormat="1" x14ac:dyDescent="0.2">
      <c r="B58" s="2" t="s">
        <v>69</v>
      </c>
      <c r="C58" s="4"/>
      <c r="D58" s="4"/>
      <c r="E58" s="4"/>
      <c r="F58" s="4">
        <v>740.90899999999999</v>
      </c>
      <c r="G58" s="4">
        <v>755.39599999999996</v>
      </c>
      <c r="H58" s="4">
        <v>793.03399999999999</v>
      </c>
      <c r="I58" s="4">
        <v>906.18899999999996</v>
      </c>
      <c r="J58" s="4">
        <v>1047.0050000000001</v>
      </c>
      <c r="K58" s="4"/>
      <c r="L58" s="4"/>
      <c r="M58" s="4"/>
      <c r="N58" s="4"/>
    </row>
    <row r="59" spans="2:35" s="2" customFormat="1" x14ac:dyDescent="0.2">
      <c r="B59" s="2" t="s">
        <v>68</v>
      </c>
      <c r="C59" s="4"/>
      <c r="D59" s="4"/>
      <c r="E59" s="4"/>
      <c r="F59" s="4">
        <f>356.718+131.275</f>
        <v>487.99300000000005</v>
      </c>
      <c r="G59" s="4">
        <f>359.739+122.826</f>
        <v>482.56499999999994</v>
      </c>
      <c r="H59" s="4">
        <f>1492.972+456.233</f>
        <v>1949.2049999999999</v>
      </c>
      <c r="I59" s="4">
        <f>1508.946+418.05</f>
        <v>1926.9959999999999</v>
      </c>
      <c r="J59" s="4">
        <f>1507.093+373.087</f>
        <v>1880.18</v>
      </c>
      <c r="K59" s="4"/>
      <c r="L59" s="4"/>
      <c r="M59" s="4"/>
      <c r="N59" s="4"/>
    </row>
    <row r="60" spans="2:35" s="2" customFormat="1" x14ac:dyDescent="0.2">
      <c r="B60" s="2" t="s">
        <v>67</v>
      </c>
      <c r="C60" s="4"/>
      <c r="D60" s="4"/>
      <c r="E60" s="4"/>
      <c r="F60" s="4">
        <v>76.254999999999995</v>
      </c>
      <c r="G60" s="4">
        <v>80.683999999999997</v>
      </c>
      <c r="H60" s="4">
        <v>78.644999999999996</v>
      </c>
      <c r="I60" s="4">
        <v>70.787999999999997</v>
      </c>
      <c r="J60" s="4">
        <v>148.92500000000001</v>
      </c>
      <c r="K60" s="4"/>
      <c r="L60" s="4"/>
      <c r="M60" s="4"/>
      <c r="N60" s="4"/>
    </row>
    <row r="61" spans="2:35" s="2" customFormat="1" x14ac:dyDescent="0.2">
      <c r="B61" s="2" t="s">
        <v>66</v>
      </c>
      <c r="C61" s="4"/>
      <c r="D61" s="4"/>
      <c r="E61" s="4"/>
      <c r="F61" s="4">
        <f t="shared" ref="F61:I61" si="96">SUM(F53:F60)</f>
        <v>5427.2570000000005</v>
      </c>
      <c r="G61" s="4">
        <f t="shared" si="96"/>
        <v>5538.1639999999998</v>
      </c>
      <c r="H61" s="4">
        <f t="shared" si="96"/>
        <v>6556.7820000000002</v>
      </c>
      <c r="I61" s="4">
        <f t="shared" si="96"/>
        <v>6716.7099999999991</v>
      </c>
      <c r="J61" s="4">
        <f>SUM(J53:J60)</f>
        <v>7011.1990000000014</v>
      </c>
      <c r="K61" s="4"/>
      <c r="L61" s="4"/>
      <c r="M61" s="4"/>
      <c r="N61" s="4"/>
    </row>
    <row r="63" spans="2:35" s="2" customFormat="1" x14ac:dyDescent="0.2">
      <c r="B63" s="2" t="s">
        <v>72</v>
      </c>
      <c r="C63" s="4"/>
      <c r="D63" s="4"/>
      <c r="E63" s="4"/>
      <c r="F63" s="4">
        <v>100.297</v>
      </c>
      <c r="G63" s="4">
        <v>85.103999999999999</v>
      </c>
      <c r="H63" s="4">
        <v>109.715</v>
      </c>
      <c r="I63" s="4">
        <v>123.32899999999999</v>
      </c>
      <c r="J63" s="4">
        <v>162.17599999999999</v>
      </c>
      <c r="K63" s="4"/>
      <c r="L63" s="4"/>
      <c r="M63" s="4"/>
      <c r="N63" s="4"/>
    </row>
    <row r="64" spans="2:35" s="2" customFormat="1" x14ac:dyDescent="0.2">
      <c r="B64" s="2" t="s">
        <v>73</v>
      </c>
      <c r="C64" s="4"/>
      <c r="D64" s="4"/>
      <c r="E64" s="4"/>
      <c r="F64" s="4">
        <v>260.18900000000002</v>
      </c>
      <c r="G64" s="4">
        <v>206.82599999999999</v>
      </c>
      <c r="H64" s="4">
        <v>256.95800000000003</v>
      </c>
      <c r="I64" s="4">
        <v>296.79399999999998</v>
      </c>
      <c r="J64" s="4">
        <v>316.79199999999997</v>
      </c>
      <c r="K64" s="4"/>
      <c r="L64" s="4"/>
      <c r="M64" s="4"/>
      <c r="N64" s="4"/>
    </row>
    <row r="65" spans="2:14" s="2" customFormat="1" x14ac:dyDescent="0.2">
      <c r="B65" s="2" t="s">
        <v>74</v>
      </c>
      <c r="C65" s="4"/>
      <c r="D65" s="4"/>
      <c r="E65" s="4"/>
      <c r="F65" s="4">
        <v>522.29899999999998</v>
      </c>
      <c r="G65" s="4">
        <v>585.81200000000001</v>
      </c>
      <c r="H65" s="4">
        <v>629.67100000000005</v>
      </c>
      <c r="I65" s="4">
        <v>621.41099999999994</v>
      </c>
      <c r="J65" s="4">
        <v>709.11599999999999</v>
      </c>
      <c r="K65" s="4"/>
      <c r="L65" s="4"/>
      <c r="M65" s="4"/>
      <c r="N65" s="4"/>
    </row>
    <row r="66" spans="2:14" s="2" customFormat="1" x14ac:dyDescent="0.2">
      <c r="B66" s="2" t="s">
        <v>4</v>
      </c>
      <c r="C66" s="4"/>
      <c r="D66" s="4"/>
      <c r="E66" s="4"/>
      <c r="F66" s="4">
        <v>1081.5530000000001</v>
      </c>
      <c r="G66" s="4">
        <v>1092.7149999999999</v>
      </c>
      <c r="H66" s="4">
        <v>1104.01</v>
      </c>
      <c r="I66" s="4">
        <v>1115.4390000000001</v>
      </c>
      <c r="J66" s="4">
        <v>1126.5340000000001</v>
      </c>
      <c r="K66" s="4"/>
      <c r="L66" s="4"/>
      <c r="M66" s="4"/>
      <c r="N66" s="4"/>
    </row>
    <row r="67" spans="2:14" s="2" customFormat="1" x14ac:dyDescent="0.2">
      <c r="B67" s="2" t="s">
        <v>75</v>
      </c>
      <c r="C67" s="4"/>
      <c r="D67" s="4"/>
      <c r="E67" s="4"/>
      <c r="F67" s="4">
        <v>132.1</v>
      </c>
      <c r="G67" s="4">
        <v>146.50399999999999</v>
      </c>
      <c r="H67" s="4">
        <v>238.001</v>
      </c>
      <c r="I67" s="4">
        <v>241.53200000000001</v>
      </c>
      <c r="J67" s="4">
        <v>201.12799999999999</v>
      </c>
      <c r="K67" s="4"/>
      <c r="L67" s="4"/>
      <c r="M67" s="4"/>
      <c r="N67" s="4"/>
    </row>
    <row r="68" spans="2:14" s="2" customFormat="1" x14ac:dyDescent="0.2">
      <c r="B68" s="2" t="s">
        <v>76</v>
      </c>
      <c r="C68" s="4"/>
      <c r="D68" s="4"/>
      <c r="E68" s="4"/>
      <c r="F68" s="4">
        <f>5.427+3325.392</f>
        <v>3330.819</v>
      </c>
      <c r="G68" s="4">
        <f>3415.667+5.536</f>
        <v>3421.203</v>
      </c>
      <c r="H68" s="4">
        <f>25.784+4192.643</f>
        <v>4218.4269999999997</v>
      </c>
      <c r="I68" s="4">
        <f>26.296+4291.909</f>
        <v>4318.2049999999999</v>
      </c>
      <c r="J68" s="4">
        <f>4468.643+26.81</f>
        <v>4495.4530000000004</v>
      </c>
      <c r="K68" s="4"/>
      <c r="L68" s="4"/>
      <c r="M68" s="4"/>
      <c r="N68" s="4"/>
    </row>
    <row r="69" spans="2:14" s="2" customFormat="1" x14ac:dyDescent="0.2">
      <c r="B69" s="2" t="s">
        <v>77</v>
      </c>
      <c r="C69" s="4"/>
      <c r="D69" s="4"/>
      <c r="E69" s="4"/>
      <c r="F69" s="4">
        <f t="shared" ref="F69:I69" si="97">SUM(F63:F68)</f>
        <v>5427.2569999999996</v>
      </c>
      <c r="G69" s="4">
        <f t="shared" si="97"/>
        <v>5538.1639999999998</v>
      </c>
      <c r="H69" s="4">
        <f t="shared" si="97"/>
        <v>6556.7820000000002</v>
      </c>
      <c r="I69" s="4">
        <f t="shared" si="97"/>
        <v>6716.71</v>
      </c>
      <c r="J69" s="4">
        <f>SUM(J63:J68)</f>
        <v>7011.1990000000005</v>
      </c>
      <c r="K69" s="4"/>
      <c r="L69" s="4"/>
      <c r="M69" s="4"/>
      <c r="N69" s="4"/>
    </row>
    <row r="71" spans="2:14" x14ac:dyDescent="0.2">
      <c r="B71" s="2" t="s">
        <v>78</v>
      </c>
      <c r="J71" s="7">
        <f>SUM(G19:J19)/J68</f>
        <v>-3.6650588939535093E-2</v>
      </c>
    </row>
    <row r="72" spans="2:14" x14ac:dyDescent="0.2">
      <c r="B72" s="2" t="s">
        <v>79</v>
      </c>
      <c r="J72" s="7">
        <f>SUM(G19:J19)/(J54+J55+J56+J57+J58+J60)</f>
        <v>-8.1903941913973488E-2</v>
      </c>
    </row>
    <row r="74" spans="2:14" s="2" customFormat="1" x14ac:dyDescent="0.2">
      <c r="B74" s="2" t="s">
        <v>80</v>
      </c>
      <c r="C74" s="4"/>
      <c r="D74" s="4"/>
      <c r="E74" s="4"/>
      <c r="F74" s="4">
        <f t="shared" ref="F74:I74" si="98">F19</f>
        <v>3.0949999999999784</v>
      </c>
      <c r="G74" s="4">
        <f t="shared" si="98"/>
        <v>-42.439000000000021</v>
      </c>
      <c r="H74" s="4">
        <f t="shared" si="98"/>
        <v>-67.500000000000028</v>
      </c>
      <c r="I74" s="4">
        <f t="shared" si="98"/>
        <v>-46.91099999999981</v>
      </c>
      <c r="J74" s="4">
        <f>J19</f>
        <v>-7.9110000000000298</v>
      </c>
      <c r="K74" s="4"/>
      <c r="L74" s="4"/>
      <c r="M74" s="4"/>
      <c r="N74" s="4"/>
    </row>
    <row r="75" spans="2:14" s="2" customFormat="1" x14ac:dyDescent="0.2">
      <c r="B75" s="2" t="s">
        <v>81</v>
      </c>
      <c r="C75" s="4"/>
      <c r="D75" s="4"/>
      <c r="E75" s="4"/>
      <c r="F75" s="4"/>
      <c r="G75" s="4"/>
      <c r="H75" s="4"/>
      <c r="I75" s="4"/>
      <c r="J75" s="4">
        <v>-7.9109999999999996</v>
      </c>
      <c r="K75" s="4"/>
      <c r="L75" s="4"/>
      <c r="M75" s="4"/>
      <c r="N75" s="4"/>
    </row>
    <row r="76" spans="2:14" s="2" customFormat="1" x14ac:dyDescent="0.2">
      <c r="B76" s="2" t="s">
        <v>83</v>
      </c>
      <c r="C76" s="4"/>
      <c r="D76" s="4"/>
      <c r="E76" s="4"/>
      <c r="F76" s="4"/>
      <c r="G76" s="4"/>
      <c r="H76" s="4"/>
      <c r="I76" s="4"/>
      <c r="J76" s="4">
        <v>129.595</v>
      </c>
      <c r="K76" s="4"/>
      <c r="L76" s="4"/>
      <c r="M76" s="4"/>
      <c r="N76" s="4"/>
    </row>
    <row r="77" spans="2:14" s="2" customFormat="1" x14ac:dyDescent="0.2">
      <c r="B77" s="2" t="s">
        <v>84</v>
      </c>
      <c r="C77" s="4"/>
      <c r="D77" s="4"/>
      <c r="E77" s="4"/>
      <c r="F77" s="4"/>
      <c r="G77" s="4"/>
      <c r="H77" s="4"/>
      <c r="I77" s="4"/>
      <c r="J77" s="4">
        <v>4.2690000000000001</v>
      </c>
      <c r="K77" s="4"/>
      <c r="L77" s="4"/>
      <c r="M77" s="4"/>
      <c r="N77" s="4"/>
    </row>
    <row r="78" spans="2:14" s="2" customFormat="1" x14ac:dyDescent="0.2">
      <c r="B78" s="2" t="s">
        <v>85</v>
      </c>
      <c r="C78" s="4"/>
      <c r="D78" s="4"/>
      <c r="E78" s="4"/>
      <c r="F78" s="4"/>
      <c r="G78" s="4"/>
      <c r="H78" s="4"/>
      <c r="I78" s="4"/>
      <c r="J78" s="4">
        <v>4.4569999999999999</v>
      </c>
      <c r="K78" s="4"/>
      <c r="L78" s="4"/>
      <c r="M78" s="4"/>
      <c r="N78" s="4"/>
    </row>
    <row r="79" spans="2:14" s="2" customFormat="1" x14ac:dyDescent="0.2">
      <c r="B79" s="2" t="s">
        <v>86</v>
      </c>
      <c r="C79" s="4"/>
      <c r="D79" s="4"/>
      <c r="E79" s="4"/>
      <c r="F79" s="4"/>
      <c r="G79" s="4"/>
      <c r="H79" s="4"/>
      <c r="I79" s="4"/>
      <c r="J79" s="4">
        <v>11.592000000000001</v>
      </c>
      <c r="K79" s="4"/>
      <c r="L79" s="4"/>
      <c r="M79" s="4"/>
      <c r="N79" s="4"/>
    </row>
    <row r="80" spans="2:14" s="2" customFormat="1" x14ac:dyDescent="0.2">
      <c r="B80" s="2" t="s">
        <v>87</v>
      </c>
      <c r="C80" s="4"/>
      <c r="D80" s="4"/>
      <c r="E80" s="4"/>
      <c r="F80" s="4"/>
      <c r="G80" s="4"/>
      <c r="H80" s="4"/>
      <c r="I80" s="4"/>
      <c r="J80" s="4">
        <v>134.80000000000001</v>
      </c>
      <c r="K80" s="4"/>
      <c r="L80" s="4"/>
      <c r="M80" s="4"/>
      <c r="N80" s="4"/>
    </row>
    <row r="81" spans="2:14" s="2" customFormat="1" x14ac:dyDescent="0.2">
      <c r="B81" s="2" t="s">
        <v>88</v>
      </c>
      <c r="C81" s="4"/>
      <c r="D81" s="4"/>
      <c r="E81" s="4"/>
      <c r="F81" s="4"/>
      <c r="G81" s="4"/>
      <c r="H81" s="4"/>
      <c r="I81" s="4"/>
      <c r="J81" s="4">
        <v>-13.965</v>
      </c>
      <c r="K81" s="4"/>
      <c r="L81" s="4"/>
      <c r="M81" s="4"/>
      <c r="N81" s="4"/>
    </row>
    <row r="82" spans="2:14" s="2" customFormat="1" x14ac:dyDescent="0.2">
      <c r="B82" s="2" t="s">
        <v>64</v>
      </c>
      <c r="C82" s="4"/>
      <c r="D82" s="4"/>
      <c r="E82" s="4"/>
      <c r="F82" s="4"/>
      <c r="G82" s="4"/>
      <c r="H82" s="4"/>
      <c r="I82" s="4"/>
      <c r="J82" s="4">
        <v>-147.89500000000001</v>
      </c>
      <c r="K82" s="4"/>
      <c r="L82" s="4"/>
      <c r="M82" s="4"/>
      <c r="N82" s="4"/>
    </row>
    <row r="83" spans="2:14" s="2" customFormat="1" x14ac:dyDescent="0.2">
      <c r="B83" s="2" t="s">
        <v>89</v>
      </c>
      <c r="C83" s="4"/>
      <c r="D83" s="4"/>
      <c r="E83" s="4"/>
      <c r="F83" s="4"/>
      <c r="G83" s="4"/>
      <c r="H83" s="4"/>
      <c r="I83" s="4"/>
      <c r="J83" s="4">
        <v>-38.204000000000001</v>
      </c>
      <c r="K83" s="4"/>
      <c r="L83" s="4"/>
      <c r="M83" s="4"/>
      <c r="N83" s="4"/>
    </row>
    <row r="84" spans="2:14" s="2" customFormat="1" x14ac:dyDescent="0.2">
      <c r="B84" s="2" t="s">
        <v>71</v>
      </c>
      <c r="C84" s="4"/>
      <c r="D84" s="4"/>
      <c r="E84" s="4"/>
      <c r="F84" s="4"/>
      <c r="G84" s="4"/>
      <c r="H84" s="4"/>
      <c r="I84" s="4"/>
      <c r="J84" s="4">
        <v>-11.865</v>
      </c>
      <c r="K84" s="4"/>
      <c r="L84" s="4"/>
      <c r="M84" s="4"/>
      <c r="N84" s="4"/>
    </row>
    <row r="85" spans="2:14" s="2" customFormat="1" x14ac:dyDescent="0.2">
      <c r="B85" s="2" t="s">
        <v>72</v>
      </c>
      <c r="C85" s="4"/>
      <c r="D85" s="4"/>
      <c r="E85" s="4"/>
      <c r="F85" s="4"/>
      <c r="G85" s="4"/>
      <c r="H85" s="4"/>
      <c r="I85" s="4"/>
      <c r="J85" s="4">
        <v>26.838000000000001</v>
      </c>
      <c r="K85" s="4"/>
      <c r="L85" s="4"/>
      <c r="M85" s="4"/>
      <c r="N85" s="4"/>
    </row>
    <row r="86" spans="2:14" s="2" customFormat="1" x14ac:dyDescent="0.2">
      <c r="B86" s="2" t="s">
        <v>20</v>
      </c>
      <c r="C86" s="4"/>
      <c r="D86" s="4"/>
      <c r="E86" s="4"/>
      <c r="F86" s="4"/>
      <c r="G86" s="4"/>
      <c r="H86" s="4"/>
      <c r="I86" s="4"/>
      <c r="J86" s="4">
        <v>-3.3730000000000002</v>
      </c>
      <c r="K86" s="4"/>
      <c r="L86" s="4"/>
      <c r="M86" s="4"/>
      <c r="N86" s="4"/>
    </row>
    <row r="87" spans="2:14" s="2" customFormat="1" x14ac:dyDescent="0.2">
      <c r="B87" s="2" t="s">
        <v>74</v>
      </c>
      <c r="C87" s="4"/>
      <c r="D87" s="4"/>
      <c r="E87" s="4"/>
      <c r="F87" s="4"/>
      <c r="G87" s="4"/>
      <c r="H87" s="4"/>
      <c r="I87" s="4"/>
      <c r="J87" s="4">
        <v>88.268000000000001</v>
      </c>
      <c r="K87" s="4"/>
      <c r="L87" s="4"/>
      <c r="M87" s="4"/>
      <c r="N87" s="4"/>
    </row>
    <row r="88" spans="2:14" s="2" customFormat="1" x14ac:dyDescent="0.2">
      <c r="B88" s="2" t="s">
        <v>82</v>
      </c>
      <c r="C88" s="4"/>
      <c r="D88" s="4"/>
      <c r="E88" s="4"/>
      <c r="F88" s="4"/>
      <c r="G88" s="4"/>
      <c r="H88" s="4"/>
      <c r="I88" s="4"/>
      <c r="J88" s="4">
        <f>SUM(J75:J87)</f>
        <v>176.60600000000005</v>
      </c>
      <c r="K88" s="4"/>
      <c r="L88" s="4"/>
      <c r="M88" s="4"/>
      <c r="N88" s="4"/>
    </row>
    <row r="89" spans="2:14" s="28" customFormat="1" x14ac:dyDescent="0.2">
      <c r="B89" s="28" t="s">
        <v>90</v>
      </c>
      <c r="C89" s="29"/>
      <c r="D89" s="29"/>
      <c r="E89" s="29"/>
      <c r="F89" s="29">
        <v>241.61099999999999</v>
      </c>
      <c r="G89" s="29">
        <v>90.120999999999995</v>
      </c>
      <c r="H89" s="29">
        <v>72.462000000000003</v>
      </c>
      <c r="I89" s="29">
        <v>166.65299999999999</v>
      </c>
      <c r="J89" s="29">
        <v>178.01</v>
      </c>
      <c r="K89" s="29"/>
      <c r="L89" s="29"/>
      <c r="M89" s="29"/>
      <c r="N89" s="29"/>
    </row>
    <row r="90" spans="2:14" x14ac:dyDescent="0.2">
      <c r="B90" s="2" t="s">
        <v>91</v>
      </c>
      <c r="J90" s="4">
        <f>+J88-J89</f>
        <v>-1.4039999999999395</v>
      </c>
    </row>
    <row r="91" spans="2:14" x14ac:dyDescent="0.2">
      <c r="B91" s="2" t="s">
        <v>92</v>
      </c>
      <c r="J91" s="4">
        <f>J90-J80-J81</f>
        <v>-122.23899999999995</v>
      </c>
    </row>
    <row r="92" spans="2:14" x14ac:dyDescent="0.2">
      <c r="B92" s="2" t="s">
        <v>93</v>
      </c>
      <c r="J92" s="4">
        <f>J91+J11</f>
        <v>95.026000000000039</v>
      </c>
    </row>
  </sheetData>
  <hyperlinks>
    <hyperlink ref="A1" location="Main!A1" display="Main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2016-03-20T01:20:57Z</dcterms:created>
  <dcterms:modified xsi:type="dcterms:W3CDTF">2016-04-25T21:12:53Z</dcterms:modified>
</cp:coreProperties>
</file>