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4010" windowHeight="12240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2" l="1"/>
  <c r="AD21" i="2"/>
  <c r="AD20" i="2"/>
  <c r="AD19" i="2"/>
  <c r="AD16" i="2"/>
  <c r="AD15" i="2"/>
  <c r="AD14" i="2"/>
  <c r="AD13" i="2"/>
  <c r="AF20" i="2"/>
  <c r="AE20" i="2"/>
  <c r="AD5" i="2"/>
  <c r="AC22" i="2"/>
  <c r="AC21" i="2" s="1"/>
  <c r="AC20" i="2"/>
  <c r="AC19" i="2"/>
  <c r="AC18" i="2"/>
  <c r="AC17" i="2"/>
  <c r="AC16" i="2"/>
  <c r="AC15" i="2"/>
  <c r="AC14" i="2"/>
  <c r="AC13" i="2"/>
  <c r="AC12" i="2"/>
  <c r="AC10" i="2"/>
  <c r="AC11" i="2"/>
  <c r="AC9" i="2"/>
  <c r="AC8" i="2"/>
  <c r="AC7" i="2"/>
  <c r="AC6" i="2"/>
  <c r="N11" i="2"/>
  <c r="N13" i="2" s="1"/>
  <c r="O33" i="2"/>
  <c r="N17" i="2"/>
  <c r="N12" i="2"/>
  <c r="O30" i="2"/>
  <c r="O28" i="2"/>
  <c r="O27" i="2"/>
  <c r="O26" i="2"/>
  <c r="O25" i="2"/>
  <c r="O24" i="2"/>
  <c r="O18" i="2"/>
  <c r="O17" i="2"/>
  <c r="O16" i="2"/>
  <c r="O13" i="2"/>
  <c r="O12" i="2"/>
  <c r="O11" i="2"/>
  <c r="O5" i="2"/>
  <c r="N5" i="2"/>
  <c r="O20" i="2" l="1"/>
  <c r="O21" i="2" s="1"/>
  <c r="W121" i="2"/>
  <c r="V121" i="2"/>
  <c r="U121" i="2"/>
  <c r="AB107" i="2"/>
  <c r="AA107" i="2"/>
  <c r="Z107" i="2"/>
  <c r="Y107" i="2"/>
  <c r="X107" i="2"/>
  <c r="V107" i="2"/>
  <c r="W107" i="2"/>
  <c r="V118" i="2"/>
  <c r="V119" i="2" s="1"/>
  <c r="U118" i="2"/>
  <c r="U119" i="2" s="1"/>
  <c r="T118" i="2"/>
  <c r="T119" i="2" s="1"/>
  <c r="V115" i="2"/>
  <c r="U115" i="2"/>
  <c r="T115" i="2"/>
  <c r="W112" i="2"/>
  <c r="W115" i="2" s="1"/>
  <c r="V112" i="2"/>
  <c r="U112" i="2"/>
  <c r="T112" i="2"/>
  <c r="W118" i="2"/>
  <c r="W119" i="2" s="1"/>
  <c r="AC111" i="2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AC110" i="2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AC109" i="2"/>
  <c r="AD109" i="2" s="1"/>
  <c r="AC108" i="2"/>
  <c r="AC112" i="2" s="1"/>
  <c r="AC113" i="2" s="1"/>
  <c r="X121" i="2"/>
  <c r="AB121" i="2"/>
  <c r="AA121" i="2"/>
  <c r="Z121" i="2"/>
  <c r="Y121" i="2"/>
  <c r="Y118" i="2"/>
  <c r="Y119" i="2" s="1"/>
  <c r="X118" i="2"/>
  <c r="X119" i="2" s="1"/>
  <c r="X112" i="2"/>
  <c r="X115" i="2" s="1"/>
  <c r="Y112" i="2"/>
  <c r="Y115" i="2" s="1"/>
  <c r="AA118" i="2"/>
  <c r="AA119" i="2" s="1"/>
  <c r="Z118" i="2"/>
  <c r="Z119" i="2" s="1"/>
  <c r="AA115" i="2"/>
  <c r="Z115" i="2"/>
  <c r="Z112" i="2"/>
  <c r="AA112" i="2"/>
  <c r="AB118" i="2"/>
  <c r="AB119" i="2" s="1"/>
  <c r="AB123" i="2" s="1"/>
  <c r="AB115" i="2"/>
  <c r="I93" i="2"/>
  <c r="H93" i="2"/>
  <c r="J89" i="2"/>
  <c r="J86" i="2"/>
  <c r="J85" i="2"/>
  <c r="J84" i="2"/>
  <c r="J83" i="2"/>
  <c r="J82" i="2"/>
  <c r="J81" i="2"/>
  <c r="J93" i="2" s="1"/>
  <c r="J63" i="2"/>
  <c r="J55" i="2"/>
  <c r="J44" i="2"/>
  <c r="J35" i="2"/>
  <c r="AB112" i="2"/>
  <c r="I87" i="2"/>
  <c r="I90" i="2" s="1"/>
  <c r="I52" i="2"/>
  <c r="I36" i="2"/>
  <c r="I35" i="2" s="1"/>
  <c r="I63" i="2"/>
  <c r="I55" i="2"/>
  <c r="I44" i="2"/>
  <c r="H87" i="2"/>
  <c r="H90" i="2" s="1"/>
  <c r="I92" i="2" s="1"/>
  <c r="H52" i="2"/>
  <c r="H35" i="2" s="1"/>
  <c r="H63" i="2"/>
  <c r="H44" i="2"/>
  <c r="G87" i="2"/>
  <c r="G90" i="2" s="1"/>
  <c r="G66" i="2"/>
  <c r="G67" i="2" s="1"/>
  <c r="G63" i="2"/>
  <c r="G64" i="2" s="1"/>
  <c r="G52" i="2"/>
  <c r="G35" i="2" s="1"/>
  <c r="G55" i="2"/>
  <c r="G44" i="2"/>
  <c r="G104" i="2"/>
  <c r="H104" i="2"/>
  <c r="I104" i="2"/>
  <c r="N104" i="2"/>
  <c r="J104" i="2"/>
  <c r="L104" i="2"/>
  <c r="K104" i="2"/>
  <c r="I95" i="2" l="1"/>
  <c r="K93" i="2"/>
  <c r="J99" i="2"/>
  <c r="M99" i="2"/>
  <c r="H92" i="2"/>
  <c r="H94" i="2" s="1"/>
  <c r="AD108" i="2"/>
  <c r="AE108" i="2" s="1"/>
  <c r="K99" i="2"/>
  <c r="L99" i="2"/>
  <c r="AF108" i="2"/>
  <c r="AE109" i="2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I94" i="2"/>
  <c r="J87" i="2"/>
  <c r="J90" i="2" s="1"/>
  <c r="J98" i="2" s="1"/>
  <c r="J100" i="2" s="1"/>
  <c r="J66" i="2"/>
  <c r="J67" i="2" s="1"/>
  <c r="J64" i="2"/>
  <c r="I66" i="2"/>
  <c r="I67" i="2" s="1"/>
  <c r="I64" i="2"/>
  <c r="H55" i="2"/>
  <c r="H66" i="2" s="1"/>
  <c r="H67" i="2" s="1"/>
  <c r="M104" i="2"/>
  <c r="L63" i="2"/>
  <c r="L55" i="2"/>
  <c r="L35" i="2"/>
  <c r="L44" i="2"/>
  <c r="K35" i="2"/>
  <c r="J95" i="2" l="1"/>
  <c r="J92" i="2"/>
  <c r="J94" i="2" s="1"/>
  <c r="AD112" i="2"/>
  <c r="AD113" i="2" s="1"/>
  <c r="AE112" i="2"/>
  <c r="AE113" i="2" s="1"/>
  <c r="AG108" i="2"/>
  <c r="AF112" i="2"/>
  <c r="AF113" i="2" s="1"/>
  <c r="L66" i="2"/>
  <c r="L67" i="2" s="1"/>
  <c r="H64" i="2"/>
  <c r="L64" i="2"/>
  <c r="AB86" i="2"/>
  <c r="AB87" i="2" s="1"/>
  <c r="AB90" i="2" s="1"/>
  <c r="M93" i="2"/>
  <c r="M87" i="2"/>
  <c r="M90" i="2" s="1"/>
  <c r="L93" i="2"/>
  <c r="L87" i="2"/>
  <c r="L90" i="2" s="1"/>
  <c r="K87" i="2"/>
  <c r="K90" i="2" s="1"/>
  <c r="K63" i="2"/>
  <c r="K55" i="2"/>
  <c r="K44" i="2"/>
  <c r="M95" i="2" l="1"/>
  <c r="K92" i="2"/>
  <c r="K94" i="2" s="1"/>
  <c r="K98" i="2"/>
  <c r="K100" i="2" s="1"/>
  <c r="M98" i="2"/>
  <c r="M100" i="2" s="1"/>
  <c r="L98" i="2"/>
  <c r="L100" i="2" s="1"/>
  <c r="K95" i="2"/>
  <c r="L95" i="2"/>
  <c r="AH108" i="2"/>
  <c r="AG112" i="2"/>
  <c r="AG113" i="2" s="1"/>
  <c r="K66" i="2"/>
  <c r="K67" i="2" s="1"/>
  <c r="K64" i="2"/>
  <c r="L92" i="2"/>
  <c r="L94" i="2" s="1"/>
  <c r="M92" i="2"/>
  <c r="M94" i="2" s="1"/>
  <c r="AA17" i="2"/>
  <c r="AA6" i="2"/>
  <c r="AA11" i="2" s="1"/>
  <c r="AA12" i="2"/>
  <c r="AA24" i="2" s="1"/>
  <c r="Z17" i="2"/>
  <c r="Z12" i="2"/>
  <c r="Z24" i="2" s="1"/>
  <c r="Z6" i="2"/>
  <c r="Z11" i="2" s="1"/>
  <c r="Z13" i="2" s="1"/>
  <c r="Z16" i="2" s="1"/>
  <c r="AB5" i="2"/>
  <c r="AA5" i="2"/>
  <c r="Z5" i="2"/>
  <c r="AB22" i="2"/>
  <c r="AB19" i="2"/>
  <c r="AB15" i="2"/>
  <c r="AB14" i="2"/>
  <c r="AB10" i="2"/>
  <c r="AB6" i="2"/>
  <c r="N25" i="2"/>
  <c r="AC4" i="2"/>
  <c r="AB3" i="2"/>
  <c r="AB4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AE22" i="2"/>
  <c r="AF22" i="2" s="1"/>
  <c r="AG22" i="2" s="1"/>
  <c r="AE15" i="2"/>
  <c r="AF15" i="2" s="1"/>
  <c r="AG15" i="2" s="1"/>
  <c r="AH15" i="2" s="1"/>
  <c r="AI15" i="2" s="1"/>
  <c r="AJ15" i="2" s="1"/>
  <c r="AK15" i="2" s="1"/>
  <c r="AL15" i="2" s="1"/>
  <c r="AM15" i="2" s="1"/>
  <c r="AE14" i="2"/>
  <c r="AF14" i="2" s="1"/>
  <c r="AG14" i="2" s="1"/>
  <c r="AH14" i="2" s="1"/>
  <c r="AI14" i="2" s="1"/>
  <c r="AJ14" i="2" s="1"/>
  <c r="AK14" i="2" s="1"/>
  <c r="AL14" i="2" s="1"/>
  <c r="AM14" i="2" s="1"/>
  <c r="F17" i="2"/>
  <c r="F12" i="2"/>
  <c r="F24" i="2" s="1"/>
  <c r="F11" i="2"/>
  <c r="F25" i="2" s="1"/>
  <c r="F5" i="2"/>
  <c r="J17" i="2"/>
  <c r="J12" i="2"/>
  <c r="J24" i="2" s="1"/>
  <c r="J11" i="2"/>
  <c r="J25" i="2" s="1"/>
  <c r="J5" i="2"/>
  <c r="G17" i="2"/>
  <c r="G12" i="2"/>
  <c r="G11" i="2"/>
  <c r="G25" i="2" s="1"/>
  <c r="G5" i="2"/>
  <c r="K17" i="2"/>
  <c r="K12" i="2"/>
  <c r="K24" i="2" s="1"/>
  <c r="K11" i="2"/>
  <c r="K25" i="2" s="1"/>
  <c r="K5" i="2"/>
  <c r="H17" i="2"/>
  <c r="H12" i="2"/>
  <c r="H24" i="2" s="1"/>
  <c r="H11" i="2"/>
  <c r="H25" i="2" s="1"/>
  <c r="L12" i="2"/>
  <c r="L24" i="2" s="1"/>
  <c r="L11" i="2"/>
  <c r="L25" i="2" s="1"/>
  <c r="L5" i="2"/>
  <c r="L17" i="2"/>
  <c r="AB12" i="2" l="1"/>
  <c r="AB11" i="2"/>
  <c r="AB25" i="2" s="1"/>
  <c r="AC3" i="2"/>
  <c r="AC5" i="2" s="1"/>
  <c r="AH112" i="2"/>
  <c r="AH113" i="2" s="1"/>
  <c r="AI108" i="2"/>
  <c r="J30" i="2"/>
  <c r="AA30" i="2"/>
  <c r="AB30" i="2"/>
  <c r="AA13" i="2"/>
  <c r="AA26" i="2" s="1"/>
  <c r="Z27" i="2"/>
  <c r="N26" i="2"/>
  <c r="N30" i="2"/>
  <c r="AA16" i="2"/>
  <c r="AB13" i="2"/>
  <c r="AB24" i="2"/>
  <c r="Z26" i="2"/>
  <c r="Z18" i="2"/>
  <c r="L13" i="2"/>
  <c r="AA25" i="2"/>
  <c r="Z25" i="2"/>
  <c r="AH22" i="2"/>
  <c r="N24" i="2"/>
  <c r="F13" i="2"/>
  <c r="J13" i="2"/>
  <c r="G13" i="2"/>
  <c r="G24" i="2"/>
  <c r="K30" i="2"/>
  <c r="K13" i="2"/>
  <c r="H13" i="2"/>
  <c r="H5" i="2"/>
  <c r="L30" i="2" s="1"/>
  <c r="AC30" i="2" l="1"/>
  <c r="N16" i="2"/>
  <c r="N33" i="2" s="1"/>
  <c r="AD18" i="2"/>
  <c r="AJ108" i="2"/>
  <c r="AI112" i="2"/>
  <c r="AI113" i="2" s="1"/>
  <c r="L16" i="2"/>
  <c r="L26" i="2"/>
  <c r="AB26" i="2"/>
  <c r="AB16" i="2"/>
  <c r="J16" i="2"/>
  <c r="J26" i="2"/>
  <c r="AA18" i="2"/>
  <c r="AA27" i="2"/>
  <c r="AD26" i="2"/>
  <c r="Z20" i="2"/>
  <c r="Z21" i="2" s="1"/>
  <c r="Z28" i="2"/>
  <c r="K16" i="2"/>
  <c r="K26" i="2"/>
  <c r="G16" i="2"/>
  <c r="G26" i="2"/>
  <c r="F16" i="2"/>
  <c r="F27" i="2" s="1"/>
  <c r="F26" i="2"/>
  <c r="H16" i="2"/>
  <c r="H27" i="2" s="1"/>
  <c r="H26" i="2"/>
  <c r="N27" i="2"/>
  <c r="AI22" i="2"/>
  <c r="K27" i="2"/>
  <c r="K18" i="2"/>
  <c r="I17" i="2"/>
  <c r="AB17" i="2" s="1"/>
  <c r="I11" i="2"/>
  <c r="I25" i="2" s="1"/>
  <c r="I12" i="2"/>
  <c r="I24" i="2" s="1"/>
  <c r="I5" i="2"/>
  <c r="M17" i="2"/>
  <c r="M12" i="2"/>
  <c r="M24" i="2" s="1"/>
  <c r="M11" i="2"/>
  <c r="M25" i="2" s="1"/>
  <c r="M5" i="2"/>
  <c r="M35" i="2"/>
  <c r="H3" i="1"/>
  <c r="H4" i="1" s="1"/>
  <c r="M63" i="2"/>
  <c r="M55" i="2"/>
  <c r="M44" i="2"/>
  <c r="AD28" i="2" l="1"/>
  <c r="AD27" i="2"/>
  <c r="AE5" i="2"/>
  <c r="AD30" i="2"/>
  <c r="H7" i="1"/>
  <c r="H11" i="1" s="1"/>
  <c r="H12" i="1"/>
  <c r="J33" i="2"/>
  <c r="AK108" i="2"/>
  <c r="AJ112" i="2"/>
  <c r="AJ113" i="2" s="1"/>
  <c r="M30" i="2"/>
  <c r="M72" i="2"/>
  <c r="H18" i="2"/>
  <c r="H28" i="2" s="1"/>
  <c r="AB18" i="2"/>
  <c r="AB27" i="2"/>
  <c r="J18" i="2"/>
  <c r="J28" i="2" s="1"/>
  <c r="F18" i="2"/>
  <c r="F28" i="2" s="1"/>
  <c r="N18" i="2"/>
  <c r="J27" i="2"/>
  <c r="AA28" i="2"/>
  <c r="AA20" i="2"/>
  <c r="AA21" i="2" s="1"/>
  <c r="L33" i="2"/>
  <c r="L18" i="2"/>
  <c r="L27" i="2"/>
  <c r="G27" i="2"/>
  <c r="G18" i="2"/>
  <c r="K33" i="2"/>
  <c r="AJ22" i="2"/>
  <c r="K28" i="2"/>
  <c r="K20" i="2"/>
  <c r="M66" i="2"/>
  <c r="M67" i="2" s="1"/>
  <c r="M13" i="2"/>
  <c r="M64" i="2"/>
  <c r="I13" i="2"/>
  <c r="AF5" i="2" l="1"/>
  <c r="AE30" i="2"/>
  <c r="AE13" i="2"/>
  <c r="J20" i="2"/>
  <c r="F20" i="2"/>
  <c r="F21" i="2" s="1"/>
  <c r="AL108" i="2"/>
  <c r="AK112" i="2"/>
  <c r="AK113" i="2" s="1"/>
  <c r="J21" i="2"/>
  <c r="J80" i="2"/>
  <c r="H20" i="2"/>
  <c r="K21" i="2"/>
  <c r="K80" i="2"/>
  <c r="I16" i="2"/>
  <c r="I27" i="2" s="1"/>
  <c r="I26" i="2"/>
  <c r="G28" i="2"/>
  <c r="G20" i="2"/>
  <c r="M16" i="2"/>
  <c r="M26" i="2"/>
  <c r="L20" i="2"/>
  <c r="L28" i="2"/>
  <c r="AB20" i="2"/>
  <c r="AB28" i="2"/>
  <c r="AK22" i="2"/>
  <c r="I18" i="2"/>
  <c r="I28" i="2" s="1"/>
  <c r="AE16" i="2" l="1"/>
  <c r="AE26" i="2"/>
  <c r="AG5" i="2"/>
  <c r="AF30" i="2"/>
  <c r="AF13" i="2"/>
  <c r="AL112" i="2"/>
  <c r="AL113" i="2" s="1"/>
  <c r="AM108" i="2"/>
  <c r="G21" i="2"/>
  <c r="G80" i="2"/>
  <c r="H21" i="2"/>
  <c r="H80" i="2"/>
  <c r="AB21" i="2"/>
  <c r="AB80" i="2"/>
  <c r="L21" i="2"/>
  <c r="L80" i="2"/>
  <c r="L96" i="2" s="1"/>
  <c r="L97" i="2" s="1"/>
  <c r="M18" i="2"/>
  <c r="M33" i="2"/>
  <c r="AC26" i="2"/>
  <c r="M27" i="2"/>
  <c r="N28" i="2"/>
  <c r="N20" i="2"/>
  <c r="N21" i="2" s="1"/>
  <c r="AL22" i="2"/>
  <c r="I20" i="2"/>
  <c r="AF16" i="2" l="1"/>
  <c r="AF26" i="2"/>
  <c r="AH5" i="2"/>
  <c r="AG30" i="2"/>
  <c r="AG13" i="2"/>
  <c r="AE27" i="2"/>
  <c r="AE33" i="2"/>
  <c r="AE18" i="2"/>
  <c r="AM112" i="2"/>
  <c r="AM113" i="2" s="1"/>
  <c r="AN108" i="2"/>
  <c r="I21" i="2"/>
  <c r="I80" i="2"/>
  <c r="K96" i="2" s="1"/>
  <c r="K97" i="2" s="1"/>
  <c r="J96" i="2"/>
  <c r="J97" i="2" s="1"/>
  <c r="I96" i="2"/>
  <c r="I97" i="2" s="1"/>
  <c r="M20" i="2"/>
  <c r="M28" i="2"/>
  <c r="AC27" i="2"/>
  <c r="AD33" i="2"/>
  <c r="AM22" i="2"/>
  <c r="AI5" i="2" l="1"/>
  <c r="AH30" i="2"/>
  <c r="AH13" i="2"/>
  <c r="AE19" i="2"/>
  <c r="AE28" i="2" s="1"/>
  <c r="AG16" i="2"/>
  <c r="AG26" i="2"/>
  <c r="AF18" i="2"/>
  <c r="AF27" i="2"/>
  <c r="AF33" i="2"/>
  <c r="AN112" i="2"/>
  <c r="AN113" i="2" s="1"/>
  <c r="AO108" i="2"/>
  <c r="M21" i="2"/>
  <c r="M80" i="2"/>
  <c r="M96" i="2" s="1"/>
  <c r="M97" i="2" s="1"/>
  <c r="AC28" i="2"/>
  <c r="AE21" i="2" l="1"/>
  <c r="AG33" i="2"/>
  <c r="AG27" i="2"/>
  <c r="AG18" i="2"/>
  <c r="AH26" i="2"/>
  <c r="AH16" i="2"/>
  <c r="AF19" i="2"/>
  <c r="AF28" i="2" s="1"/>
  <c r="AJ5" i="2"/>
  <c r="AI30" i="2"/>
  <c r="AI13" i="2"/>
  <c r="AO112" i="2"/>
  <c r="AO113" i="2" s="1"/>
  <c r="AP108" i="2"/>
  <c r="AF21" i="2" l="1"/>
  <c r="AK5" i="2"/>
  <c r="AJ30" i="2"/>
  <c r="AJ13" i="2"/>
  <c r="AG19" i="2"/>
  <c r="AG28" i="2" s="1"/>
  <c r="AI16" i="2"/>
  <c r="AI26" i="2"/>
  <c r="AH33" i="2"/>
  <c r="AH18" i="2"/>
  <c r="AH27" i="2"/>
  <c r="AQ108" i="2"/>
  <c r="AP112" i="2"/>
  <c r="AP113" i="2" s="1"/>
  <c r="AG20" i="2" l="1"/>
  <c r="AG21" i="2" s="1"/>
  <c r="AH19" i="2"/>
  <c r="AH28" i="2" s="1"/>
  <c r="AH20" i="2"/>
  <c r="AH21" i="2" s="1"/>
  <c r="AJ26" i="2"/>
  <c r="AJ16" i="2"/>
  <c r="AI33" i="2"/>
  <c r="AI18" i="2"/>
  <c r="AI27" i="2"/>
  <c r="AL5" i="2"/>
  <c r="AK13" i="2"/>
  <c r="AK30" i="2"/>
  <c r="AR108" i="2"/>
  <c r="AQ112" i="2"/>
  <c r="AQ113" i="2" s="1"/>
  <c r="AI19" i="2" l="1"/>
  <c r="AI28" i="2" s="1"/>
  <c r="AI20" i="2"/>
  <c r="AI21" i="2" s="1"/>
  <c r="AM5" i="2"/>
  <c r="AL30" i="2"/>
  <c r="AL13" i="2"/>
  <c r="AK16" i="2"/>
  <c r="AK26" i="2"/>
  <c r="AJ33" i="2"/>
  <c r="AJ18" i="2"/>
  <c r="AJ27" i="2"/>
  <c r="AR112" i="2"/>
  <c r="AR113" i="2" s="1"/>
  <c r="AS108" i="2"/>
  <c r="AJ19" i="2" l="1"/>
  <c r="AJ28" i="2" s="1"/>
  <c r="AJ20" i="2"/>
  <c r="AJ21" i="2" s="1"/>
  <c r="AK33" i="2"/>
  <c r="AK27" i="2"/>
  <c r="AK18" i="2"/>
  <c r="AL26" i="2"/>
  <c r="AL16" i="2"/>
  <c r="AM13" i="2"/>
  <c r="AM30" i="2"/>
  <c r="AS112" i="2"/>
  <c r="AS113" i="2" s="1"/>
  <c r="AT108" i="2"/>
  <c r="AM26" i="2" l="1"/>
  <c r="AM16" i="2"/>
  <c r="AL33" i="2"/>
  <c r="AL27" i="2"/>
  <c r="AL18" i="2"/>
  <c r="AK19" i="2"/>
  <c r="AK28" i="2" s="1"/>
  <c r="AU108" i="2"/>
  <c r="AT112" i="2"/>
  <c r="AT113" i="2" s="1"/>
  <c r="AK20" i="2" l="1"/>
  <c r="AK21" i="2" s="1"/>
  <c r="AL19" i="2"/>
  <c r="AL28" i="2" s="1"/>
  <c r="AM33" i="2"/>
  <c r="AM18" i="2"/>
  <c r="AM27" i="2"/>
  <c r="AV108" i="2"/>
  <c r="AU112" i="2"/>
  <c r="AU113" i="2" s="1"/>
  <c r="AL20" i="2" l="1"/>
  <c r="AM19" i="2"/>
  <c r="AM28" i="2" s="1"/>
  <c r="AM20" i="2"/>
  <c r="AL21" i="2"/>
  <c r="AW108" i="2"/>
  <c r="AV112" i="2"/>
  <c r="AV113" i="2" s="1"/>
  <c r="AN20" i="2" l="1"/>
  <c r="AM21" i="2"/>
  <c r="AX108" i="2"/>
  <c r="AW112" i="2"/>
  <c r="AW113" i="2" s="1"/>
  <c r="AO20" i="2" l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HZ20" i="2" s="1"/>
  <c r="IA20" i="2" s="1"/>
  <c r="IB20" i="2" s="1"/>
  <c r="IC20" i="2" s="1"/>
  <c r="ID20" i="2" s="1"/>
  <c r="IE20" i="2" s="1"/>
  <c r="IF20" i="2" s="1"/>
  <c r="IG20" i="2" s="1"/>
  <c r="AY108" i="2"/>
  <c r="AX112" i="2"/>
  <c r="AX113" i="2" s="1"/>
  <c r="AP24" i="2" l="1"/>
  <c r="AP25" i="2" s="1"/>
  <c r="AP26" i="2" s="1"/>
  <c r="AZ108" i="2"/>
  <c r="AY112" i="2"/>
  <c r="AY113" i="2" s="1"/>
  <c r="AZ112" i="2" l="1"/>
  <c r="AZ113" i="2" s="1"/>
  <c r="BA108" i="2"/>
  <c r="BA112" i="2" l="1"/>
  <c r="BA113" i="2" s="1"/>
  <c r="BB108" i="2"/>
  <c r="BB112" i="2" l="1"/>
  <c r="BB113" i="2" s="1"/>
  <c r="BC108" i="2"/>
  <c r="BC112" i="2" l="1"/>
  <c r="BC113" i="2" s="1"/>
  <c r="BD108" i="2"/>
  <c r="BD112" i="2" s="1"/>
  <c r="BD113" i="2" s="1"/>
</calcChain>
</file>

<file path=xl/comments1.xml><?xml version="1.0" encoding="utf-8"?>
<comments xmlns="http://schemas.openxmlformats.org/spreadsheetml/2006/main">
  <authors>
    <author>Martin Shkreli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11/15 - Will save $500m by 2017 in G&amp;A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11/10/15: Gave guidance -- Operating Income growth of 5-7%</t>
        </r>
      </text>
    </comment>
    <comment ref="AP2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10-year debt yielding 3.4%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81% franchised</t>
        </r>
      </text>
    </comment>
    <comment ref="AF2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93% franchise goal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3-5% Systemwide sales growth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+0.9% in the US, first increase in two years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11/10/15 Expects positive Q4 comps in all segments (US?)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+10% CC</t>
        </r>
      </text>
    </comment>
    <comment ref="AD3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Operating Income growth of 5-7%</t>
        </r>
      </text>
    </comment>
    <comment ref="AF7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11/2015: Company expects 95% franchised in 2018</t>
        </r>
      </text>
    </comment>
    <comment ref="AD8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Guidance of $2bn, opening 1,000 new restaurants</t>
        </r>
      </text>
    </comment>
  </commentList>
</comments>
</file>

<file path=xl/sharedStrings.xml><?xml version="1.0" encoding="utf-8"?>
<sst xmlns="http://schemas.openxmlformats.org/spreadsheetml/2006/main" count="143" uniqueCount="133">
  <si>
    <t>Price</t>
  </si>
  <si>
    <t>Q115</t>
  </si>
  <si>
    <t>Q215</t>
  </si>
  <si>
    <t>Q315</t>
  </si>
  <si>
    <t>Q415</t>
  </si>
  <si>
    <t>Inventories</t>
  </si>
  <si>
    <t>Prepaid Expenses</t>
  </si>
  <si>
    <t>Investments in Affiliates</t>
  </si>
  <si>
    <t>Goodwill</t>
  </si>
  <si>
    <t>Miscellaneous</t>
  </si>
  <si>
    <t>PP&amp;E</t>
  </si>
  <si>
    <t>Total Assets</t>
  </si>
  <si>
    <t>A/P</t>
  </si>
  <si>
    <t>Taxes</t>
  </si>
  <si>
    <t>Income Taxes</t>
  </si>
  <si>
    <t>Other Taxes</t>
  </si>
  <si>
    <t>Accrued Interest</t>
  </si>
  <si>
    <t>Payroll/Other</t>
  </si>
  <si>
    <t>Debt</t>
  </si>
  <si>
    <t>OLTL</t>
  </si>
  <si>
    <t>Deferred Income Taxes</t>
  </si>
  <si>
    <t>Liabilities</t>
  </si>
  <si>
    <t>Shareholders' Equity</t>
  </si>
  <si>
    <t>Common Stock</t>
  </si>
  <si>
    <t>Additional PIC</t>
  </si>
  <si>
    <t>Retained Earnings</t>
  </si>
  <si>
    <t>Accumulated other Comprehensive Income</t>
  </si>
  <si>
    <t>Treasury Stock</t>
  </si>
  <si>
    <t>Total SE</t>
  </si>
  <si>
    <t>L+SE</t>
  </si>
  <si>
    <t>Shares</t>
  </si>
  <si>
    <t>MC</t>
  </si>
  <si>
    <t>Cash</t>
  </si>
  <si>
    <t>EV</t>
  </si>
  <si>
    <t>Net Cash</t>
  </si>
  <si>
    <t>Book Value</t>
  </si>
  <si>
    <t>Tangible Book Value</t>
  </si>
  <si>
    <t>Company-Operated Restaurants</t>
  </si>
  <si>
    <t>Franchised Restaurants</t>
  </si>
  <si>
    <t>Q114</t>
  </si>
  <si>
    <t>Q214</t>
  </si>
  <si>
    <t>Q314</t>
  </si>
  <si>
    <t>Q414</t>
  </si>
  <si>
    <t>Franchised Expenses</t>
  </si>
  <si>
    <t>Company Operated Restaurant Margin</t>
  </si>
  <si>
    <t>Franchise Margin</t>
  </si>
  <si>
    <t>Main</t>
  </si>
  <si>
    <t>SG&amp;A</t>
  </si>
  <si>
    <t>Total Restaurant Margin</t>
  </si>
  <si>
    <t>Company-Operated Restaurant Expenses</t>
  </si>
  <si>
    <t>Other Income/Expense</t>
  </si>
  <si>
    <t>Operating Income/Margin</t>
  </si>
  <si>
    <t>Interest Expense</t>
  </si>
  <si>
    <t>Pretax Income</t>
  </si>
  <si>
    <t>Net Income</t>
  </si>
  <si>
    <t>Operating Margin Ratio</t>
  </si>
  <si>
    <t>Tax Rate</t>
  </si>
  <si>
    <t>Company Operated Margin</t>
  </si>
  <si>
    <t>Revenue Growth</t>
  </si>
  <si>
    <t>2015 E</t>
  </si>
  <si>
    <t>EV/E</t>
  </si>
  <si>
    <t>MC/E</t>
  </si>
  <si>
    <t>A/R</t>
  </si>
  <si>
    <t>Revenue</t>
  </si>
  <si>
    <t>EPS</t>
  </si>
  <si>
    <t>Q413</t>
  </si>
  <si>
    <t>Gross Margin</t>
  </si>
  <si>
    <t xml:space="preserve">  Food &amp; Paper</t>
  </si>
  <si>
    <t xml:space="preserve">  Payroll</t>
  </si>
  <si>
    <t xml:space="preserve">  Occupancy</t>
  </si>
  <si>
    <t>Discount</t>
  </si>
  <si>
    <t>Maturity</t>
  </si>
  <si>
    <t>NPV</t>
  </si>
  <si>
    <t>Share</t>
  </si>
  <si>
    <t>Change</t>
  </si>
  <si>
    <t>Transition to healthier food?</t>
  </si>
  <si>
    <t>6/9/2015: Silvia Lagnado joins at Global Chief Marketing Officer</t>
  </si>
  <si>
    <t>Deforestation?</t>
  </si>
  <si>
    <t>Cage Free Eggs?</t>
  </si>
  <si>
    <t>Minimum Wage?</t>
  </si>
  <si>
    <t>Antibiotics in Food?</t>
  </si>
  <si>
    <t>1/28/2015: Steve Easterbrook appointed CEO</t>
  </si>
  <si>
    <t>Company-Owned</t>
  </si>
  <si>
    <t>Franchised</t>
  </si>
  <si>
    <t>Kevin Ozan?</t>
  </si>
  <si>
    <t>Operating Income Growth</t>
  </si>
  <si>
    <t>Global Comparable (SSS) Sales</t>
  </si>
  <si>
    <t>Constant Currency Growth</t>
  </si>
  <si>
    <t>US</t>
  </si>
  <si>
    <t>International Lead Markets</t>
  </si>
  <si>
    <t>High Growth Markets</t>
  </si>
  <si>
    <t>Comps</t>
  </si>
  <si>
    <t>Model NI</t>
  </si>
  <si>
    <t>Reported NI</t>
  </si>
  <si>
    <t>D&amp;A</t>
  </si>
  <si>
    <t>CFFO</t>
  </si>
  <si>
    <t>Other</t>
  </si>
  <si>
    <t>SBC</t>
  </si>
  <si>
    <t>Changes in Working Capital</t>
  </si>
  <si>
    <t>CapEx</t>
  </si>
  <si>
    <t>FCF</t>
  </si>
  <si>
    <t>2Q Moving FCF</t>
  </si>
  <si>
    <t>2Q Moving NI</t>
  </si>
  <si>
    <t>3Q Moving FCF</t>
  </si>
  <si>
    <t>3Q Moving NI</t>
  </si>
  <si>
    <t>Q116</t>
  </si>
  <si>
    <t>Q216</t>
  </si>
  <si>
    <t>Q316</t>
  </si>
  <si>
    <t>Q416</t>
  </si>
  <si>
    <t>Value of real estate holdings???</t>
  </si>
  <si>
    <t>EURO</t>
  </si>
  <si>
    <t>Restaurants</t>
  </si>
  <si>
    <t>Revenue per Restaurant</t>
  </si>
  <si>
    <t>Q313</t>
  </si>
  <si>
    <t>YUAN</t>
  </si>
  <si>
    <t>Q113</t>
  </si>
  <si>
    <t>Q213</t>
  </si>
  <si>
    <t>Dividends Payable</t>
  </si>
  <si>
    <t>EU</t>
  </si>
  <si>
    <t>APMEA</t>
  </si>
  <si>
    <t>Other Countries</t>
  </si>
  <si>
    <t>2Q NI-FCF</t>
  </si>
  <si>
    <t>3Q NI-FCF</t>
  </si>
  <si>
    <t>4Q Moving FCF</t>
  </si>
  <si>
    <t>4Q Moving NI</t>
  </si>
  <si>
    <t>4Q NI-FCF</t>
  </si>
  <si>
    <t>US+EU</t>
  </si>
  <si>
    <t>US Population</t>
  </si>
  <si>
    <t>EU Population</t>
  </si>
  <si>
    <t>US+EU Population</t>
  </si>
  <si>
    <t>Revenue/Population</t>
  </si>
  <si>
    <t>APMEA Y/Y</t>
  </si>
  <si>
    <t>Restaurant Spend???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</si>
</sst>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x"/>
    <numFmt numFmtId="165" formatCode="0.0%"/>
    <numFmt numFmtId="166" formatCode="#,##0.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1"/>
    <xf numFmtId="4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0</xdr:row>
      <xdr:rowOff>0</xdr:rowOff>
    </xdr:from>
    <xdr:to>
      <xdr:col>15</xdr:col>
      <xdr:colOff>76200</xdr:colOff>
      <xdr:row>109</xdr:row>
      <xdr:rowOff>0</xdr:rowOff>
    </xdr:to>
    <xdr:cxnSp macro="">
      <xdr:nvCxnSpPr>
        <xdr:cNvPr id="3" name="Straight Connector 2"/>
        <xdr:cNvCxnSpPr/>
      </xdr:nvCxnSpPr>
      <xdr:spPr>
        <a:xfrm>
          <a:off x="11391900" y="0"/>
          <a:ext cx="0" cy="1764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0</xdr:row>
      <xdr:rowOff>0</xdr:rowOff>
    </xdr:from>
    <xdr:to>
      <xdr:col>29</xdr:col>
      <xdr:colOff>47625</xdr:colOff>
      <xdr:row>122</xdr:row>
      <xdr:rowOff>123825</xdr:rowOff>
    </xdr:to>
    <xdr:cxnSp macro="">
      <xdr:nvCxnSpPr>
        <xdr:cNvPr id="5" name="Straight Connector 4"/>
        <xdr:cNvCxnSpPr/>
      </xdr:nvCxnSpPr>
      <xdr:spPr>
        <a:xfrm>
          <a:off x="19897725" y="0"/>
          <a:ext cx="0" cy="1987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I6" sqref="I6"/>
    </sheetView>
  </sheetViews>
  <sheetFormatPr defaultRowHeight="12.75" x14ac:dyDescent="0.2"/>
  <cols>
    <col min="1" max="1" width="4" customWidth="1"/>
  </cols>
  <sheetData>
    <row r="2" spans="2:12" x14ac:dyDescent="0.2">
      <c r="B2" t="s">
        <v>75</v>
      </c>
      <c r="G2" t="s">
        <v>0</v>
      </c>
      <c r="H2" s="1">
        <v>135</v>
      </c>
    </row>
    <row r="3" spans="2:12" x14ac:dyDescent="0.2">
      <c r="B3" t="s">
        <v>80</v>
      </c>
      <c r="D3" t="s">
        <v>78</v>
      </c>
      <c r="G3" t="s">
        <v>30</v>
      </c>
      <c r="H3" s="9">
        <f>1660.6-742.4</f>
        <v>918.19999999999993</v>
      </c>
      <c r="I3" s="2" t="s">
        <v>3</v>
      </c>
    </row>
    <row r="4" spans="2:12" x14ac:dyDescent="0.2">
      <c r="B4" s="21" t="s">
        <v>79</v>
      </c>
      <c r="D4" t="s">
        <v>77</v>
      </c>
      <c r="G4" t="s">
        <v>31</v>
      </c>
      <c r="H4" s="9">
        <f>+H3*H2</f>
        <v>123956.99999999999</v>
      </c>
    </row>
    <row r="5" spans="2:12" x14ac:dyDescent="0.2">
      <c r="G5" t="s">
        <v>32</v>
      </c>
      <c r="H5" s="9">
        <v>2452.5</v>
      </c>
      <c r="I5" s="2" t="s">
        <v>3</v>
      </c>
      <c r="L5" s="1"/>
    </row>
    <row r="6" spans="2:12" x14ac:dyDescent="0.2">
      <c r="G6" t="s">
        <v>18</v>
      </c>
      <c r="H6" s="9">
        <v>17990.5</v>
      </c>
      <c r="I6" s="2" t="s">
        <v>3</v>
      </c>
    </row>
    <row r="7" spans="2:12" x14ac:dyDescent="0.2">
      <c r="G7" t="s">
        <v>33</v>
      </c>
      <c r="H7" s="9">
        <f>+H4-H5+H6</f>
        <v>139495</v>
      </c>
    </row>
    <row r="8" spans="2:12" x14ac:dyDescent="0.2">
      <c r="B8" t="s">
        <v>109</v>
      </c>
      <c r="H8" s="9"/>
    </row>
    <row r="9" spans="2:12" x14ac:dyDescent="0.2">
      <c r="G9" t="s">
        <v>59</v>
      </c>
      <c r="H9" s="9">
        <v>5237</v>
      </c>
    </row>
    <row r="11" spans="2:12" x14ac:dyDescent="0.2">
      <c r="G11" t="s">
        <v>60</v>
      </c>
      <c r="H11" s="14">
        <f>H7/H9</f>
        <v>26.636433072369677</v>
      </c>
    </row>
    <row r="12" spans="2:12" x14ac:dyDescent="0.2">
      <c r="C12" s="9"/>
      <c r="G12" t="s">
        <v>61</v>
      </c>
      <c r="H12" s="14">
        <f>H4/H9</f>
        <v>23.669467252243649</v>
      </c>
    </row>
    <row r="14" spans="2:12" x14ac:dyDescent="0.2">
      <c r="C14" s="3"/>
      <c r="D14" s="3"/>
    </row>
    <row r="15" spans="2:12" x14ac:dyDescent="0.2">
      <c r="D15" s="9"/>
    </row>
    <row r="16" spans="2:12" x14ac:dyDescent="0.2">
      <c r="B16" t="s">
        <v>76</v>
      </c>
      <c r="D16" s="9"/>
    </row>
    <row r="17" spans="2:4" x14ac:dyDescent="0.2">
      <c r="B17" t="s">
        <v>81</v>
      </c>
    </row>
    <row r="18" spans="2:4" x14ac:dyDescent="0.2">
      <c r="B18" t="s">
        <v>84</v>
      </c>
      <c r="D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G125"/>
  <sheetViews>
    <sheetView zoomScaleNormal="10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D20" sqref="AD20"/>
    </sheetView>
  </sheetViews>
  <sheetFormatPr defaultRowHeight="12.75" x14ac:dyDescent="0.2"/>
  <cols>
    <col min="1" max="1" width="5" bestFit="1" customWidth="1"/>
    <col min="2" max="2" width="45.85546875" customWidth="1"/>
    <col min="3" max="22" width="9.140625" style="2"/>
    <col min="42" max="42" width="9.85546875" customWidth="1"/>
  </cols>
  <sheetData>
    <row r="1" spans="1:72" x14ac:dyDescent="0.2">
      <c r="A1" s="15" t="s">
        <v>46</v>
      </c>
      <c r="L1" s="12"/>
      <c r="M1" s="12"/>
    </row>
    <row r="2" spans="1:72" x14ac:dyDescent="0.2">
      <c r="C2" s="2" t="s">
        <v>115</v>
      </c>
      <c r="D2" s="2" t="s">
        <v>116</v>
      </c>
      <c r="E2" s="2" t="s">
        <v>113</v>
      </c>
      <c r="F2" s="2" t="s">
        <v>65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105</v>
      </c>
      <c r="P2" s="2" t="s">
        <v>106</v>
      </c>
      <c r="Q2" s="2" t="s">
        <v>107</v>
      </c>
      <c r="R2" s="2" t="s">
        <v>108</v>
      </c>
      <c r="T2" s="2">
        <v>2006</v>
      </c>
      <c r="U2" s="2">
        <v>2007</v>
      </c>
      <c r="V2" s="2">
        <v>2008</v>
      </c>
      <c r="W2">
        <v>2009</v>
      </c>
      <c r="X2">
        <v>2010</v>
      </c>
      <c r="Y2">
        <v>2011</v>
      </c>
      <c r="Z2">
        <v>2012</v>
      </c>
      <c r="AA2">
        <f>+Z2+1</f>
        <v>2013</v>
      </c>
      <c r="AB2">
        <f t="shared" ref="AB2:BT2" si="0">+AA2+1</f>
        <v>2014</v>
      </c>
      <c r="AC2">
        <f t="shared" si="0"/>
        <v>2015</v>
      </c>
      <c r="AD2">
        <f t="shared" si="0"/>
        <v>2016</v>
      </c>
      <c r="AE2">
        <f t="shared" si="0"/>
        <v>2017</v>
      </c>
      <c r="AF2">
        <f t="shared" si="0"/>
        <v>2018</v>
      </c>
      <c r="AG2">
        <f t="shared" si="0"/>
        <v>2019</v>
      </c>
      <c r="AH2">
        <f t="shared" si="0"/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  <c r="AS2">
        <f t="shared" si="0"/>
        <v>2031</v>
      </c>
      <c r="AT2">
        <f t="shared" si="0"/>
        <v>2032</v>
      </c>
      <c r="AU2">
        <f t="shared" si="0"/>
        <v>2033</v>
      </c>
      <c r="AV2">
        <f t="shared" si="0"/>
        <v>2034</v>
      </c>
      <c r="AW2">
        <f t="shared" si="0"/>
        <v>2035</v>
      </c>
      <c r="AX2">
        <f t="shared" si="0"/>
        <v>2036</v>
      </c>
      <c r="AY2">
        <f t="shared" si="0"/>
        <v>2037</v>
      </c>
      <c r="AZ2">
        <f t="shared" si="0"/>
        <v>2038</v>
      </c>
      <c r="BA2">
        <f t="shared" si="0"/>
        <v>2039</v>
      </c>
      <c r="BB2">
        <f t="shared" si="0"/>
        <v>2040</v>
      </c>
      <c r="BC2">
        <f t="shared" si="0"/>
        <v>2041</v>
      </c>
      <c r="BD2">
        <f t="shared" si="0"/>
        <v>2042</v>
      </c>
      <c r="BE2">
        <f t="shared" si="0"/>
        <v>2043</v>
      </c>
      <c r="BF2">
        <f t="shared" si="0"/>
        <v>2044</v>
      </c>
      <c r="BG2">
        <f t="shared" si="0"/>
        <v>2045</v>
      </c>
      <c r="BH2">
        <f t="shared" si="0"/>
        <v>2046</v>
      </c>
      <c r="BI2">
        <f t="shared" si="0"/>
        <v>2047</v>
      </c>
      <c r="BJ2">
        <f t="shared" si="0"/>
        <v>2048</v>
      </c>
      <c r="BK2">
        <f t="shared" si="0"/>
        <v>2049</v>
      </c>
      <c r="BL2">
        <f t="shared" si="0"/>
        <v>2050</v>
      </c>
      <c r="BM2">
        <f t="shared" si="0"/>
        <v>2051</v>
      </c>
      <c r="BN2">
        <f t="shared" si="0"/>
        <v>2052</v>
      </c>
      <c r="BO2">
        <f t="shared" si="0"/>
        <v>2053</v>
      </c>
      <c r="BP2">
        <f t="shared" si="0"/>
        <v>2054</v>
      </c>
      <c r="BQ2">
        <f t="shared" si="0"/>
        <v>2055</v>
      </c>
      <c r="BR2">
        <f t="shared" si="0"/>
        <v>2056</v>
      </c>
      <c r="BS2">
        <f t="shared" si="0"/>
        <v>2057</v>
      </c>
      <c r="BT2">
        <f t="shared" si="0"/>
        <v>2058</v>
      </c>
    </row>
    <row r="3" spans="1:72" s="11" customFormat="1" x14ac:dyDescent="0.2">
      <c r="B3" s="11" t="s">
        <v>37</v>
      </c>
      <c r="C3" s="7"/>
      <c r="D3" s="7"/>
      <c r="E3" s="7"/>
      <c r="F3" s="7">
        <v>4744.3</v>
      </c>
      <c r="G3" s="7">
        <v>4490.5</v>
      </c>
      <c r="H3" s="7">
        <v>4785.8999999999996</v>
      </c>
      <c r="I3" s="7">
        <v>4596.2</v>
      </c>
      <c r="J3" s="7">
        <v>4296.7</v>
      </c>
      <c r="K3" s="7">
        <v>3914.1</v>
      </c>
      <c r="L3" s="7">
        <v>4261.1000000000004</v>
      </c>
      <c r="M3" s="7">
        <v>4282.8999999999996</v>
      </c>
      <c r="N3" s="7">
        <v>4030.2</v>
      </c>
      <c r="O3" s="7">
        <v>3753.5</v>
      </c>
      <c r="P3" s="7"/>
      <c r="Q3" s="7"/>
      <c r="R3" s="7"/>
      <c r="S3" s="7"/>
      <c r="T3" s="7"/>
      <c r="U3" s="7"/>
      <c r="V3" s="7"/>
      <c r="Z3" s="11">
        <v>18602.5</v>
      </c>
      <c r="AA3" s="11">
        <v>18874.2</v>
      </c>
      <c r="AB3" s="11">
        <f>SUM(G3:J3)</f>
        <v>18169.3</v>
      </c>
      <c r="AC3" s="11">
        <f>SUM(K3:N3)</f>
        <v>16488.3</v>
      </c>
    </row>
    <row r="4" spans="1:72" s="11" customFormat="1" x14ac:dyDescent="0.2">
      <c r="B4" s="11" t="s">
        <v>38</v>
      </c>
      <c r="C4" s="7"/>
      <c r="D4" s="7"/>
      <c r="E4" s="7"/>
      <c r="F4" s="7">
        <v>2348.9</v>
      </c>
      <c r="G4" s="7">
        <v>2209.8000000000002</v>
      </c>
      <c r="H4" s="7">
        <v>2395.8000000000002</v>
      </c>
      <c r="I4" s="7">
        <v>2390.9</v>
      </c>
      <c r="J4" s="7">
        <v>2275.5</v>
      </c>
      <c r="K4" s="7">
        <v>2044.8</v>
      </c>
      <c r="L4" s="7">
        <v>2236.6</v>
      </c>
      <c r="M4" s="7">
        <v>2332.1999999999998</v>
      </c>
      <c r="N4" s="7">
        <v>2311.1</v>
      </c>
      <c r="O4" s="7">
        <v>2150.4</v>
      </c>
      <c r="P4" s="7"/>
      <c r="Q4" s="7"/>
      <c r="R4" s="7"/>
      <c r="S4" s="7"/>
      <c r="T4" s="7"/>
      <c r="U4" s="7"/>
      <c r="V4" s="7"/>
      <c r="Z4" s="11">
        <v>8964.5</v>
      </c>
      <c r="AA4" s="11">
        <v>9231.5</v>
      </c>
      <c r="AB4" s="11">
        <f>SUM(G4:J4)</f>
        <v>9272</v>
      </c>
      <c r="AC4" s="11">
        <f>SUM(K4:N4)</f>
        <v>8924.6999999999989</v>
      </c>
    </row>
    <row r="5" spans="1:72" s="10" customFormat="1" x14ac:dyDescent="0.2">
      <c r="B5" s="10" t="s">
        <v>63</v>
      </c>
      <c r="C5" s="6"/>
      <c r="D5" s="6"/>
      <c r="E5" s="6"/>
      <c r="F5" s="6">
        <f t="shared" ref="F5:O5" si="1">F4+F3</f>
        <v>7093.2000000000007</v>
      </c>
      <c r="G5" s="6">
        <f t="shared" si="1"/>
        <v>6700.3</v>
      </c>
      <c r="H5" s="6">
        <f t="shared" si="1"/>
        <v>7181.7</v>
      </c>
      <c r="I5" s="6">
        <f t="shared" si="1"/>
        <v>6987.1</v>
      </c>
      <c r="J5" s="6">
        <f t="shared" si="1"/>
        <v>6572.2</v>
      </c>
      <c r="K5" s="6">
        <f t="shared" si="1"/>
        <v>5958.9</v>
      </c>
      <c r="L5" s="6">
        <f t="shared" si="1"/>
        <v>6497.7000000000007</v>
      </c>
      <c r="M5" s="6">
        <f t="shared" si="1"/>
        <v>6615.0999999999995</v>
      </c>
      <c r="N5" s="6">
        <f t="shared" si="1"/>
        <v>6341.2999999999993</v>
      </c>
      <c r="O5" s="6">
        <f t="shared" si="1"/>
        <v>5903.9</v>
      </c>
      <c r="P5" s="6"/>
      <c r="Q5" s="6"/>
      <c r="R5" s="6"/>
      <c r="S5" s="6"/>
      <c r="T5" s="6"/>
      <c r="U5" s="6"/>
      <c r="V5" s="6"/>
      <c r="Z5" s="10">
        <f>+Z4+Z3</f>
        <v>27567</v>
      </c>
      <c r="AA5" s="10">
        <f>+AA4+AA3</f>
        <v>28105.7</v>
      </c>
      <c r="AB5" s="10">
        <f>+AB4+AB3</f>
        <v>27441.3</v>
      </c>
      <c r="AC5" s="10">
        <f>+AC4+AC3</f>
        <v>25413</v>
      </c>
      <c r="AD5" s="10">
        <f>+AC5*1.02</f>
        <v>25921.260000000002</v>
      </c>
      <c r="AE5" s="10">
        <f t="shared" ref="AE5:AM5" si="2">+AD5*1.02</f>
        <v>26439.685200000004</v>
      </c>
      <c r="AF5" s="10">
        <f t="shared" si="2"/>
        <v>26968.478904000003</v>
      </c>
      <c r="AG5" s="10">
        <f t="shared" si="2"/>
        <v>27507.848482080004</v>
      </c>
      <c r="AH5" s="10">
        <f t="shared" si="2"/>
        <v>28058.005451721605</v>
      </c>
      <c r="AI5" s="10">
        <f t="shared" si="2"/>
        <v>28619.165560756039</v>
      </c>
      <c r="AJ5" s="10">
        <f t="shared" si="2"/>
        <v>29191.548871971161</v>
      </c>
      <c r="AK5" s="10">
        <f t="shared" si="2"/>
        <v>29775.379849410583</v>
      </c>
      <c r="AL5" s="10">
        <f t="shared" si="2"/>
        <v>30370.887446398796</v>
      </c>
      <c r="AM5" s="10">
        <f t="shared" si="2"/>
        <v>30978.305195326771</v>
      </c>
    </row>
    <row r="6" spans="1:72" x14ac:dyDescent="0.2">
      <c r="B6" t="s">
        <v>49</v>
      </c>
      <c r="C6" s="5"/>
      <c r="D6" s="5"/>
      <c r="E6" s="5"/>
      <c r="F6" s="5">
        <v>3928.7</v>
      </c>
      <c r="G6" s="5">
        <v>3767.1</v>
      </c>
      <c r="H6" s="5">
        <v>3969.8</v>
      </c>
      <c r="I6" s="5">
        <v>3874.7</v>
      </c>
      <c r="J6" s="5">
        <v>3676.7</v>
      </c>
      <c r="K6" s="5">
        <v>3354.3</v>
      </c>
      <c r="L6" s="5">
        <v>3596.3</v>
      </c>
      <c r="M6" s="5">
        <v>3607.7</v>
      </c>
      <c r="N6" s="5">
        <v>3418.6</v>
      </c>
      <c r="O6" s="5">
        <v>3175.3</v>
      </c>
      <c r="Z6" s="9">
        <f>SUM(Z7:Z9)</f>
        <v>15223.7</v>
      </c>
      <c r="AA6" s="9">
        <f>SUM(AA7:AA9)</f>
        <v>15578.600000000002</v>
      </c>
      <c r="AB6" s="11">
        <f>SUM(G6:J6)</f>
        <v>15288.3</v>
      </c>
      <c r="AC6" s="11">
        <f t="shared" ref="AC6:AC10" si="3">SUM(K6:N6)</f>
        <v>13976.9</v>
      </c>
    </row>
    <row r="7" spans="1:72" x14ac:dyDescent="0.2">
      <c r="B7" t="s">
        <v>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Z7" s="9">
        <v>6318.2</v>
      </c>
      <c r="AA7" s="9">
        <v>6361.3</v>
      </c>
      <c r="AB7" s="11">
        <v>6129.7</v>
      </c>
      <c r="AC7" s="11">
        <f t="shared" si="3"/>
        <v>0</v>
      </c>
    </row>
    <row r="8" spans="1:72" x14ac:dyDescent="0.2">
      <c r="B8" t="s">
        <v>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Z8" s="9">
        <v>4710.3</v>
      </c>
      <c r="AA8" s="9">
        <v>4824.1000000000004</v>
      </c>
      <c r="AB8" s="11">
        <v>4756</v>
      </c>
      <c r="AC8" s="11">
        <f t="shared" si="3"/>
        <v>0</v>
      </c>
    </row>
    <row r="9" spans="1:72" x14ac:dyDescent="0.2">
      <c r="B9" t="s">
        <v>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Z9" s="9">
        <v>4195.2</v>
      </c>
      <c r="AA9" s="9">
        <v>4393.2</v>
      </c>
      <c r="AB9" s="11">
        <v>4402.6000000000004</v>
      </c>
      <c r="AC9" s="11">
        <f t="shared" si="3"/>
        <v>0</v>
      </c>
    </row>
    <row r="10" spans="1:72" x14ac:dyDescent="0.2">
      <c r="B10" t="s">
        <v>43</v>
      </c>
      <c r="C10" s="5"/>
      <c r="D10" s="5"/>
      <c r="E10" s="5"/>
      <c r="F10" s="5">
        <v>421.7</v>
      </c>
      <c r="G10" s="5">
        <v>417.1</v>
      </c>
      <c r="H10" s="5">
        <v>427.6</v>
      </c>
      <c r="I10" s="5">
        <v>431.2</v>
      </c>
      <c r="J10" s="5">
        <v>421.4</v>
      </c>
      <c r="K10" s="2">
        <v>403.6</v>
      </c>
      <c r="L10" s="2">
        <v>411</v>
      </c>
      <c r="M10" s="5">
        <v>416.1</v>
      </c>
      <c r="N10" s="5">
        <v>416.2</v>
      </c>
      <c r="O10" s="5">
        <v>415.1</v>
      </c>
      <c r="Z10" s="9">
        <v>1527</v>
      </c>
      <c r="AA10" s="9">
        <v>1624.4</v>
      </c>
      <c r="AB10" s="11">
        <f>SUM(G10:J10)</f>
        <v>1697.3000000000002</v>
      </c>
      <c r="AC10" s="11">
        <f t="shared" si="3"/>
        <v>1646.9</v>
      </c>
    </row>
    <row r="11" spans="1:72" x14ac:dyDescent="0.2">
      <c r="B11" t="s">
        <v>44</v>
      </c>
      <c r="C11" s="5"/>
      <c r="D11" s="5"/>
      <c r="E11" s="5"/>
      <c r="F11" s="5">
        <f t="shared" ref="F11:N11" si="4">+F3-F6</f>
        <v>815.60000000000036</v>
      </c>
      <c r="G11" s="5">
        <f t="shared" si="4"/>
        <v>723.40000000000009</v>
      </c>
      <c r="H11" s="5">
        <f t="shared" si="4"/>
        <v>816.09999999999945</v>
      </c>
      <c r="I11" s="5">
        <f t="shared" si="4"/>
        <v>721.5</v>
      </c>
      <c r="J11" s="5">
        <f t="shared" si="4"/>
        <v>620</v>
      </c>
      <c r="K11" s="5">
        <f t="shared" si="4"/>
        <v>559.79999999999973</v>
      </c>
      <c r="L11" s="5">
        <f t="shared" si="4"/>
        <v>664.80000000000018</v>
      </c>
      <c r="M11" s="5">
        <f t="shared" si="4"/>
        <v>675.19999999999982</v>
      </c>
      <c r="N11" s="5">
        <f t="shared" si="4"/>
        <v>611.59999999999991</v>
      </c>
      <c r="O11" s="5">
        <f t="shared" ref="N11:O11" si="5">+O3-O6</f>
        <v>578.19999999999982</v>
      </c>
      <c r="Z11" s="9">
        <f>+Z3-Z6</f>
        <v>3378.7999999999993</v>
      </c>
      <c r="AA11" s="9">
        <f>+AA3-AA6</f>
        <v>3295.5999999999985</v>
      </c>
      <c r="AB11" s="5">
        <f>+AB3-AB6</f>
        <v>2881</v>
      </c>
      <c r="AC11" s="5">
        <f>+AC3-AC6</f>
        <v>2511.3999999999996</v>
      </c>
    </row>
    <row r="12" spans="1:72" x14ac:dyDescent="0.2">
      <c r="B12" t="s">
        <v>45</v>
      </c>
      <c r="C12" s="5"/>
      <c r="D12" s="5"/>
      <c r="E12" s="5"/>
      <c r="F12" s="5">
        <f t="shared" ref="F12:M12" si="6">F4-F10</f>
        <v>1927.2</v>
      </c>
      <c r="G12" s="5">
        <f t="shared" si="6"/>
        <v>1792.7000000000003</v>
      </c>
      <c r="H12" s="5">
        <f t="shared" si="6"/>
        <v>1968.2000000000003</v>
      </c>
      <c r="I12" s="5">
        <f t="shared" si="6"/>
        <v>1959.7</v>
      </c>
      <c r="J12" s="5">
        <f t="shared" si="6"/>
        <v>1854.1</v>
      </c>
      <c r="K12" s="5">
        <f t="shared" si="6"/>
        <v>1641.1999999999998</v>
      </c>
      <c r="L12" s="5">
        <f t="shared" si="6"/>
        <v>1825.6</v>
      </c>
      <c r="M12" s="5">
        <f t="shared" si="6"/>
        <v>1916.1</v>
      </c>
      <c r="N12" s="5">
        <f>N4-N10</f>
        <v>1894.8999999999999</v>
      </c>
      <c r="O12" s="5">
        <f t="shared" ref="N12:O12" si="7">O4-O10</f>
        <v>1735.3000000000002</v>
      </c>
      <c r="Z12" s="9">
        <f>+Z4-Z10</f>
        <v>7437.5</v>
      </c>
      <c r="AA12" s="9">
        <f>+AA4-AA10</f>
        <v>7607.1</v>
      </c>
      <c r="AB12" s="5">
        <f>AB4-AB10</f>
        <v>7574.7</v>
      </c>
      <c r="AC12" s="5">
        <f>AC4-AC10</f>
        <v>7277.7999999999993</v>
      </c>
    </row>
    <row r="13" spans="1:72" x14ac:dyDescent="0.2">
      <c r="B13" t="s">
        <v>48</v>
      </c>
      <c r="C13" s="5"/>
      <c r="D13" s="5"/>
      <c r="E13" s="5"/>
      <c r="F13" s="5">
        <f t="shared" ref="F13:O13" si="8">F12+F11</f>
        <v>2742.8</v>
      </c>
      <c r="G13" s="5">
        <f t="shared" si="8"/>
        <v>2516.1000000000004</v>
      </c>
      <c r="H13" s="5">
        <f t="shared" si="8"/>
        <v>2784.2999999999997</v>
      </c>
      <c r="I13" s="5">
        <f t="shared" si="8"/>
        <v>2681.2</v>
      </c>
      <c r="J13" s="5">
        <f t="shared" si="8"/>
        <v>2474.1</v>
      </c>
      <c r="K13" s="5">
        <f t="shared" si="8"/>
        <v>2200.9999999999995</v>
      </c>
      <c r="L13" s="5">
        <f t="shared" si="8"/>
        <v>2490.4</v>
      </c>
      <c r="M13" s="5">
        <f t="shared" si="8"/>
        <v>2591.2999999999997</v>
      </c>
      <c r="N13" s="5">
        <f>N12+N11</f>
        <v>2506.5</v>
      </c>
      <c r="O13" s="5">
        <f t="shared" si="8"/>
        <v>2313.5</v>
      </c>
      <c r="P13" s="5"/>
      <c r="Q13" s="5"/>
      <c r="R13" s="5"/>
      <c r="S13" s="5"/>
      <c r="T13" s="5"/>
      <c r="U13" s="5"/>
      <c r="V13" s="5"/>
      <c r="Z13" s="9">
        <f>+Z12+Z11</f>
        <v>10816.3</v>
      </c>
      <c r="AA13" s="9">
        <f>+AA12+AA11</f>
        <v>10902.699999999999</v>
      </c>
      <c r="AB13" s="5">
        <f>AB12+AB11</f>
        <v>10455.700000000001</v>
      </c>
      <c r="AC13" s="5">
        <f>SUM(K13:N13)</f>
        <v>9789.1999999999989</v>
      </c>
      <c r="AD13" s="9">
        <f>+AD5*0.38</f>
        <v>9850.0788000000011</v>
      </c>
      <c r="AE13" s="9">
        <f t="shared" ref="AE13:AM13" si="9">+AE5*0.38</f>
        <v>10047.080376000002</v>
      </c>
      <c r="AF13" s="9">
        <f t="shared" si="9"/>
        <v>10248.021983520001</v>
      </c>
      <c r="AG13" s="9">
        <f t="shared" si="9"/>
        <v>10452.982423190402</v>
      </c>
      <c r="AH13" s="9">
        <f t="shared" si="9"/>
        <v>10662.04207165421</v>
      </c>
      <c r="AI13" s="9">
        <f t="shared" si="9"/>
        <v>10875.282913087294</v>
      </c>
      <c r="AJ13" s="9">
        <f t="shared" si="9"/>
        <v>11092.788571349041</v>
      </c>
      <c r="AK13" s="9">
        <f t="shared" si="9"/>
        <v>11314.644342776022</v>
      </c>
      <c r="AL13" s="9">
        <f t="shared" si="9"/>
        <v>11540.937229631543</v>
      </c>
      <c r="AM13" s="9">
        <f t="shared" si="9"/>
        <v>11771.755974224174</v>
      </c>
    </row>
    <row r="14" spans="1:72" x14ac:dyDescent="0.2">
      <c r="B14" t="s">
        <v>47</v>
      </c>
      <c r="C14" s="5"/>
      <c r="D14" s="5"/>
      <c r="E14" s="5"/>
      <c r="F14" s="5">
        <v>627.79999999999995</v>
      </c>
      <c r="G14" s="5">
        <v>620.4</v>
      </c>
      <c r="H14" s="5">
        <v>629.20000000000005</v>
      </c>
      <c r="I14" s="5">
        <v>575.79999999999995</v>
      </c>
      <c r="J14" s="5">
        <v>662.5</v>
      </c>
      <c r="K14" s="5">
        <v>582.79999999999995</v>
      </c>
      <c r="L14" s="5">
        <v>592.4</v>
      </c>
      <c r="M14" s="2">
        <v>584</v>
      </c>
      <c r="N14" s="5">
        <v>675.1</v>
      </c>
      <c r="O14" s="5">
        <v>578</v>
      </c>
      <c r="P14" s="5"/>
      <c r="Q14" s="5"/>
      <c r="R14" s="5"/>
      <c r="S14" s="5"/>
      <c r="T14" s="5"/>
      <c r="U14" s="5"/>
      <c r="V14" s="5"/>
      <c r="Z14" s="5">
        <v>2455.1999999999998</v>
      </c>
      <c r="AA14" s="9">
        <v>2385.6</v>
      </c>
      <c r="AB14" s="11">
        <f>SUM(G14:J14)</f>
        <v>2487.8999999999996</v>
      </c>
      <c r="AC14" s="5">
        <f>SUM(K14:N14)</f>
        <v>2434.2999999999997</v>
      </c>
      <c r="AD14" s="9">
        <f>+AC14*0.94</f>
        <v>2288.2419999999997</v>
      </c>
      <c r="AE14" s="9">
        <f t="shared" ref="AE14:AM14" si="10">+AD14*0.99</f>
        <v>2265.3595799999998</v>
      </c>
      <c r="AF14" s="9">
        <f t="shared" si="10"/>
        <v>2242.7059841999999</v>
      </c>
      <c r="AG14" s="9">
        <f t="shared" si="10"/>
        <v>2220.278924358</v>
      </c>
      <c r="AH14" s="9">
        <f t="shared" si="10"/>
        <v>2198.0761351144201</v>
      </c>
      <c r="AI14" s="9">
        <f t="shared" si="10"/>
        <v>2176.0953737632758</v>
      </c>
      <c r="AJ14" s="9">
        <f t="shared" si="10"/>
        <v>2154.3344200256429</v>
      </c>
      <c r="AK14" s="9">
        <f t="shared" si="10"/>
        <v>2132.7910758253865</v>
      </c>
      <c r="AL14" s="9">
        <f t="shared" si="10"/>
        <v>2111.4631650671326</v>
      </c>
      <c r="AM14" s="9">
        <f t="shared" si="10"/>
        <v>2090.3485334164611</v>
      </c>
    </row>
    <row r="15" spans="1:72" x14ac:dyDescent="0.2">
      <c r="B15" t="s">
        <v>50</v>
      </c>
      <c r="C15" s="5"/>
      <c r="D15" s="5"/>
      <c r="E15" s="5"/>
      <c r="F15" s="5">
        <v>-85.4</v>
      </c>
      <c r="G15" s="5">
        <v>-40.299999999999997</v>
      </c>
      <c r="H15" s="5">
        <v>-33.9</v>
      </c>
      <c r="I15" s="5">
        <v>32.9</v>
      </c>
      <c r="J15" s="5">
        <v>59.9</v>
      </c>
      <c r="K15" s="5">
        <v>232.7</v>
      </c>
      <c r="L15" s="5">
        <v>48.7</v>
      </c>
      <c r="M15" s="2">
        <v>-23</v>
      </c>
      <c r="N15" s="5">
        <v>-49</v>
      </c>
      <c r="O15" s="5">
        <v>-44.8</v>
      </c>
      <c r="P15" s="5"/>
      <c r="Q15" s="5"/>
      <c r="R15" s="5"/>
      <c r="S15" s="5"/>
      <c r="T15" s="5"/>
      <c r="U15" s="5"/>
      <c r="V15" s="5"/>
      <c r="Z15" s="5">
        <v>-243.5</v>
      </c>
      <c r="AA15" s="9">
        <v>-247.2</v>
      </c>
      <c r="AB15" s="11">
        <f t="shared" ref="AB15" si="11">SUM(G15:J15)</f>
        <v>18.600000000000009</v>
      </c>
      <c r="AC15" s="5">
        <f>SUM(K15:N15)</f>
        <v>209.39999999999998</v>
      </c>
      <c r="AD15" s="9">
        <f>+AC15*0.99</f>
        <v>207.30599999999998</v>
      </c>
      <c r="AE15" s="9">
        <f t="shared" ref="AD15:AM15" si="12">+AD15*0.99</f>
        <v>205.23293999999999</v>
      </c>
      <c r="AF15" s="9">
        <f t="shared" si="12"/>
        <v>203.18061059999999</v>
      </c>
      <c r="AG15" s="9">
        <f t="shared" si="12"/>
        <v>201.14880449399999</v>
      </c>
      <c r="AH15" s="9">
        <f t="shared" si="12"/>
        <v>199.13731644905999</v>
      </c>
      <c r="AI15" s="9">
        <f t="shared" si="12"/>
        <v>197.1459432845694</v>
      </c>
      <c r="AJ15" s="9">
        <f t="shared" si="12"/>
        <v>195.17448385172369</v>
      </c>
      <c r="AK15" s="9">
        <f t="shared" si="12"/>
        <v>193.22273901320645</v>
      </c>
      <c r="AL15" s="9">
        <f t="shared" si="12"/>
        <v>191.29051162307439</v>
      </c>
      <c r="AM15" s="9">
        <f t="shared" si="12"/>
        <v>189.37760650684365</v>
      </c>
    </row>
    <row r="16" spans="1:72" x14ac:dyDescent="0.2">
      <c r="B16" t="s">
        <v>51</v>
      </c>
      <c r="C16" s="7"/>
      <c r="D16" s="7"/>
      <c r="E16" s="7"/>
      <c r="F16" s="7">
        <f t="shared" ref="F16:O16" si="13">+F13-F14-F15</f>
        <v>2200.4</v>
      </c>
      <c r="G16" s="7">
        <f t="shared" si="13"/>
        <v>1936.0000000000002</v>
      </c>
      <c r="H16" s="7">
        <f t="shared" si="13"/>
        <v>2188.9999999999995</v>
      </c>
      <c r="I16" s="7">
        <f t="shared" si="13"/>
        <v>2072.4999999999995</v>
      </c>
      <c r="J16" s="7">
        <f t="shared" si="13"/>
        <v>1751.6999999999998</v>
      </c>
      <c r="K16" s="7">
        <f t="shared" si="13"/>
        <v>1385.4999999999995</v>
      </c>
      <c r="L16" s="7">
        <f t="shared" si="13"/>
        <v>1849.3</v>
      </c>
      <c r="M16" s="7">
        <f t="shared" si="13"/>
        <v>2030.2999999999997</v>
      </c>
      <c r="N16" s="7">
        <f t="shared" si="13"/>
        <v>1880.4</v>
      </c>
      <c r="O16" s="7">
        <f t="shared" si="13"/>
        <v>1780.3</v>
      </c>
      <c r="P16" s="7"/>
      <c r="Q16" s="7"/>
      <c r="R16" s="7"/>
      <c r="S16" s="7"/>
      <c r="T16" s="7"/>
      <c r="U16" s="7"/>
      <c r="V16" s="7"/>
      <c r="Z16" s="9">
        <f>+Z13-Z14-Z15</f>
        <v>8604.5999999999985</v>
      </c>
      <c r="AA16" s="9">
        <f>+AA13-AA14-AA15</f>
        <v>8764.2999999999993</v>
      </c>
      <c r="AB16" s="7">
        <f t="shared" ref="AB16:AC16" si="14">+AB13-AB14-AB15</f>
        <v>7949.2000000000007</v>
      </c>
      <c r="AC16" s="7">
        <f>+AC13-AC14-AC15</f>
        <v>7145.5</v>
      </c>
      <c r="AD16" s="7">
        <f>+AD13-AD14-AD15</f>
        <v>7354.5308000000014</v>
      </c>
      <c r="AE16" s="7">
        <f t="shared" ref="AE16" si="15">+AE13-AE14-AE15</f>
        <v>7576.4878560000016</v>
      </c>
      <c r="AF16" s="7">
        <f t="shared" ref="AF16" si="16">+AF13-AF14-AF15</f>
        <v>7802.1353887200003</v>
      </c>
      <c r="AG16" s="7">
        <f t="shared" ref="AG16" si="17">+AG13-AG14-AG15</f>
        <v>8031.5546943384015</v>
      </c>
      <c r="AH16" s="7">
        <f t="shared" ref="AH16" si="18">+AH13-AH14-AH15</f>
        <v>8264.8286200907296</v>
      </c>
      <c r="AI16" s="7">
        <f t="shared" ref="AI16" si="19">+AI13-AI14-AI15</f>
        <v>8502.0415960394494</v>
      </c>
      <c r="AJ16" s="7">
        <f t="shared" ref="AJ16" si="20">+AJ13-AJ14-AJ15</f>
        <v>8743.2796674716737</v>
      </c>
      <c r="AK16" s="7">
        <f t="shared" ref="AK16" si="21">+AK13-AK14-AK15</f>
        <v>8988.6305279374283</v>
      </c>
      <c r="AL16" s="7">
        <f t="shared" ref="AL16" si="22">+AL13-AL14-AL15</f>
        <v>9238.1835529413365</v>
      </c>
      <c r="AM16" s="7">
        <f t="shared" ref="AM16" si="23">+AM13-AM14-AM15</f>
        <v>9492.029834300869</v>
      </c>
    </row>
    <row r="17" spans="2:241" x14ac:dyDescent="0.2">
      <c r="B17" t="s">
        <v>52</v>
      </c>
      <c r="C17" s="5"/>
      <c r="D17" s="5"/>
      <c r="E17" s="5"/>
      <c r="F17" s="5">
        <f>-133.5-11.7</f>
        <v>-145.19999999999999</v>
      </c>
      <c r="G17" s="5">
        <f>-135.5-17.2</f>
        <v>-152.69999999999999</v>
      </c>
      <c r="H17" s="5">
        <f>-137.9+20.4</f>
        <v>-117.5</v>
      </c>
      <c r="I17" s="5">
        <f>-149.3-2.1</f>
        <v>-151.4</v>
      </c>
      <c r="J17" s="5">
        <f>-147.8-7.8</f>
        <v>-155.60000000000002</v>
      </c>
      <c r="K17" s="5">
        <f>-147.3+15.9</f>
        <v>-131.4</v>
      </c>
      <c r="L17" s="5">
        <f>-149.2+12.3</f>
        <v>-136.89999999999998</v>
      </c>
      <c r="M17" s="5">
        <f>-160.9+9</f>
        <v>-151.9</v>
      </c>
      <c r="N17" s="5">
        <f>-180.9+11.3</f>
        <v>-169.6</v>
      </c>
      <c r="O17" s="5">
        <f>-218.3+14.4</f>
        <v>-203.9</v>
      </c>
      <c r="P17" s="5"/>
      <c r="Q17" s="5"/>
      <c r="R17" s="5"/>
      <c r="S17" s="5"/>
      <c r="T17" s="5"/>
      <c r="U17" s="5"/>
      <c r="V17" s="5"/>
      <c r="Z17" s="9">
        <f>-516.6-9</f>
        <v>-525.6</v>
      </c>
      <c r="AA17" s="9">
        <f>-521.9-37.9</f>
        <v>-559.79999999999995</v>
      </c>
      <c r="AB17" s="11">
        <f t="shared" ref="AB17" si="24">SUM(G17:J17)</f>
        <v>-577.20000000000005</v>
      </c>
      <c r="AC17" s="5">
        <f>SUM(K17:N17)</f>
        <v>-589.79999999999995</v>
      </c>
    </row>
    <row r="18" spans="2:241" x14ac:dyDescent="0.2">
      <c r="B18" t="s">
        <v>53</v>
      </c>
      <c r="C18" s="5"/>
      <c r="D18" s="5"/>
      <c r="E18" s="5"/>
      <c r="F18" s="5">
        <f t="shared" ref="F18:N18" si="25">+F16+F17</f>
        <v>2055.2000000000003</v>
      </c>
      <c r="G18" s="5">
        <f t="shared" si="25"/>
        <v>1783.3000000000002</v>
      </c>
      <c r="H18" s="5">
        <f t="shared" si="25"/>
        <v>2071.4999999999995</v>
      </c>
      <c r="I18" s="5">
        <f t="shared" si="25"/>
        <v>1921.0999999999995</v>
      </c>
      <c r="J18" s="5">
        <f t="shared" si="25"/>
        <v>1596.1</v>
      </c>
      <c r="K18" s="5">
        <f t="shared" si="25"/>
        <v>1254.0999999999995</v>
      </c>
      <c r="L18" s="5">
        <f t="shared" si="25"/>
        <v>1712.4</v>
      </c>
      <c r="M18" s="5">
        <f t="shared" si="25"/>
        <v>1878.3999999999996</v>
      </c>
      <c r="N18" s="5">
        <f t="shared" si="25"/>
        <v>1710.8000000000002</v>
      </c>
      <c r="O18" s="5">
        <f t="shared" ref="O18" si="26">+O16+O17</f>
        <v>1576.3999999999999</v>
      </c>
      <c r="P18" s="5"/>
      <c r="Q18" s="5"/>
      <c r="R18" s="5"/>
      <c r="S18" s="5"/>
      <c r="T18" s="5"/>
      <c r="U18" s="5"/>
      <c r="V18" s="5"/>
      <c r="Z18" s="9">
        <f>+Z16+Z17</f>
        <v>8078.9999999999982</v>
      </c>
      <c r="AA18" s="9">
        <f>+AA16+AA17</f>
        <v>8204.5</v>
      </c>
      <c r="AB18" s="5">
        <f t="shared" ref="AB18:AC18" si="27">+AB16+AB17</f>
        <v>7372.0000000000009</v>
      </c>
      <c r="AC18" s="5">
        <f>+AC16+AC17</f>
        <v>6555.7</v>
      </c>
      <c r="AD18" s="5">
        <f t="shared" ref="AD18" si="28">+AD16+AD17</f>
        <v>7354.5308000000014</v>
      </c>
      <c r="AE18" s="5">
        <f t="shared" ref="AE18" si="29">+AE16+AE17</f>
        <v>7576.4878560000016</v>
      </c>
      <c r="AF18" s="5">
        <f t="shared" ref="AF18" si="30">+AF16+AF17</f>
        <v>7802.1353887200003</v>
      </c>
      <c r="AG18" s="5">
        <f t="shared" ref="AG18" si="31">+AG16+AG17</f>
        <v>8031.5546943384015</v>
      </c>
      <c r="AH18" s="5">
        <f t="shared" ref="AH18" si="32">+AH16+AH17</f>
        <v>8264.8286200907296</v>
      </c>
      <c r="AI18" s="5">
        <f t="shared" ref="AI18" si="33">+AI16+AI17</f>
        <v>8502.0415960394494</v>
      </c>
      <c r="AJ18" s="5">
        <f t="shared" ref="AJ18" si="34">+AJ16+AJ17</f>
        <v>8743.2796674716737</v>
      </c>
      <c r="AK18" s="5">
        <f t="shared" ref="AK18" si="35">+AK16+AK17</f>
        <v>8988.6305279374283</v>
      </c>
      <c r="AL18" s="5">
        <f t="shared" ref="AL18" si="36">+AL16+AL17</f>
        <v>9238.1835529413365</v>
      </c>
      <c r="AM18" s="5">
        <f t="shared" ref="AM18" si="37">+AM16+AM17</f>
        <v>9492.029834300869</v>
      </c>
    </row>
    <row r="19" spans="2:241" x14ac:dyDescent="0.2">
      <c r="B19" t="s">
        <v>13</v>
      </c>
      <c r="C19" s="5"/>
      <c r="D19" s="5"/>
      <c r="E19" s="5"/>
      <c r="F19" s="5">
        <v>658.2</v>
      </c>
      <c r="G19" s="5">
        <v>578.5</v>
      </c>
      <c r="H19" s="5">
        <v>684.4</v>
      </c>
      <c r="I19" s="5">
        <v>852.7</v>
      </c>
      <c r="J19" s="5">
        <v>498.6</v>
      </c>
      <c r="K19" s="5">
        <v>442.6</v>
      </c>
      <c r="L19" s="2">
        <v>510</v>
      </c>
      <c r="M19" s="5">
        <v>569.20000000000005</v>
      </c>
      <c r="N19" s="5">
        <v>504.6</v>
      </c>
      <c r="O19" s="5">
        <v>477.8</v>
      </c>
      <c r="P19" s="5"/>
      <c r="Q19" s="5"/>
      <c r="R19" s="5"/>
      <c r="S19" s="5"/>
      <c r="T19" s="5"/>
      <c r="U19" s="5"/>
      <c r="V19" s="5"/>
      <c r="Z19" s="9">
        <v>2614.1999999999998</v>
      </c>
      <c r="AA19" s="9">
        <v>2618.6</v>
      </c>
      <c r="AB19" s="11">
        <f t="shared" ref="AB19" si="38">SUM(G19:J19)</f>
        <v>2614.2000000000003</v>
      </c>
      <c r="AC19" s="5">
        <f>SUM(K19:N19)</f>
        <v>2026.4</v>
      </c>
      <c r="AD19" s="9">
        <f>+AD18*0.32</f>
        <v>2353.4498560000006</v>
      </c>
      <c r="AE19" s="9">
        <f t="shared" ref="AE19:AM19" si="39">+AE18*0.32</f>
        <v>2424.4761139200004</v>
      </c>
      <c r="AF19" s="9">
        <f t="shared" si="39"/>
        <v>2496.6833243904002</v>
      </c>
      <c r="AG19" s="9">
        <f t="shared" si="39"/>
        <v>2570.0975021882887</v>
      </c>
      <c r="AH19" s="9">
        <f t="shared" si="39"/>
        <v>2644.7451584290334</v>
      </c>
      <c r="AI19" s="9">
        <f t="shared" si="39"/>
        <v>2720.653310732624</v>
      </c>
      <c r="AJ19" s="9">
        <f t="shared" si="39"/>
        <v>2797.8494935909357</v>
      </c>
      <c r="AK19" s="9">
        <f t="shared" si="39"/>
        <v>2876.3617689399771</v>
      </c>
      <c r="AL19" s="9">
        <f t="shared" si="39"/>
        <v>2956.2187369412277</v>
      </c>
      <c r="AM19" s="9">
        <f t="shared" si="39"/>
        <v>3037.4495469762783</v>
      </c>
    </row>
    <row r="20" spans="2:241" x14ac:dyDescent="0.2">
      <c r="B20" t="s">
        <v>54</v>
      </c>
      <c r="C20" s="5"/>
      <c r="D20" s="5"/>
      <c r="E20" s="5"/>
      <c r="F20" s="5">
        <f t="shared" ref="F20:N20" si="40">+F18-F19</f>
        <v>1397.0000000000002</v>
      </c>
      <c r="G20" s="5">
        <f t="shared" si="40"/>
        <v>1204.8000000000002</v>
      </c>
      <c r="H20" s="5">
        <f t="shared" si="40"/>
        <v>1387.0999999999995</v>
      </c>
      <c r="I20" s="5">
        <f t="shared" si="40"/>
        <v>1068.3999999999994</v>
      </c>
      <c r="J20" s="5">
        <f t="shared" si="40"/>
        <v>1097.5</v>
      </c>
      <c r="K20" s="7">
        <f t="shared" si="40"/>
        <v>811.49999999999943</v>
      </c>
      <c r="L20" s="5">
        <f t="shared" si="40"/>
        <v>1202.4000000000001</v>
      </c>
      <c r="M20" s="5">
        <f t="shared" si="40"/>
        <v>1309.1999999999996</v>
      </c>
      <c r="N20" s="5">
        <f t="shared" si="40"/>
        <v>1206.2000000000003</v>
      </c>
      <c r="O20" s="5">
        <f t="shared" ref="O20" si="41">+O18-O19</f>
        <v>1098.5999999999999</v>
      </c>
      <c r="P20" s="5"/>
      <c r="Q20" s="5"/>
      <c r="R20" s="5"/>
      <c r="S20" s="5"/>
      <c r="T20" s="5"/>
      <c r="U20" s="5"/>
      <c r="V20" s="5"/>
      <c r="Z20" s="9">
        <f>+Z18-Z19</f>
        <v>5464.7999999999984</v>
      </c>
      <c r="AA20" s="9">
        <f>+AA18-AA19</f>
        <v>5585.9</v>
      </c>
      <c r="AB20" s="5">
        <f t="shared" ref="AB20:AD20" si="42">+AB18-AB19</f>
        <v>4757.8000000000011</v>
      </c>
      <c r="AC20" s="5">
        <f>+AC18-AC19</f>
        <v>4529.2999999999993</v>
      </c>
      <c r="AD20" s="7">
        <f>+AD18-AD19</f>
        <v>5001.0809440000012</v>
      </c>
      <c r="AE20" s="5">
        <f>+AE18-AE19</f>
        <v>5152.0117420800016</v>
      </c>
      <c r="AF20" s="5">
        <f>+AF18-AF19</f>
        <v>5305.4520643296</v>
      </c>
      <c r="AG20" s="5">
        <f t="shared" ref="AG20" si="43">+AG18-AG19</f>
        <v>5461.4571921501129</v>
      </c>
      <c r="AH20" s="5">
        <f t="shared" ref="AH20" si="44">+AH18-AH19</f>
        <v>5620.0834616616958</v>
      </c>
      <c r="AI20" s="5">
        <f t="shared" ref="AI20" si="45">+AI18-AI19</f>
        <v>5781.3882853068253</v>
      </c>
      <c r="AJ20" s="5">
        <f t="shared" ref="AJ20" si="46">+AJ18-AJ19</f>
        <v>5945.430173880738</v>
      </c>
      <c r="AK20" s="5">
        <f t="shared" ref="AK20" si="47">+AK18-AK19</f>
        <v>6112.2687589974512</v>
      </c>
      <c r="AL20" s="5">
        <f t="shared" ref="AL20" si="48">+AL18-AL19</f>
        <v>6281.9648160001088</v>
      </c>
      <c r="AM20" s="5">
        <f t="shared" ref="AM20" si="49">+AM18-AM19</f>
        <v>6454.5802873245902</v>
      </c>
      <c r="AN20" s="5">
        <f>+AM20*(1+$AP$22)</f>
        <v>6519.1260901978358</v>
      </c>
      <c r="AO20" s="5">
        <f t="shared" ref="AO20:CZ20" si="50">+AN20*(1+$AP$22)</f>
        <v>6584.317351099814</v>
      </c>
      <c r="AP20" s="5">
        <f t="shared" si="50"/>
        <v>6650.160524610812</v>
      </c>
      <c r="AQ20" s="5">
        <f t="shared" si="50"/>
        <v>6716.6621298569198</v>
      </c>
      <c r="AR20" s="5">
        <f t="shared" si="50"/>
        <v>6783.828751155489</v>
      </c>
      <c r="AS20" s="5">
        <f t="shared" si="50"/>
        <v>6851.6670386670439</v>
      </c>
      <c r="AT20" s="5">
        <f t="shared" si="50"/>
        <v>6920.1837090537147</v>
      </c>
      <c r="AU20" s="5">
        <f t="shared" si="50"/>
        <v>6989.3855461442517</v>
      </c>
      <c r="AV20" s="5">
        <f t="shared" si="50"/>
        <v>7059.2794016056941</v>
      </c>
      <c r="AW20" s="5">
        <f t="shared" si="50"/>
        <v>7129.8721956217514</v>
      </c>
      <c r="AX20" s="5">
        <f t="shared" si="50"/>
        <v>7201.1709175779688</v>
      </c>
      <c r="AY20" s="5">
        <f t="shared" si="50"/>
        <v>7273.182626753749</v>
      </c>
      <c r="AZ20" s="5">
        <f t="shared" si="50"/>
        <v>7345.9144530212861</v>
      </c>
      <c r="BA20" s="5">
        <f t="shared" si="50"/>
        <v>7419.3735975514992</v>
      </c>
      <c r="BB20" s="5">
        <f t="shared" si="50"/>
        <v>7493.5673335270139</v>
      </c>
      <c r="BC20" s="5">
        <f t="shared" si="50"/>
        <v>7568.5030068622846</v>
      </c>
      <c r="BD20" s="5">
        <f t="shared" si="50"/>
        <v>7644.1880369309074</v>
      </c>
      <c r="BE20" s="5">
        <f t="shared" si="50"/>
        <v>7720.6299173002162</v>
      </c>
      <c r="BF20" s="5">
        <f t="shared" si="50"/>
        <v>7797.8362164732189</v>
      </c>
      <c r="BG20" s="5">
        <f t="shared" si="50"/>
        <v>7875.8145786379509</v>
      </c>
      <c r="BH20" s="5">
        <f t="shared" si="50"/>
        <v>7954.5727244243308</v>
      </c>
      <c r="BI20" s="5">
        <f t="shared" si="50"/>
        <v>8034.1184516685744</v>
      </c>
      <c r="BJ20" s="5">
        <f t="shared" si="50"/>
        <v>8114.45963618526</v>
      </c>
      <c r="BK20" s="5">
        <f t="shared" si="50"/>
        <v>8195.6042325471135</v>
      </c>
      <c r="BL20" s="5">
        <f t="shared" si="50"/>
        <v>8277.5602748725851</v>
      </c>
      <c r="BM20" s="5">
        <f t="shared" si="50"/>
        <v>8360.3358776213117</v>
      </c>
      <c r="BN20" s="5">
        <f t="shared" si="50"/>
        <v>8443.9392363975257</v>
      </c>
      <c r="BO20" s="5">
        <f t="shared" si="50"/>
        <v>8528.3786287615003</v>
      </c>
      <c r="BP20" s="5">
        <f t="shared" si="50"/>
        <v>8613.6624150491152</v>
      </c>
      <c r="BQ20" s="5">
        <f t="shared" si="50"/>
        <v>8699.7990391996063</v>
      </c>
      <c r="BR20" s="5">
        <f t="shared" si="50"/>
        <v>8786.797029591602</v>
      </c>
      <c r="BS20" s="5">
        <f t="shared" si="50"/>
        <v>8874.6649998875182</v>
      </c>
      <c r="BT20" s="5">
        <f t="shared" si="50"/>
        <v>8963.4116498863932</v>
      </c>
      <c r="BU20" s="5">
        <f t="shared" si="50"/>
        <v>9053.0457663852576</v>
      </c>
      <c r="BV20" s="5">
        <f t="shared" si="50"/>
        <v>9143.5762240491094</v>
      </c>
      <c r="BW20" s="5">
        <f t="shared" si="50"/>
        <v>9235.0119862896008</v>
      </c>
      <c r="BX20" s="5">
        <f t="shared" si="50"/>
        <v>9327.3621061524973</v>
      </c>
      <c r="BY20" s="5">
        <f t="shared" si="50"/>
        <v>9420.6357272140231</v>
      </c>
      <c r="BZ20" s="5">
        <f t="shared" si="50"/>
        <v>9514.842084486163</v>
      </c>
      <c r="CA20" s="5">
        <f t="shared" si="50"/>
        <v>9609.9905053310249</v>
      </c>
      <c r="CB20" s="5">
        <f t="shared" si="50"/>
        <v>9706.090410384335</v>
      </c>
      <c r="CC20" s="5">
        <f t="shared" si="50"/>
        <v>9803.1513144881792</v>
      </c>
      <c r="CD20" s="5">
        <f t="shared" si="50"/>
        <v>9901.1828276330616</v>
      </c>
      <c r="CE20" s="5">
        <f t="shared" si="50"/>
        <v>10000.194655909392</v>
      </c>
      <c r="CF20" s="5">
        <f t="shared" si="50"/>
        <v>10100.196602468486</v>
      </c>
      <c r="CG20" s="5">
        <f t="shared" si="50"/>
        <v>10201.198568493171</v>
      </c>
      <c r="CH20" s="5">
        <f t="shared" si="50"/>
        <v>10303.210554178104</v>
      </c>
      <c r="CI20" s="5">
        <f t="shared" si="50"/>
        <v>10406.242659719885</v>
      </c>
      <c r="CJ20" s="5">
        <f t="shared" si="50"/>
        <v>10510.305086317083</v>
      </c>
      <c r="CK20" s="5">
        <f t="shared" si="50"/>
        <v>10615.408137180253</v>
      </c>
      <c r="CL20" s="5">
        <f t="shared" si="50"/>
        <v>10721.562218552055</v>
      </c>
      <c r="CM20" s="5">
        <f t="shared" si="50"/>
        <v>10828.777840737575</v>
      </c>
      <c r="CN20" s="5">
        <f t="shared" si="50"/>
        <v>10937.065619144951</v>
      </c>
      <c r="CO20" s="5">
        <f t="shared" si="50"/>
        <v>11046.4362753364</v>
      </c>
      <c r="CP20" s="5">
        <f t="shared" si="50"/>
        <v>11156.900638089764</v>
      </c>
      <c r="CQ20" s="5">
        <f t="shared" si="50"/>
        <v>11268.469644470662</v>
      </c>
      <c r="CR20" s="5">
        <f t="shared" si="50"/>
        <v>11381.154340915369</v>
      </c>
      <c r="CS20" s="5">
        <f t="shared" si="50"/>
        <v>11494.965884324523</v>
      </c>
      <c r="CT20" s="5">
        <f t="shared" si="50"/>
        <v>11609.915543167768</v>
      </c>
      <c r="CU20" s="5">
        <f t="shared" si="50"/>
        <v>11726.014698599445</v>
      </c>
      <c r="CV20" s="5">
        <f t="shared" si="50"/>
        <v>11843.27484558544</v>
      </c>
      <c r="CW20" s="5">
        <f t="shared" si="50"/>
        <v>11961.707594041294</v>
      </c>
      <c r="CX20" s="5">
        <f t="shared" si="50"/>
        <v>12081.324669981706</v>
      </c>
      <c r="CY20" s="5">
        <f t="shared" si="50"/>
        <v>12202.137916681524</v>
      </c>
      <c r="CZ20" s="5">
        <f t="shared" si="50"/>
        <v>12324.15929584834</v>
      </c>
      <c r="DA20" s="5">
        <f t="shared" ref="DA20:FL20" si="51">+CZ20*(1+$AP$22)</f>
        <v>12447.400888806824</v>
      </c>
      <c r="DB20" s="5">
        <f t="shared" si="51"/>
        <v>12571.874897694892</v>
      </c>
      <c r="DC20" s="5">
        <f t="shared" si="51"/>
        <v>12697.593646671841</v>
      </c>
      <c r="DD20" s="5">
        <f t="shared" si="51"/>
        <v>12824.56958313856</v>
      </c>
      <c r="DE20" s="5">
        <f t="shared" si="51"/>
        <v>12952.815278969945</v>
      </c>
      <c r="DF20" s="5">
        <f t="shared" si="51"/>
        <v>13082.343431759646</v>
      </c>
      <c r="DG20" s="5">
        <f t="shared" si="51"/>
        <v>13213.166866077243</v>
      </c>
      <c r="DH20" s="5">
        <f t="shared" si="51"/>
        <v>13345.298534738016</v>
      </c>
      <c r="DI20" s="5">
        <f t="shared" si="51"/>
        <v>13478.751520085396</v>
      </c>
      <c r="DJ20" s="5">
        <f t="shared" si="51"/>
        <v>13613.539035286251</v>
      </c>
      <c r="DK20" s="5">
        <f t="shared" si="51"/>
        <v>13749.674425639114</v>
      </c>
      <c r="DL20" s="5">
        <f t="shared" si="51"/>
        <v>13887.171169895506</v>
      </c>
      <c r="DM20" s="5">
        <f t="shared" si="51"/>
        <v>14026.042881594462</v>
      </c>
      <c r="DN20" s="5">
        <f t="shared" si="51"/>
        <v>14166.303310410407</v>
      </c>
      <c r="DO20" s="5">
        <f t="shared" si="51"/>
        <v>14307.96634351451</v>
      </c>
      <c r="DP20" s="5">
        <f t="shared" si="51"/>
        <v>14451.046006949655</v>
      </c>
      <c r="DQ20" s="5">
        <f t="shared" si="51"/>
        <v>14595.556467019151</v>
      </c>
      <c r="DR20" s="5">
        <f t="shared" si="51"/>
        <v>14741.512031689343</v>
      </c>
      <c r="DS20" s="5">
        <f t="shared" si="51"/>
        <v>14888.927152006236</v>
      </c>
      <c r="DT20" s="5">
        <f t="shared" si="51"/>
        <v>15037.816423526298</v>
      </c>
      <c r="DU20" s="5">
        <f t="shared" si="51"/>
        <v>15188.19458776156</v>
      </c>
      <c r="DV20" s="5">
        <f t="shared" si="51"/>
        <v>15340.076533639176</v>
      </c>
      <c r="DW20" s="5">
        <f t="shared" si="51"/>
        <v>15493.477298975567</v>
      </c>
      <c r="DX20" s="5">
        <f t="shared" si="51"/>
        <v>15648.412071965324</v>
      </c>
      <c r="DY20" s="5">
        <f t="shared" si="51"/>
        <v>15804.896192684977</v>
      </c>
      <c r="DZ20" s="5">
        <f t="shared" si="51"/>
        <v>15962.945154611827</v>
      </c>
      <c r="EA20" s="5">
        <f t="shared" si="51"/>
        <v>16122.574606157945</v>
      </c>
      <c r="EB20" s="5">
        <f t="shared" si="51"/>
        <v>16283.800352219525</v>
      </c>
      <c r="EC20" s="5">
        <f t="shared" si="51"/>
        <v>16446.638355741721</v>
      </c>
      <c r="ED20" s="5">
        <f t="shared" si="51"/>
        <v>16611.104739299139</v>
      </c>
      <c r="EE20" s="5">
        <f t="shared" si="51"/>
        <v>16777.21578669213</v>
      </c>
      <c r="EF20" s="5">
        <f t="shared" si="51"/>
        <v>16944.987944559052</v>
      </c>
      <c r="EG20" s="5">
        <f t="shared" si="51"/>
        <v>17114.437824004643</v>
      </c>
      <c r="EH20" s="5">
        <f t="shared" si="51"/>
        <v>17285.582202244688</v>
      </c>
      <c r="EI20" s="5">
        <f t="shared" si="51"/>
        <v>17458.438024267136</v>
      </c>
      <c r="EJ20" s="5">
        <f t="shared" si="51"/>
        <v>17633.022404509808</v>
      </c>
      <c r="EK20" s="5">
        <f t="shared" si="51"/>
        <v>17809.352628554905</v>
      </c>
      <c r="EL20" s="5">
        <f t="shared" si="51"/>
        <v>17987.446154840454</v>
      </c>
      <c r="EM20" s="5">
        <f t="shared" si="51"/>
        <v>18167.320616388857</v>
      </c>
      <c r="EN20" s="5">
        <f t="shared" si="51"/>
        <v>18348.993822552748</v>
      </c>
      <c r="EO20" s="5">
        <f t="shared" si="51"/>
        <v>18532.483760778276</v>
      </c>
      <c r="EP20" s="5">
        <f t="shared" si="51"/>
        <v>18717.808598386058</v>
      </c>
      <c r="EQ20" s="5">
        <f t="shared" si="51"/>
        <v>18904.98668436992</v>
      </c>
      <c r="ER20" s="5">
        <f t="shared" si="51"/>
        <v>19094.03655121362</v>
      </c>
      <c r="ES20" s="5">
        <f t="shared" si="51"/>
        <v>19284.976916725755</v>
      </c>
      <c r="ET20" s="5">
        <f t="shared" si="51"/>
        <v>19477.826685893011</v>
      </c>
      <c r="EU20" s="5">
        <f t="shared" si="51"/>
        <v>19672.604952751943</v>
      </c>
      <c r="EV20" s="5">
        <f t="shared" si="51"/>
        <v>19869.331002279461</v>
      </c>
      <c r="EW20" s="5">
        <f t="shared" si="51"/>
        <v>20068.024312302256</v>
      </c>
      <c r="EX20" s="5">
        <f t="shared" si="51"/>
        <v>20268.70455542528</v>
      </c>
      <c r="EY20" s="5">
        <f t="shared" si="51"/>
        <v>20471.391600979532</v>
      </c>
      <c r="EZ20" s="5">
        <f t="shared" si="51"/>
        <v>20676.105516989326</v>
      </c>
      <c r="FA20" s="5">
        <f t="shared" si="51"/>
        <v>20882.866572159219</v>
      </c>
      <c r="FB20" s="5">
        <f t="shared" si="51"/>
        <v>21091.695237880813</v>
      </c>
      <c r="FC20" s="5">
        <f t="shared" si="51"/>
        <v>21302.612190259621</v>
      </c>
      <c r="FD20" s="5">
        <f t="shared" si="51"/>
        <v>21515.638312162217</v>
      </c>
      <c r="FE20" s="5">
        <f t="shared" si="51"/>
        <v>21730.794695283839</v>
      </c>
      <c r="FF20" s="5">
        <f t="shared" si="51"/>
        <v>21948.102642236678</v>
      </c>
      <c r="FG20" s="5">
        <f t="shared" si="51"/>
        <v>22167.583668659045</v>
      </c>
      <c r="FH20" s="5">
        <f t="shared" si="51"/>
        <v>22389.259505345635</v>
      </c>
      <c r="FI20" s="5">
        <f t="shared" si="51"/>
        <v>22613.152100399093</v>
      </c>
      <c r="FJ20" s="5">
        <f t="shared" si="51"/>
        <v>22839.283621403083</v>
      </c>
      <c r="FK20" s="5">
        <f t="shared" si="51"/>
        <v>23067.676457617115</v>
      </c>
      <c r="FL20" s="5">
        <f t="shared" si="51"/>
        <v>23298.353222193287</v>
      </c>
      <c r="FM20" s="5">
        <f t="shared" ref="FM20:HX20" si="52">+FL20*(1+$AP$22)</f>
        <v>23531.336754415221</v>
      </c>
      <c r="FN20" s="5">
        <f t="shared" si="52"/>
        <v>23766.650121959374</v>
      </c>
      <c r="FO20" s="5">
        <f t="shared" si="52"/>
        <v>24004.316623178969</v>
      </c>
      <c r="FP20" s="5">
        <f t="shared" si="52"/>
        <v>24244.359789410759</v>
      </c>
      <c r="FQ20" s="5">
        <f t="shared" si="52"/>
        <v>24486.803387304866</v>
      </c>
      <c r="FR20" s="5">
        <f t="shared" si="52"/>
        <v>24731.671421177914</v>
      </c>
      <c r="FS20" s="5">
        <f t="shared" si="52"/>
        <v>24978.988135389693</v>
      </c>
      <c r="FT20" s="5">
        <f t="shared" si="52"/>
        <v>25228.778016743589</v>
      </c>
      <c r="FU20" s="5">
        <f t="shared" si="52"/>
        <v>25481.065796911025</v>
      </c>
      <c r="FV20" s="5">
        <f t="shared" si="52"/>
        <v>25735.876454880137</v>
      </c>
      <c r="FW20" s="5">
        <f t="shared" si="52"/>
        <v>25993.235219428938</v>
      </c>
      <c r="FX20" s="5">
        <f t="shared" si="52"/>
        <v>26253.167571623228</v>
      </c>
      <c r="FY20" s="5">
        <f t="shared" si="52"/>
        <v>26515.69924733946</v>
      </c>
      <c r="FZ20" s="5">
        <f t="shared" si="52"/>
        <v>26780.856239812856</v>
      </c>
      <c r="GA20" s="5">
        <f t="shared" si="52"/>
        <v>27048.664802210984</v>
      </c>
      <c r="GB20" s="5">
        <f t="shared" si="52"/>
        <v>27319.151450233094</v>
      </c>
      <c r="GC20" s="5">
        <f t="shared" si="52"/>
        <v>27592.342964735424</v>
      </c>
      <c r="GD20" s="5">
        <f t="shared" si="52"/>
        <v>27868.266394382779</v>
      </c>
      <c r="GE20" s="5">
        <f t="shared" si="52"/>
        <v>28146.949058326609</v>
      </c>
      <c r="GF20" s="5">
        <f t="shared" si="52"/>
        <v>28428.418548909875</v>
      </c>
      <c r="GG20" s="5">
        <f t="shared" si="52"/>
        <v>28712.702734398972</v>
      </c>
      <c r="GH20" s="5">
        <f t="shared" si="52"/>
        <v>28999.829761742963</v>
      </c>
      <c r="GI20" s="5">
        <f t="shared" si="52"/>
        <v>29289.828059360392</v>
      </c>
      <c r="GJ20" s="5">
        <f t="shared" si="52"/>
        <v>29582.726339953995</v>
      </c>
      <c r="GK20" s="5">
        <f t="shared" si="52"/>
        <v>29878.553603353535</v>
      </c>
      <c r="GL20" s="5">
        <f t="shared" si="52"/>
        <v>30177.33913938707</v>
      </c>
      <c r="GM20" s="5">
        <f t="shared" si="52"/>
        <v>30479.112530780942</v>
      </c>
      <c r="GN20" s="5">
        <f t="shared" si="52"/>
        <v>30783.903656088751</v>
      </c>
      <c r="GO20" s="5">
        <f t="shared" si="52"/>
        <v>31091.742692649637</v>
      </c>
      <c r="GP20" s="5">
        <f t="shared" si="52"/>
        <v>31402.660119576132</v>
      </c>
      <c r="GQ20" s="5">
        <f t="shared" si="52"/>
        <v>31716.686720771893</v>
      </c>
      <c r="GR20" s="5">
        <f t="shared" si="52"/>
        <v>32033.853587979611</v>
      </c>
      <c r="GS20" s="5">
        <f t="shared" si="52"/>
        <v>32354.192123859408</v>
      </c>
      <c r="GT20" s="5">
        <f t="shared" si="52"/>
        <v>32677.734045098001</v>
      </c>
      <c r="GU20" s="5">
        <f t="shared" si="52"/>
        <v>33004.511385548984</v>
      </c>
      <c r="GV20" s="5">
        <f t="shared" si="52"/>
        <v>33334.556499404476</v>
      </c>
      <c r="GW20" s="5">
        <f t="shared" si="52"/>
        <v>33667.90206439852</v>
      </c>
      <c r="GX20" s="5">
        <f t="shared" si="52"/>
        <v>34004.581085042504</v>
      </c>
      <c r="GY20" s="5">
        <f t="shared" si="52"/>
        <v>34344.626895892929</v>
      </c>
      <c r="GZ20" s="5">
        <f t="shared" si="52"/>
        <v>34688.073164851856</v>
      </c>
      <c r="HA20" s="5">
        <f t="shared" si="52"/>
        <v>35034.953896500374</v>
      </c>
      <c r="HB20" s="5">
        <f t="shared" si="52"/>
        <v>35385.303435465379</v>
      </c>
      <c r="HC20" s="5">
        <f t="shared" si="52"/>
        <v>35739.156469820031</v>
      </c>
      <c r="HD20" s="5">
        <f t="shared" si="52"/>
        <v>36096.54803451823</v>
      </c>
      <c r="HE20" s="5">
        <f t="shared" si="52"/>
        <v>36457.513514863414</v>
      </c>
      <c r="HF20" s="5">
        <f t="shared" si="52"/>
        <v>36822.088650012047</v>
      </c>
      <c r="HG20" s="5">
        <f t="shared" si="52"/>
        <v>37190.30953651217</v>
      </c>
      <c r="HH20" s="5">
        <f t="shared" si="52"/>
        <v>37562.212631877293</v>
      </c>
      <c r="HI20" s="5">
        <f t="shared" si="52"/>
        <v>37937.83475819607</v>
      </c>
      <c r="HJ20" s="5">
        <f t="shared" si="52"/>
        <v>38317.213105778028</v>
      </c>
      <c r="HK20" s="5">
        <f t="shared" si="52"/>
        <v>38700.385236835806</v>
      </c>
      <c r="HL20" s="5">
        <f t="shared" si="52"/>
        <v>39087.389089204167</v>
      </c>
      <c r="HM20" s="5">
        <f t="shared" si="52"/>
        <v>39478.26298009621</v>
      </c>
      <c r="HN20" s="5">
        <f t="shared" si="52"/>
        <v>39873.04560989717</v>
      </c>
      <c r="HO20" s="5">
        <f t="shared" si="52"/>
        <v>40271.776065996142</v>
      </c>
      <c r="HP20" s="5">
        <f t="shared" si="52"/>
        <v>40674.493826656108</v>
      </c>
      <c r="HQ20" s="5">
        <f t="shared" si="52"/>
        <v>41081.238764922666</v>
      </c>
      <c r="HR20" s="5">
        <f t="shared" si="52"/>
        <v>41492.05115257189</v>
      </c>
      <c r="HS20" s="5">
        <f t="shared" si="52"/>
        <v>41906.971664097611</v>
      </c>
      <c r="HT20" s="5">
        <f t="shared" si="52"/>
        <v>42326.041380738585</v>
      </c>
      <c r="HU20" s="5">
        <f t="shared" si="52"/>
        <v>42749.301794545972</v>
      </c>
      <c r="HV20" s="5">
        <f t="shared" si="52"/>
        <v>43176.794812491433</v>
      </c>
      <c r="HW20" s="5">
        <f t="shared" si="52"/>
        <v>43608.562760616347</v>
      </c>
      <c r="HX20" s="5">
        <f t="shared" si="52"/>
        <v>44044.648388222507</v>
      </c>
      <c r="HY20" s="5">
        <f t="shared" ref="HY20:IG20" si="53">+HX20*(1+$AP$22)</f>
        <v>44485.094872104732</v>
      </c>
      <c r="HZ20" s="5">
        <f t="shared" si="53"/>
        <v>44929.945820825778</v>
      </c>
      <c r="IA20" s="5">
        <f t="shared" si="53"/>
        <v>45379.245279034039</v>
      </c>
      <c r="IB20" s="5">
        <f t="shared" si="53"/>
        <v>45833.037731824377</v>
      </c>
      <c r="IC20" s="5">
        <f t="shared" si="53"/>
        <v>46291.368109142619</v>
      </c>
      <c r="ID20" s="5">
        <f t="shared" si="53"/>
        <v>46754.281790234047</v>
      </c>
      <c r="IE20" s="5">
        <f t="shared" si="53"/>
        <v>47221.82460813639</v>
      </c>
      <c r="IF20" s="5">
        <f t="shared" si="53"/>
        <v>47694.042854217754</v>
      </c>
      <c r="IG20" s="5">
        <f t="shared" si="53"/>
        <v>48170.983282759931</v>
      </c>
    </row>
    <row r="21" spans="2:241" x14ac:dyDescent="0.2">
      <c r="B21" t="s">
        <v>64</v>
      </c>
      <c r="C21" s="16"/>
      <c r="D21" s="16"/>
      <c r="E21" s="16"/>
      <c r="F21" s="16">
        <f t="shared" ref="F21:N21" si="54">F20/F22</f>
        <v>1.397978585009507</v>
      </c>
      <c r="G21" s="16">
        <f t="shared" si="54"/>
        <v>1.2097600160658704</v>
      </c>
      <c r="H21" s="16">
        <f t="shared" si="54"/>
        <v>1.3965968586387429</v>
      </c>
      <c r="I21" s="16">
        <f t="shared" si="54"/>
        <v>1.0859930880260209</v>
      </c>
      <c r="J21" s="16">
        <f t="shared" si="54"/>
        <v>1.1296963458569222</v>
      </c>
      <c r="K21" s="16">
        <f t="shared" si="54"/>
        <v>0.84049715173485184</v>
      </c>
      <c r="L21" s="16">
        <f t="shared" si="54"/>
        <v>1.255639097744361</v>
      </c>
      <c r="M21" s="16">
        <f t="shared" si="54"/>
        <v>1.4005134788189983</v>
      </c>
      <c r="N21" s="16">
        <f t="shared" si="54"/>
        <v>1.3112294814653771</v>
      </c>
      <c r="O21" s="16">
        <f t="shared" ref="O21" si="55">O20/O22</f>
        <v>1.2276231981226953</v>
      </c>
      <c r="P21" s="16"/>
      <c r="Q21" s="16"/>
      <c r="R21" s="16"/>
      <c r="S21" s="16"/>
      <c r="T21" s="16"/>
      <c r="U21" s="16"/>
      <c r="V21" s="16"/>
      <c r="Z21" s="16">
        <f>+Z20/Z22</f>
        <v>5.3565967457361285</v>
      </c>
      <c r="AA21" s="16">
        <f>+AA20/AA22</f>
        <v>5.5525844930417492</v>
      </c>
      <c r="AB21" s="1">
        <f>AB20/AB22</f>
        <v>4.8248656322888159</v>
      </c>
      <c r="AC21" s="1">
        <f>AC20/AC22</f>
        <v>4.7957012017576366</v>
      </c>
      <c r="AD21" s="1">
        <f>AD20/AD22</f>
        <v>5.2952310275821919</v>
      </c>
      <c r="AE21" s="1">
        <f t="shared" ref="AE21:AM21" si="56">AE20/AE22</f>
        <v>5.4550391678543084</v>
      </c>
      <c r="AF21" s="1">
        <f t="shared" si="56"/>
        <v>5.6175044357346611</v>
      </c>
      <c r="AG21" s="1">
        <f t="shared" si="56"/>
        <v>5.7826853641273894</v>
      </c>
      <c r="AH21" s="1">
        <f t="shared" si="56"/>
        <v>5.9506416026911921</v>
      </c>
      <c r="AI21" s="1">
        <f t="shared" si="56"/>
        <v>6.1214339407134579</v>
      </c>
      <c r="AJ21" s="1">
        <f t="shared" si="56"/>
        <v>6.2951243304364848</v>
      </c>
      <c r="AK21" s="1">
        <f t="shared" si="56"/>
        <v>6.4717759108448849</v>
      </c>
      <c r="AL21" s="1">
        <f t="shared" si="56"/>
        <v>6.6514530319234577</v>
      </c>
      <c r="AM21" s="1">
        <f t="shared" si="56"/>
        <v>6.8342212793949821</v>
      </c>
    </row>
    <row r="22" spans="2:241" x14ac:dyDescent="0.2">
      <c r="B22" t="s">
        <v>30</v>
      </c>
      <c r="C22" s="5"/>
      <c r="D22" s="5"/>
      <c r="E22" s="5"/>
      <c r="F22" s="5">
        <v>999.3</v>
      </c>
      <c r="G22" s="5">
        <v>995.9</v>
      </c>
      <c r="H22" s="5">
        <v>993.2</v>
      </c>
      <c r="I22" s="5">
        <v>983.8</v>
      </c>
      <c r="J22" s="5">
        <v>971.5</v>
      </c>
      <c r="K22" s="5">
        <v>965.5</v>
      </c>
      <c r="L22" s="5">
        <v>957.6</v>
      </c>
      <c r="M22" s="5">
        <v>934.8</v>
      </c>
      <c r="N22" s="5">
        <v>919.9</v>
      </c>
      <c r="O22" s="5">
        <v>894.9</v>
      </c>
      <c r="P22" s="5"/>
      <c r="Q22" s="5"/>
      <c r="R22" s="5"/>
      <c r="S22" s="5"/>
      <c r="T22" s="5"/>
      <c r="U22" s="5"/>
      <c r="V22" s="5"/>
      <c r="Z22" s="5">
        <v>1020.2</v>
      </c>
      <c r="AA22" s="9">
        <v>1006</v>
      </c>
      <c r="AB22" s="9">
        <f>AVERAGE(G22:J22)</f>
        <v>986.09999999999991</v>
      </c>
      <c r="AC22" s="9">
        <f>AVERAGE(K22:N22)</f>
        <v>944.44999999999993</v>
      </c>
      <c r="AD22" s="9">
        <f>+AC22</f>
        <v>944.44999999999993</v>
      </c>
      <c r="AE22" s="9">
        <f t="shared" ref="AE22:AM22" si="57">+AD22</f>
        <v>944.44999999999993</v>
      </c>
      <c r="AF22" s="9">
        <f t="shared" si="57"/>
        <v>944.44999999999993</v>
      </c>
      <c r="AG22" s="9">
        <f t="shared" si="57"/>
        <v>944.44999999999993</v>
      </c>
      <c r="AH22" s="9">
        <f t="shared" si="57"/>
        <v>944.44999999999993</v>
      </c>
      <c r="AI22" s="9">
        <f t="shared" si="57"/>
        <v>944.44999999999993</v>
      </c>
      <c r="AJ22" s="9">
        <f t="shared" si="57"/>
        <v>944.44999999999993</v>
      </c>
      <c r="AK22" s="9">
        <f t="shared" si="57"/>
        <v>944.44999999999993</v>
      </c>
      <c r="AL22" s="9">
        <f t="shared" si="57"/>
        <v>944.44999999999993</v>
      </c>
      <c r="AM22" s="9">
        <f t="shared" si="57"/>
        <v>944.44999999999993</v>
      </c>
      <c r="AO22" t="s">
        <v>71</v>
      </c>
      <c r="AP22" s="18">
        <v>0.01</v>
      </c>
    </row>
    <row r="23" spans="2:241" x14ac:dyDescent="0.2">
      <c r="AO23" t="s">
        <v>70</v>
      </c>
      <c r="AP23" s="18">
        <v>0.05</v>
      </c>
    </row>
    <row r="24" spans="2:241" x14ac:dyDescent="0.2">
      <c r="B24" t="s">
        <v>45</v>
      </c>
      <c r="C24" s="13"/>
      <c r="D24" s="13"/>
      <c r="E24" s="13"/>
      <c r="F24" s="13">
        <f t="shared" ref="F24:L24" si="58">F12/F4</f>
        <v>0.82046915577504365</v>
      </c>
      <c r="G24" s="13">
        <f t="shared" si="58"/>
        <v>0.81124988686758992</v>
      </c>
      <c r="H24" s="13">
        <f t="shared" si="58"/>
        <v>0.8215209950747141</v>
      </c>
      <c r="I24" s="13">
        <f t="shared" si="58"/>
        <v>0.81964950437073902</v>
      </c>
      <c r="J24" s="13">
        <f t="shared" si="58"/>
        <v>0.81480993188310258</v>
      </c>
      <c r="K24" s="13">
        <f t="shared" si="58"/>
        <v>0.80262128325508597</v>
      </c>
      <c r="L24" s="13">
        <f t="shared" si="58"/>
        <v>0.81623893409639636</v>
      </c>
      <c r="M24" s="13">
        <f>M12/M4</f>
        <v>0.82158476974530492</v>
      </c>
      <c r="N24" s="13">
        <f t="shared" ref="N24:Z24" si="59">N12/N4</f>
        <v>0.81991259573363329</v>
      </c>
      <c r="O24" s="13">
        <f t="shared" ref="O24" si="60">O12/O4</f>
        <v>0.80696614583333337</v>
      </c>
      <c r="P24" s="13"/>
      <c r="Q24" s="13"/>
      <c r="R24" s="13"/>
      <c r="S24" s="13"/>
      <c r="T24" s="13"/>
      <c r="U24" s="13"/>
      <c r="V24" s="13"/>
      <c r="Z24" s="13">
        <f t="shared" si="59"/>
        <v>0.82966144235595962</v>
      </c>
      <c r="AA24" s="13">
        <f t="shared" ref="AA24:AB24" si="61">AA12/AA4</f>
        <v>0.82403726371662245</v>
      </c>
      <c r="AB24" s="13">
        <f t="shared" si="61"/>
        <v>0.81694348576358933</v>
      </c>
      <c r="AC24" s="13"/>
      <c r="AO24" t="s">
        <v>72</v>
      </c>
      <c r="AP24" s="9">
        <f>NPV(AP23,AD20:HU20)+Main!H5-Main!H6</f>
        <v>128058.12742947557</v>
      </c>
    </row>
    <row r="25" spans="2:241" x14ac:dyDescent="0.2">
      <c r="B25" t="s">
        <v>57</v>
      </c>
      <c r="C25" s="13"/>
      <c r="D25" s="13"/>
      <c r="E25" s="13"/>
      <c r="F25" s="13">
        <f t="shared" ref="F25:M25" si="62">F11/F3</f>
        <v>0.17191155702632641</v>
      </c>
      <c r="G25" s="13">
        <f t="shared" si="62"/>
        <v>0.1610956463645474</v>
      </c>
      <c r="H25" s="13">
        <f t="shared" si="62"/>
        <v>0.17052174094736611</v>
      </c>
      <c r="I25" s="13">
        <f t="shared" si="62"/>
        <v>0.15697750315478004</v>
      </c>
      <c r="J25" s="13">
        <f t="shared" si="62"/>
        <v>0.14429678590546233</v>
      </c>
      <c r="K25" s="13">
        <f t="shared" si="62"/>
        <v>0.14302138422625885</v>
      </c>
      <c r="L25" s="13">
        <f t="shared" si="62"/>
        <v>0.15601605219309572</v>
      </c>
      <c r="M25" s="13">
        <f t="shared" si="62"/>
        <v>0.1576501902916248</v>
      </c>
      <c r="N25" s="13">
        <f t="shared" ref="N25:Z25" si="63">N11/N3</f>
        <v>0.15175425537194182</v>
      </c>
      <c r="O25" s="13">
        <f t="shared" ref="O25" si="64">O11/O3</f>
        <v>0.15404289329958701</v>
      </c>
      <c r="P25" s="13"/>
      <c r="Q25" s="13"/>
      <c r="R25" s="13"/>
      <c r="S25" s="13"/>
      <c r="T25" s="13"/>
      <c r="U25" s="13"/>
      <c r="V25" s="13"/>
      <c r="Z25" s="13">
        <f t="shared" si="63"/>
        <v>0.18163150114231955</v>
      </c>
      <c r="AA25" s="13">
        <f t="shared" ref="AA25:AB25" si="65">AA11/AA3</f>
        <v>0.17460872513801901</v>
      </c>
      <c r="AB25" s="13">
        <f t="shared" si="65"/>
        <v>0.15856417143203097</v>
      </c>
      <c r="AC25" s="13"/>
      <c r="AO25" t="s">
        <v>73</v>
      </c>
      <c r="AP25" s="1">
        <f>AP24/Main!H3</f>
        <v>139.46648598287473</v>
      </c>
    </row>
    <row r="26" spans="2:241" x14ac:dyDescent="0.2">
      <c r="B26" t="s">
        <v>66</v>
      </c>
      <c r="C26" s="13"/>
      <c r="D26" s="13"/>
      <c r="E26" s="13"/>
      <c r="F26" s="13">
        <f>F13/F5</f>
        <v>0.38668020075565329</v>
      </c>
      <c r="G26" s="13">
        <f t="shared" ref="G26:N26" si="66">G13/G5</f>
        <v>0.3755204990821307</v>
      </c>
      <c r="H26" s="13">
        <f t="shared" si="66"/>
        <v>0.38769372154225318</v>
      </c>
      <c r="I26" s="13">
        <f t="shared" si="66"/>
        <v>0.38373574158091334</v>
      </c>
      <c r="J26" s="13">
        <f t="shared" si="66"/>
        <v>0.37644928638811964</v>
      </c>
      <c r="K26" s="13">
        <f t="shared" si="66"/>
        <v>0.36936347312423429</v>
      </c>
      <c r="L26" s="13">
        <f t="shared" si="66"/>
        <v>0.38327408159810389</v>
      </c>
      <c r="M26" s="13">
        <f t="shared" si="66"/>
        <v>0.3917249928194585</v>
      </c>
      <c r="N26" s="13">
        <f t="shared" si="66"/>
        <v>0.39526595493037708</v>
      </c>
      <c r="O26" s="13">
        <f t="shared" ref="O26" si="67">O13/O5</f>
        <v>0.39185961821846577</v>
      </c>
      <c r="P26" s="13"/>
      <c r="Q26" s="13"/>
      <c r="R26" s="13"/>
      <c r="S26" s="13"/>
      <c r="T26" s="13"/>
      <c r="U26" s="13"/>
      <c r="V26" s="13"/>
      <c r="Z26" s="13">
        <f t="shared" ref="Z26:AC26" si="68">Z13/Z5</f>
        <v>0.39236405847571371</v>
      </c>
      <c r="AA26" s="13">
        <f t="shared" si="68"/>
        <v>0.38791775333829076</v>
      </c>
      <c r="AB26" s="13">
        <f t="shared" si="68"/>
        <v>0.38102057847113663</v>
      </c>
      <c r="AC26" s="13">
        <f t="shared" si="68"/>
        <v>0.38520442293314439</v>
      </c>
      <c r="AD26" s="13">
        <f t="shared" ref="AD26:AM26" si="69">AD13/AD5</f>
        <v>0.38</v>
      </c>
      <c r="AE26" s="13">
        <f t="shared" si="69"/>
        <v>0.38</v>
      </c>
      <c r="AF26" s="13">
        <f t="shared" si="69"/>
        <v>0.37999999999999995</v>
      </c>
      <c r="AG26" s="13">
        <f t="shared" si="69"/>
        <v>0.38</v>
      </c>
      <c r="AH26" s="13">
        <f t="shared" si="69"/>
        <v>0.38</v>
      </c>
      <c r="AI26" s="13">
        <f t="shared" si="69"/>
        <v>0.38</v>
      </c>
      <c r="AJ26" s="13">
        <f t="shared" si="69"/>
        <v>0.38</v>
      </c>
      <c r="AK26" s="13">
        <f t="shared" si="69"/>
        <v>0.38</v>
      </c>
      <c r="AL26" s="13">
        <f t="shared" si="69"/>
        <v>0.38</v>
      </c>
      <c r="AM26" s="13">
        <f t="shared" si="69"/>
        <v>0.38</v>
      </c>
      <c r="AO26" t="s">
        <v>74</v>
      </c>
      <c r="AP26" s="17">
        <f>AP25/Main!H2-1</f>
        <v>3.3085081354627732E-2</v>
      </c>
    </row>
    <row r="27" spans="2:241" x14ac:dyDescent="0.2">
      <c r="B27" t="s">
        <v>55</v>
      </c>
      <c r="C27" s="13"/>
      <c r="D27" s="13"/>
      <c r="E27" s="13"/>
      <c r="F27" s="13">
        <f t="shared" ref="F27:M27" si="70">F16/F5</f>
        <v>0.31021259798116502</v>
      </c>
      <c r="G27" s="13">
        <f t="shared" si="70"/>
        <v>0.28894228616629108</v>
      </c>
      <c r="H27" s="13">
        <f t="shared" si="70"/>
        <v>0.30480248409151028</v>
      </c>
      <c r="I27" s="13">
        <f t="shared" si="70"/>
        <v>0.29661805326959673</v>
      </c>
      <c r="J27" s="13">
        <f t="shared" si="70"/>
        <v>0.26653175496789505</v>
      </c>
      <c r="K27" s="13">
        <f t="shared" si="70"/>
        <v>0.23250935575357862</v>
      </c>
      <c r="L27" s="13">
        <f t="shared" si="70"/>
        <v>0.28460839989534753</v>
      </c>
      <c r="M27" s="13">
        <f t="shared" si="70"/>
        <v>0.30691901860894011</v>
      </c>
      <c r="N27" s="13">
        <f t="shared" ref="N27:Z27" si="71">N16/N5</f>
        <v>0.29653225679277123</v>
      </c>
      <c r="O27" s="13">
        <f t="shared" ref="O27" si="72">O16/O5</f>
        <v>0.3015464354071038</v>
      </c>
      <c r="P27" s="13"/>
      <c r="Q27" s="13"/>
      <c r="R27" s="13"/>
      <c r="S27" s="13"/>
      <c r="T27" s="13"/>
      <c r="U27" s="13"/>
      <c r="V27" s="13"/>
      <c r="Z27" s="13">
        <f t="shared" si="71"/>
        <v>0.31213407334856891</v>
      </c>
      <c r="AA27" s="13">
        <f t="shared" ref="AA27:AC27" si="73">AA16/AA5</f>
        <v>0.31183354266216456</v>
      </c>
      <c r="AB27" s="13">
        <f t="shared" si="73"/>
        <v>0.2896801536370362</v>
      </c>
      <c r="AC27" s="13">
        <f t="shared" si="73"/>
        <v>0.28117498917876677</v>
      </c>
      <c r="AD27" s="13">
        <f t="shared" ref="AD27:AM27" si="74">AD16/AD5</f>
        <v>0.28372582197007401</v>
      </c>
      <c r="AE27" s="13">
        <f t="shared" si="74"/>
        <v>0.2865574154415424</v>
      </c>
      <c r="AF27" s="13">
        <f t="shared" si="74"/>
        <v>0.28930572675208527</v>
      </c>
      <c r="AG27" s="13">
        <f t="shared" si="74"/>
        <v>0.29197320537702393</v>
      </c>
      <c r="AH27" s="13">
        <f t="shared" si="74"/>
        <v>0.29456222874828797</v>
      </c>
      <c r="AI27" s="13">
        <f t="shared" si="74"/>
        <v>0.29707510437333828</v>
      </c>
      <c r="AJ27" s="13">
        <f t="shared" si="74"/>
        <v>0.29951407189176954</v>
      </c>
      <c r="AK27" s="13">
        <f t="shared" si="74"/>
        <v>0.30188130507142336</v>
      </c>
      <c r="AL27" s="13">
        <f t="shared" si="74"/>
        <v>0.30417891374579331</v>
      </c>
      <c r="AM27" s="13">
        <f t="shared" si="74"/>
        <v>0.30640894569444643</v>
      </c>
    </row>
    <row r="28" spans="2:241" x14ac:dyDescent="0.2">
      <c r="B28" t="s">
        <v>56</v>
      </c>
      <c r="C28" s="13"/>
      <c r="D28" s="13"/>
      <c r="E28" s="13"/>
      <c r="F28" s="13">
        <f t="shared" ref="F28:M28" si="75">F19/F18</f>
        <v>0.32026080186843126</v>
      </c>
      <c r="G28" s="13">
        <f t="shared" si="75"/>
        <v>0.32439858688947454</v>
      </c>
      <c r="H28" s="13">
        <f t="shared" si="75"/>
        <v>0.33038860728940389</v>
      </c>
      <c r="I28" s="13">
        <f t="shared" si="75"/>
        <v>0.44386028837645114</v>
      </c>
      <c r="J28" s="13">
        <f t="shared" si="75"/>
        <v>0.31238644195225868</v>
      </c>
      <c r="K28" s="13">
        <f t="shared" si="75"/>
        <v>0.3529224144805041</v>
      </c>
      <c r="L28" s="13">
        <f t="shared" si="75"/>
        <v>0.29782761037140854</v>
      </c>
      <c r="M28" s="13">
        <f t="shared" si="75"/>
        <v>0.30302385008517896</v>
      </c>
      <c r="N28" s="13">
        <f t="shared" ref="N28:Z28" si="76">N19/N18</f>
        <v>0.29494973111994388</v>
      </c>
      <c r="O28" s="13">
        <f t="shared" ref="O28" si="77">O19/O18</f>
        <v>0.30309566099974627</v>
      </c>
      <c r="P28" s="13"/>
      <c r="Q28" s="13"/>
      <c r="R28" s="13"/>
      <c r="S28" s="13"/>
      <c r="T28" s="13"/>
      <c r="U28" s="13"/>
      <c r="V28" s="13"/>
      <c r="Z28" s="13">
        <f t="shared" si="76"/>
        <v>0.32357965094689944</v>
      </c>
      <c r="AA28" s="13">
        <f t="shared" ref="AA28:AC28" si="78">AA19/AA18</f>
        <v>0.31916631117069899</v>
      </c>
      <c r="AB28" s="13">
        <f t="shared" si="78"/>
        <v>0.35461204557786219</v>
      </c>
      <c r="AC28" s="13">
        <f t="shared" si="78"/>
        <v>0.30910505361746271</v>
      </c>
      <c r="AD28" s="13">
        <f t="shared" ref="AD28:AM28" si="79">AD19/AD18</f>
        <v>0.32</v>
      </c>
      <c r="AE28" s="13">
        <f t="shared" si="79"/>
        <v>0.32</v>
      </c>
      <c r="AF28" s="13">
        <f t="shared" si="79"/>
        <v>0.32</v>
      </c>
      <c r="AG28" s="13">
        <f t="shared" si="79"/>
        <v>0.32</v>
      </c>
      <c r="AH28" s="13">
        <f t="shared" si="79"/>
        <v>0.32</v>
      </c>
      <c r="AI28" s="13">
        <f t="shared" si="79"/>
        <v>0.32</v>
      </c>
      <c r="AJ28" s="13">
        <f t="shared" si="79"/>
        <v>0.32</v>
      </c>
      <c r="AK28" s="13">
        <f t="shared" si="79"/>
        <v>0.32</v>
      </c>
      <c r="AL28" s="13">
        <f t="shared" si="79"/>
        <v>0.32</v>
      </c>
      <c r="AM28" s="13">
        <f t="shared" si="79"/>
        <v>0.32</v>
      </c>
    </row>
    <row r="30" spans="2:241" s="3" customFormat="1" x14ac:dyDescent="0.2">
      <c r="B30" s="3" t="s">
        <v>58</v>
      </c>
      <c r="C30" s="8"/>
      <c r="D30" s="8"/>
      <c r="E30" s="8"/>
      <c r="F30" s="19"/>
      <c r="G30" s="19"/>
      <c r="H30" s="19"/>
      <c r="I30" s="19"/>
      <c r="J30" s="19">
        <f>J5/F5-1</f>
        <v>-7.3450628771217663E-2</v>
      </c>
      <c r="K30" s="19">
        <f>K5/G5-1</f>
        <v>-0.11065176186140924</v>
      </c>
      <c r="L30" s="19">
        <f>L5/H5-1</f>
        <v>-9.5242073603742705E-2</v>
      </c>
      <c r="M30" s="19">
        <f>M5/I5-1</f>
        <v>-5.3240972649597262E-2</v>
      </c>
      <c r="N30" s="19">
        <f t="shared" ref="N30" si="80">N5/J5-1</f>
        <v>-3.5132832232737998E-2</v>
      </c>
      <c r="O30" s="19">
        <f t="shared" ref="O30" si="81">O5/K5-1</f>
        <v>-9.2298914229136386E-3</v>
      </c>
      <c r="P30" s="19"/>
      <c r="Q30" s="19"/>
      <c r="R30" s="19"/>
      <c r="S30" s="19"/>
      <c r="T30" s="19"/>
      <c r="U30" s="19"/>
      <c r="V30" s="19"/>
      <c r="AA30" s="20">
        <f>AA5/Z5-1</f>
        <v>1.9541480755976393E-2</v>
      </c>
      <c r="AB30" s="20">
        <f>AB5/AA5-1</f>
        <v>-2.3639332946697733E-2</v>
      </c>
      <c r="AC30" s="20">
        <f>AC5/AB5-1</f>
        <v>-7.3914136720927948E-2</v>
      </c>
      <c r="AD30" s="20">
        <f t="shared" ref="AD30:AM30" si="82">AD5/AC5-1</f>
        <v>2.0000000000000018E-2</v>
      </c>
      <c r="AE30" s="20">
        <f t="shared" si="82"/>
        <v>2.0000000000000018E-2</v>
      </c>
      <c r="AF30" s="20">
        <f t="shared" si="82"/>
        <v>2.0000000000000018E-2</v>
      </c>
      <c r="AG30" s="20">
        <f t="shared" si="82"/>
        <v>2.0000000000000018E-2</v>
      </c>
      <c r="AH30" s="20">
        <f t="shared" si="82"/>
        <v>2.0000000000000018E-2</v>
      </c>
      <c r="AI30" s="20">
        <f t="shared" si="82"/>
        <v>2.0000000000000018E-2</v>
      </c>
      <c r="AJ30" s="20">
        <f t="shared" si="82"/>
        <v>2.0000000000000018E-2</v>
      </c>
      <c r="AK30" s="20">
        <f t="shared" si="82"/>
        <v>2.0000000000000018E-2</v>
      </c>
      <c r="AL30" s="20">
        <f t="shared" si="82"/>
        <v>2.0000000000000018E-2</v>
      </c>
      <c r="AM30" s="20">
        <f t="shared" si="82"/>
        <v>2.0000000000000018E-2</v>
      </c>
    </row>
    <row r="31" spans="2:241" s="3" customFormat="1" x14ac:dyDescent="0.2">
      <c r="B31" s="3" t="s">
        <v>86</v>
      </c>
      <c r="C31" s="8"/>
      <c r="D31" s="8"/>
      <c r="E31" s="8"/>
      <c r="F31" s="8"/>
      <c r="G31" s="19">
        <v>5.0000000000000001E-3</v>
      </c>
      <c r="H31" s="19">
        <v>0</v>
      </c>
      <c r="I31" s="19">
        <v>-3.3000000000000002E-2</v>
      </c>
      <c r="J31" s="19">
        <v>-8.9999999999999993E-3</v>
      </c>
      <c r="K31" s="19">
        <v>-2.3E-2</v>
      </c>
      <c r="L31" s="19">
        <v>-7.0000000000000001E-3</v>
      </c>
      <c r="M31" s="19">
        <v>0.04</v>
      </c>
      <c r="N31" s="19"/>
      <c r="O31" s="19">
        <v>0.05</v>
      </c>
      <c r="P31" s="19"/>
      <c r="Q31" s="19"/>
      <c r="R31" s="19"/>
      <c r="S31" s="19"/>
      <c r="T31" s="19"/>
      <c r="U31" s="19"/>
      <c r="V31" s="19"/>
      <c r="AA31" s="20"/>
      <c r="AB31" s="20">
        <v>-0.01</v>
      </c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241" s="3" customFormat="1" x14ac:dyDescent="0.2">
      <c r="B32" s="3" t="s">
        <v>87</v>
      </c>
      <c r="C32" s="8"/>
      <c r="D32" s="8"/>
      <c r="E32" s="8"/>
      <c r="F32" s="8"/>
      <c r="G32" s="19">
        <v>0.03</v>
      </c>
      <c r="H32" s="19">
        <v>0.01</v>
      </c>
      <c r="I32" s="19">
        <v>-0.04</v>
      </c>
      <c r="J32" s="19">
        <v>0</v>
      </c>
      <c r="K32" s="19">
        <v>0.01</v>
      </c>
      <c r="L32" s="19">
        <v>0.01</v>
      </c>
      <c r="M32" s="19">
        <v>7.0000000000000007E-2</v>
      </c>
      <c r="N32" s="19"/>
      <c r="O32" s="19">
        <v>0.05</v>
      </c>
      <c r="P32" s="19"/>
      <c r="Q32" s="19"/>
      <c r="R32" s="19"/>
      <c r="S32" s="19"/>
      <c r="T32" s="19"/>
      <c r="U32" s="19"/>
      <c r="V32" s="19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2:39" s="3" customFormat="1" x14ac:dyDescent="0.2">
      <c r="B33" s="3" t="s">
        <v>85</v>
      </c>
      <c r="C33" s="8"/>
      <c r="D33" s="8"/>
      <c r="E33" s="8"/>
      <c r="F33" s="8"/>
      <c r="G33" s="8"/>
      <c r="H33" s="8"/>
      <c r="I33" s="8"/>
      <c r="J33" s="19">
        <f t="shared" ref="J33:L33" si="83">J16/F16-1</f>
        <v>-0.20391746955099088</v>
      </c>
      <c r="K33" s="19">
        <f t="shared" si="83"/>
        <v>-0.28434917355371936</v>
      </c>
      <c r="L33" s="19">
        <f t="shared" si="83"/>
        <v>-0.15518501598903589</v>
      </c>
      <c r="M33" s="19">
        <f>M16/I16-1</f>
        <v>-2.036188178528342E-2</v>
      </c>
      <c r="N33" s="19">
        <f t="shared" ref="N33" si="84">N16/J16-1</f>
        <v>7.3471484843295354E-2</v>
      </c>
      <c r="O33" s="19">
        <f t="shared" ref="O33" si="85">O16/K16-1</f>
        <v>0.28495128112594781</v>
      </c>
      <c r="P33" s="19"/>
      <c r="Q33" s="19"/>
      <c r="R33" s="19"/>
      <c r="S33" s="19"/>
      <c r="T33" s="19"/>
      <c r="U33" s="19"/>
      <c r="V33" s="19"/>
      <c r="AA33" s="20"/>
      <c r="AB33" s="20"/>
      <c r="AC33" s="20"/>
      <c r="AD33" s="20">
        <f>AD16/AC16-1</f>
        <v>2.9253488209362688E-2</v>
      </c>
      <c r="AE33" s="20">
        <f t="shared" ref="AE33:AM33" si="86">AE16/AD16-1</f>
        <v>3.0179635116899695E-2</v>
      </c>
      <c r="AF33" s="20">
        <f t="shared" si="86"/>
        <v>2.9782603365661409E-2</v>
      </c>
      <c r="AG33" s="20">
        <f t="shared" si="86"/>
        <v>2.9404681435044822E-2</v>
      </c>
      <c r="AH33" s="20">
        <f t="shared" si="86"/>
        <v>2.9044678724128969E-2</v>
      </c>
      <c r="AI33" s="20">
        <f t="shared" si="86"/>
        <v>2.8701499674425923E-2</v>
      </c>
      <c r="AJ33" s="20">
        <f t="shared" si="86"/>
        <v>2.8374134460198652E-2</v>
      </c>
      <c r="AK33" s="20">
        <f t="shared" si="86"/>
        <v>2.8061650753155476E-2</v>
      </c>
      <c r="AL33" s="20">
        <f t="shared" si="86"/>
        <v>2.7763186419585972E-2</v>
      </c>
      <c r="AM33" s="20">
        <f t="shared" si="86"/>
        <v>2.7477943029039498E-2</v>
      </c>
    </row>
    <row r="35" spans="2:39" x14ac:dyDescent="0.2">
      <c r="B35" t="s">
        <v>34</v>
      </c>
      <c r="G35" s="5">
        <f t="shared" ref="G35:J35" si="87">G36-G52</f>
        <v>-11183</v>
      </c>
      <c r="H35" s="5">
        <f t="shared" si="87"/>
        <v>-11760</v>
      </c>
      <c r="I35" s="5">
        <f t="shared" si="87"/>
        <v>-11896.899999999998</v>
      </c>
      <c r="J35" s="5">
        <f t="shared" si="87"/>
        <v>-12911.800000000001</v>
      </c>
      <c r="K35" s="5">
        <f>K36-K52</f>
        <v>-12657</v>
      </c>
      <c r="L35" s="5">
        <f>L36-L52</f>
        <v>-13903.099999999999</v>
      </c>
      <c r="M35" s="5">
        <f>M36-M52</f>
        <v>-15538</v>
      </c>
    </row>
    <row r="36" spans="2:39" x14ac:dyDescent="0.2">
      <c r="B36" t="s">
        <v>32</v>
      </c>
      <c r="G36" s="5">
        <v>2743.8</v>
      </c>
      <c r="H36" s="5">
        <v>3670.6</v>
      </c>
      <c r="I36" s="5">
        <f>2825.8+407.5</f>
        <v>3233.3</v>
      </c>
      <c r="J36" s="5">
        <v>2077.9</v>
      </c>
      <c r="K36" s="5">
        <v>1634.8</v>
      </c>
      <c r="L36" s="5">
        <v>3998.5</v>
      </c>
      <c r="M36" s="5">
        <v>2452.5</v>
      </c>
    </row>
    <row r="37" spans="2:39" x14ac:dyDescent="0.2">
      <c r="B37" t="s">
        <v>62</v>
      </c>
      <c r="G37" s="5">
        <v>1229.7</v>
      </c>
      <c r="H37" s="5">
        <v>1294.5</v>
      </c>
      <c r="I37" s="5">
        <v>1226.7</v>
      </c>
      <c r="J37" s="5">
        <v>1214.4000000000001</v>
      </c>
      <c r="K37" s="5">
        <v>1091.8</v>
      </c>
      <c r="L37" s="5">
        <v>1178.5999999999999</v>
      </c>
      <c r="M37" s="7">
        <v>1136.2</v>
      </c>
    </row>
    <row r="38" spans="2:39" x14ac:dyDescent="0.2">
      <c r="B38" t="s">
        <v>5</v>
      </c>
      <c r="G38" s="5">
        <v>106.2</v>
      </c>
      <c r="H38" s="5">
        <v>110.7</v>
      </c>
      <c r="I38" s="5">
        <v>105</v>
      </c>
      <c r="J38" s="5">
        <v>110</v>
      </c>
      <c r="K38" s="5">
        <v>98.8</v>
      </c>
      <c r="L38" s="5">
        <v>102.3</v>
      </c>
      <c r="M38" s="5">
        <v>99.3</v>
      </c>
    </row>
    <row r="39" spans="2:39" x14ac:dyDescent="0.2">
      <c r="B39" t="s">
        <v>6</v>
      </c>
      <c r="G39" s="5">
        <v>756.6</v>
      </c>
      <c r="H39" s="5">
        <v>837.9</v>
      </c>
      <c r="I39" s="5">
        <v>645.4</v>
      </c>
      <c r="J39" s="5">
        <v>783.2</v>
      </c>
      <c r="K39" s="5">
        <v>767.4</v>
      </c>
      <c r="L39" s="5">
        <v>692.8</v>
      </c>
      <c r="M39" s="5">
        <v>804.6</v>
      </c>
    </row>
    <row r="40" spans="2:39" x14ac:dyDescent="0.2">
      <c r="B40" t="s">
        <v>7</v>
      </c>
      <c r="G40" s="5">
        <v>1223.8</v>
      </c>
      <c r="H40" s="5">
        <v>1231.5999999999999</v>
      </c>
      <c r="I40" s="5">
        <v>1106.4000000000001</v>
      </c>
      <c r="J40" s="5">
        <v>1004.5</v>
      </c>
      <c r="K40" s="5">
        <v>900.5</v>
      </c>
      <c r="L40" s="5">
        <v>860.3</v>
      </c>
      <c r="M40" s="5">
        <v>846.7</v>
      </c>
    </row>
    <row r="41" spans="2:39" x14ac:dyDescent="0.2">
      <c r="B41" t="s">
        <v>8</v>
      </c>
      <c r="G41" s="5">
        <v>2891.5</v>
      </c>
      <c r="H41" s="5">
        <v>2902.3</v>
      </c>
      <c r="I41" s="5">
        <v>2811.2</v>
      </c>
      <c r="J41" s="5">
        <v>2735.3</v>
      </c>
      <c r="K41" s="5">
        <v>2593.5</v>
      </c>
      <c r="L41" s="5">
        <v>2627.5</v>
      </c>
      <c r="M41" s="5">
        <v>2581.6</v>
      </c>
    </row>
    <row r="42" spans="2:39" x14ac:dyDescent="0.2">
      <c r="B42" t="s">
        <v>9</v>
      </c>
      <c r="G42" s="5">
        <v>1767.5</v>
      </c>
      <c r="H42" s="5">
        <v>1855.7</v>
      </c>
      <c r="I42" s="5">
        <v>1907.5</v>
      </c>
      <c r="J42" s="5">
        <v>1798.6</v>
      </c>
      <c r="K42" s="5">
        <v>1767.1</v>
      </c>
      <c r="L42" s="5">
        <v>1796.7</v>
      </c>
      <c r="M42" s="5">
        <v>1799.2</v>
      </c>
    </row>
    <row r="43" spans="2:39" x14ac:dyDescent="0.2">
      <c r="B43" t="s">
        <v>10</v>
      </c>
      <c r="G43" s="5">
        <v>25650</v>
      </c>
      <c r="H43" s="5">
        <v>25877.3</v>
      </c>
      <c r="I43" s="5">
        <v>24985.3</v>
      </c>
      <c r="J43" s="5">
        <v>24557.5</v>
      </c>
      <c r="K43" s="5">
        <v>23301.7</v>
      </c>
      <c r="L43" s="5">
        <v>23691.200000000001</v>
      </c>
      <c r="M43" s="7">
        <v>23239.4</v>
      </c>
    </row>
    <row r="44" spans="2:39" s="3" customFormat="1" x14ac:dyDescent="0.2">
      <c r="B44" s="3" t="s">
        <v>11</v>
      </c>
      <c r="C44" s="8"/>
      <c r="D44" s="8"/>
      <c r="E44" s="8"/>
      <c r="F44" s="8"/>
      <c r="G44" s="6">
        <f>SUM(G36:G43)</f>
        <v>36369.1</v>
      </c>
      <c r="H44" s="6">
        <f>SUM(H36:H43)</f>
        <v>37780.6</v>
      </c>
      <c r="I44" s="6">
        <f>SUM(I36:I43)</f>
        <v>36020.800000000003</v>
      </c>
      <c r="J44" s="6">
        <f>SUM(J36:J43)</f>
        <v>34281.4</v>
      </c>
      <c r="K44" s="6">
        <f>SUM(K36:K43)</f>
        <v>32155.599999999999</v>
      </c>
      <c r="L44" s="6">
        <f t="shared" ref="L44" si="88">SUM(L36:L43)</f>
        <v>34947.9</v>
      </c>
      <c r="M44" s="6">
        <f>SUM(M36:M43)</f>
        <v>32959.5</v>
      </c>
      <c r="N44" s="8"/>
      <c r="O44" s="8"/>
      <c r="P44" s="8"/>
      <c r="Q44" s="8"/>
      <c r="R44" s="8"/>
      <c r="S44" s="8"/>
      <c r="T44" s="8"/>
      <c r="U44" s="8"/>
      <c r="V44" s="8"/>
    </row>
    <row r="45" spans="2:39" x14ac:dyDescent="0.2">
      <c r="L45" s="5"/>
    </row>
    <row r="46" spans="2:39" s="9" customFormat="1" x14ac:dyDescent="0.2">
      <c r="B46" s="9" t="s">
        <v>12</v>
      </c>
      <c r="C46" s="5"/>
      <c r="D46" s="5"/>
      <c r="E46" s="5"/>
      <c r="F46" s="5"/>
      <c r="G46" s="5">
        <v>828.1</v>
      </c>
      <c r="H46" s="5">
        <v>965.1</v>
      </c>
      <c r="I46" s="5">
        <v>847.3</v>
      </c>
      <c r="J46" s="5">
        <v>860.1</v>
      </c>
      <c r="K46" s="5">
        <v>702</v>
      </c>
      <c r="L46" s="5">
        <v>840.1</v>
      </c>
      <c r="M46" s="5">
        <v>802.6</v>
      </c>
      <c r="N46" s="5"/>
      <c r="O46" s="5"/>
      <c r="P46" s="5"/>
      <c r="Q46" s="5"/>
      <c r="R46" s="5"/>
      <c r="S46" s="5"/>
      <c r="T46" s="5"/>
      <c r="U46" s="5"/>
      <c r="V46" s="5"/>
    </row>
    <row r="47" spans="2:39" s="9" customFormat="1" x14ac:dyDescent="0.2">
      <c r="B47" s="9" t="s">
        <v>117</v>
      </c>
      <c r="C47" s="5"/>
      <c r="D47" s="5"/>
      <c r="E47" s="5"/>
      <c r="F47" s="5"/>
      <c r="G47" s="5">
        <v>0</v>
      </c>
      <c r="H47" s="5">
        <v>0</v>
      </c>
      <c r="I47" s="5">
        <v>815.5</v>
      </c>
      <c r="J47" s="5">
        <v>0</v>
      </c>
      <c r="K47" s="5">
        <v>0</v>
      </c>
      <c r="L47" s="5">
        <v>0</v>
      </c>
      <c r="M47" s="5">
        <v>0</v>
      </c>
      <c r="N47" s="5"/>
      <c r="O47" s="5"/>
      <c r="P47" s="5"/>
      <c r="Q47" s="5"/>
      <c r="R47" s="5"/>
      <c r="S47" s="5"/>
      <c r="T47" s="5"/>
      <c r="U47" s="5"/>
      <c r="V47" s="5"/>
    </row>
    <row r="48" spans="2:39" s="9" customFormat="1" x14ac:dyDescent="0.2">
      <c r="B48" s="9" t="s">
        <v>14</v>
      </c>
      <c r="C48" s="5"/>
      <c r="D48" s="5"/>
      <c r="E48" s="5"/>
      <c r="F48" s="5"/>
      <c r="G48" s="5">
        <v>427.8</v>
      </c>
      <c r="H48" s="5">
        <v>111</v>
      </c>
      <c r="I48" s="5">
        <v>115.3</v>
      </c>
      <c r="J48" s="5">
        <v>166.8</v>
      </c>
      <c r="K48" s="5">
        <v>372.1</v>
      </c>
      <c r="L48" s="5">
        <v>62.4</v>
      </c>
      <c r="M48" s="5">
        <v>178.7</v>
      </c>
      <c r="N48" s="5"/>
      <c r="O48" s="5"/>
      <c r="P48" s="5"/>
      <c r="Q48" s="5"/>
      <c r="R48" s="5"/>
      <c r="S48" s="5"/>
      <c r="T48" s="5"/>
      <c r="U48" s="5"/>
      <c r="V48" s="5"/>
    </row>
    <row r="49" spans="2:22" s="9" customFormat="1" x14ac:dyDescent="0.2">
      <c r="B49" s="9" t="s">
        <v>15</v>
      </c>
      <c r="C49" s="5"/>
      <c r="D49" s="5"/>
      <c r="E49" s="5"/>
      <c r="F49" s="5"/>
      <c r="G49" s="5">
        <v>393.4</v>
      </c>
      <c r="H49" s="5">
        <v>395.3</v>
      </c>
      <c r="I49" s="5">
        <v>379.7</v>
      </c>
      <c r="J49" s="5">
        <v>330</v>
      </c>
      <c r="K49" s="5">
        <v>317</v>
      </c>
      <c r="L49" s="5">
        <v>348.6</v>
      </c>
      <c r="M49" s="5">
        <v>327</v>
      </c>
      <c r="N49" s="5"/>
      <c r="O49" s="5"/>
      <c r="P49" s="5"/>
      <c r="Q49" s="5"/>
      <c r="R49" s="5"/>
      <c r="S49" s="5"/>
      <c r="T49" s="5"/>
      <c r="U49" s="5"/>
      <c r="V49" s="5"/>
    </row>
    <row r="50" spans="2:22" s="9" customFormat="1" x14ac:dyDescent="0.2">
      <c r="B50" s="9" t="s">
        <v>16</v>
      </c>
      <c r="C50" s="5"/>
      <c r="D50" s="5"/>
      <c r="E50" s="5"/>
      <c r="F50" s="5"/>
      <c r="G50" s="5">
        <v>161.4</v>
      </c>
      <c r="H50" s="5">
        <v>172.7</v>
      </c>
      <c r="I50" s="5">
        <v>195.7</v>
      </c>
      <c r="J50" s="5">
        <v>233.7</v>
      </c>
      <c r="K50" s="5">
        <v>182.4</v>
      </c>
      <c r="L50" s="5">
        <v>168.2</v>
      </c>
      <c r="M50" s="5">
        <v>200</v>
      </c>
      <c r="N50" s="5"/>
      <c r="O50" s="5"/>
      <c r="P50" s="5"/>
      <c r="Q50" s="5"/>
      <c r="R50" s="5"/>
      <c r="S50" s="5"/>
      <c r="T50" s="5"/>
      <c r="U50" s="5"/>
      <c r="V50" s="5"/>
    </row>
    <row r="51" spans="2:22" s="9" customFormat="1" x14ac:dyDescent="0.2">
      <c r="B51" s="9" t="s">
        <v>17</v>
      </c>
      <c r="C51" s="5"/>
      <c r="D51" s="5"/>
      <c r="E51" s="5"/>
      <c r="F51" s="5"/>
      <c r="G51" s="5">
        <v>1189.0999999999999</v>
      </c>
      <c r="H51" s="5">
        <v>1208.4000000000001</v>
      </c>
      <c r="I51" s="5">
        <v>1212.8</v>
      </c>
      <c r="J51" s="5">
        <v>1157.3</v>
      </c>
      <c r="K51" s="5">
        <v>1178.4000000000001</v>
      </c>
      <c r="L51" s="5">
        <v>1341.5</v>
      </c>
      <c r="M51" s="5">
        <v>1448.2</v>
      </c>
      <c r="N51" s="5"/>
      <c r="O51" s="5"/>
      <c r="P51" s="5"/>
      <c r="Q51" s="5"/>
      <c r="R51" s="5"/>
      <c r="S51" s="5"/>
      <c r="T51" s="5"/>
      <c r="U51" s="5"/>
      <c r="V51" s="5"/>
    </row>
    <row r="52" spans="2:22" s="9" customFormat="1" x14ac:dyDescent="0.2">
      <c r="B52" s="9" t="s">
        <v>18</v>
      </c>
      <c r="C52" s="5"/>
      <c r="D52" s="5"/>
      <c r="E52" s="5"/>
      <c r="F52" s="5"/>
      <c r="G52" s="5">
        <f>101.4+13825.4</f>
        <v>13926.8</v>
      </c>
      <c r="H52" s="5">
        <f>539.2+14891.4</f>
        <v>15430.6</v>
      </c>
      <c r="I52" s="5">
        <f>613.3+14516.9</f>
        <v>15130.199999999999</v>
      </c>
      <c r="J52" s="5">
        <v>14989.7</v>
      </c>
      <c r="K52" s="5">
        <v>14291.8</v>
      </c>
      <c r="L52" s="5">
        <v>17901.599999999999</v>
      </c>
      <c r="M52" s="5">
        <v>17990.5</v>
      </c>
      <c r="N52" s="5"/>
      <c r="O52" s="5"/>
      <c r="P52" s="5"/>
      <c r="Q52" s="5"/>
      <c r="R52" s="5"/>
      <c r="S52" s="5"/>
      <c r="T52" s="5"/>
      <c r="U52" s="5"/>
      <c r="V52" s="5"/>
    </row>
    <row r="53" spans="2:22" s="9" customFormat="1" x14ac:dyDescent="0.2">
      <c r="B53" s="9" t="s">
        <v>19</v>
      </c>
      <c r="C53" s="5"/>
      <c r="D53" s="5"/>
      <c r="E53" s="5"/>
      <c r="F53" s="5"/>
      <c r="G53" s="5">
        <v>1706.6</v>
      </c>
      <c r="H53" s="5">
        <v>1768.3</v>
      </c>
      <c r="I53" s="5">
        <v>2175.1999999999998</v>
      </c>
      <c r="J53" s="5">
        <v>2065.9</v>
      </c>
      <c r="K53" s="5">
        <v>1997.6</v>
      </c>
      <c r="L53" s="5">
        <v>2112.4</v>
      </c>
      <c r="M53" s="5">
        <v>2071.1</v>
      </c>
      <c r="N53" s="5"/>
      <c r="O53" s="5"/>
      <c r="P53" s="5"/>
      <c r="Q53" s="5"/>
      <c r="R53" s="5"/>
      <c r="S53" s="5"/>
      <c r="T53" s="5"/>
      <c r="U53" s="5"/>
      <c r="V53" s="5"/>
    </row>
    <row r="54" spans="2:22" s="9" customFormat="1" x14ac:dyDescent="0.2">
      <c r="B54" s="9" t="s">
        <v>20</v>
      </c>
      <c r="C54" s="5"/>
      <c r="D54" s="5"/>
      <c r="E54" s="5"/>
      <c r="F54" s="5"/>
      <c r="G54" s="5">
        <v>1588.2</v>
      </c>
      <c r="H54" s="5">
        <v>1574.3</v>
      </c>
      <c r="I54" s="5">
        <v>1523.2</v>
      </c>
      <c r="J54" s="5">
        <v>1624.5</v>
      </c>
      <c r="K54" s="5">
        <v>1711</v>
      </c>
      <c r="L54" s="5">
        <v>1612.2</v>
      </c>
      <c r="M54" s="5">
        <v>1631</v>
      </c>
      <c r="N54" s="5"/>
      <c r="O54" s="5"/>
      <c r="P54" s="5"/>
      <c r="Q54" s="5"/>
      <c r="R54" s="5"/>
      <c r="S54" s="5"/>
      <c r="T54" s="5"/>
      <c r="U54" s="5"/>
      <c r="V54" s="5"/>
    </row>
    <row r="55" spans="2:22" s="9" customFormat="1" x14ac:dyDescent="0.2">
      <c r="B55" s="10" t="s">
        <v>21</v>
      </c>
      <c r="C55" s="5"/>
      <c r="D55" s="5"/>
      <c r="E55" s="5"/>
      <c r="F55" s="5"/>
      <c r="G55" s="6">
        <f t="shared" ref="G55:M55" si="89">SUM(G46:G54)</f>
        <v>20221.399999999998</v>
      </c>
      <c r="H55" s="6">
        <f t="shared" si="89"/>
        <v>21625.699999999997</v>
      </c>
      <c r="I55" s="6">
        <f t="shared" si="89"/>
        <v>22394.9</v>
      </c>
      <c r="J55" s="6">
        <f t="shared" si="89"/>
        <v>21428.000000000004</v>
      </c>
      <c r="K55" s="6">
        <f t="shared" si="89"/>
        <v>20752.3</v>
      </c>
      <c r="L55" s="6">
        <f t="shared" si="89"/>
        <v>24387</v>
      </c>
      <c r="M55" s="6">
        <f t="shared" si="89"/>
        <v>24649.1</v>
      </c>
      <c r="N55" s="5"/>
      <c r="O55" s="5"/>
      <c r="P55" s="5"/>
      <c r="Q55" s="5"/>
      <c r="R55" s="5"/>
      <c r="S55" s="5"/>
      <c r="T55" s="5"/>
      <c r="U55" s="5"/>
      <c r="V55" s="5"/>
    </row>
    <row r="56" spans="2:22" x14ac:dyDescent="0.2">
      <c r="L56" s="5"/>
    </row>
    <row r="57" spans="2:22" x14ac:dyDescent="0.2">
      <c r="B57" s="9" t="s">
        <v>22</v>
      </c>
      <c r="L57" s="5"/>
    </row>
    <row r="58" spans="2:22" x14ac:dyDescent="0.2">
      <c r="B58" s="9" t="s">
        <v>23</v>
      </c>
      <c r="G58" s="5">
        <v>16.600000000000001</v>
      </c>
      <c r="H58" s="5">
        <v>16.600000000000001</v>
      </c>
      <c r="I58" s="5">
        <v>16.600000000000001</v>
      </c>
      <c r="J58" s="5">
        <v>16.600000000000001</v>
      </c>
      <c r="K58" s="5">
        <v>16.600000000000001</v>
      </c>
      <c r="L58" s="5">
        <v>16.600000000000001</v>
      </c>
      <c r="M58" s="5">
        <v>16.600000000000001</v>
      </c>
    </row>
    <row r="59" spans="2:22" x14ac:dyDescent="0.2">
      <c r="B59" s="9" t="s">
        <v>24</v>
      </c>
      <c r="G59" s="5">
        <v>6062.9</v>
      </c>
      <c r="H59" s="5">
        <v>6137.4</v>
      </c>
      <c r="I59" s="5">
        <v>6187.7</v>
      </c>
      <c r="J59" s="5">
        <v>6239.1</v>
      </c>
      <c r="K59" s="5">
        <v>6312.3</v>
      </c>
      <c r="L59" s="5">
        <v>6363.2</v>
      </c>
      <c r="M59" s="5">
        <v>6418.1</v>
      </c>
    </row>
    <row r="60" spans="2:22" x14ac:dyDescent="0.2">
      <c r="B60" s="9" t="s">
        <v>25</v>
      </c>
      <c r="G60" s="5">
        <v>42154.7</v>
      </c>
      <c r="H60" s="5">
        <v>42741.5</v>
      </c>
      <c r="I60" s="5">
        <v>42201.8</v>
      </c>
      <c r="J60" s="5">
        <v>43294.5</v>
      </c>
      <c r="K60" s="5">
        <v>43290</v>
      </c>
      <c r="L60" s="5">
        <v>43681.599999999999</v>
      </c>
      <c r="M60" s="5">
        <v>44202</v>
      </c>
    </row>
    <row r="61" spans="2:22" x14ac:dyDescent="0.2">
      <c r="B61" s="9" t="s">
        <v>26</v>
      </c>
      <c r="G61" s="5">
        <v>444.3</v>
      </c>
      <c r="H61" s="5">
        <v>551.9</v>
      </c>
      <c r="I61" s="5">
        <v>-596.29999999999995</v>
      </c>
      <c r="J61" s="5">
        <v>-1519.7</v>
      </c>
      <c r="K61" s="5">
        <v>-2482</v>
      </c>
      <c r="L61" s="5">
        <v>-2110</v>
      </c>
      <c r="M61" s="5">
        <v>-2607.5</v>
      </c>
    </row>
    <row r="62" spans="2:22" x14ac:dyDescent="0.2">
      <c r="B62" s="9" t="s">
        <v>27</v>
      </c>
      <c r="G62" s="5">
        <v>-32530.799999999999</v>
      </c>
      <c r="H62" s="5">
        <v>-33292.5</v>
      </c>
      <c r="I62" s="5">
        <v>-34183.9</v>
      </c>
      <c r="J62" s="5">
        <v>-35177.1</v>
      </c>
      <c r="K62" s="5">
        <v>-35733.599999999999</v>
      </c>
      <c r="L62" s="5">
        <v>-37390.5</v>
      </c>
      <c r="M62" s="5">
        <v>-39719.4</v>
      </c>
    </row>
    <row r="63" spans="2:22" x14ac:dyDescent="0.2">
      <c r="B63" s="9" t="s">
        <v>28</v>
      </c>
      <c r="G63" s="5">
        <f t="shared" ref="G63:M63" si="90">SUM(G58:G62)</f>
        <v>16147.7</v>
      </c>
      <c r="H63" s="5">
        <f t="shared" si="90"/>
        <v>16154.900000000001</v>
      </c>
      <c r="I63" s="5">
        <f t="shared" si="90"/>
        <v>13625.900000000001</v>
      </c>
      <c r="J63" s="5">
        <f t="shared" si="90"/>
        <v>12853.400000000001</v>
      </c>
      <c r="K63" s="5">
        <f t="shared" si="90"/>
        <v>11403.300000000003</v>
      </c>
      <c r="L63" s="5">
        <f t="shared" si="90"/>
        <v>10560.900000000001</v>
      </c>
      <c r="M63" s="5">
        <f t="shared" si="90"/>
        <v>8309.7999999999956</v>
      </c>
    </row>
    <row r="64" spans="2:22" x14ac:dyDescent="0.2">
      <c r="B64" s="9" t="s">
        <v>29</v>
      </c>
      <c r="G64" s="6">
        <f t="shared" ref="G64:M64" si="91">G63+G55</f>
        <v>36369.1</v>
      </c>
      <c r="H64" s="6">
        <f t="shared" si="91"/>
        <v>37780.6</v>
      </c>
      <c r="I64" s="6">
        <f t="shared" si="91"/>
        <v>36020.800000000003</v>
      </c>
      <c r="J64" s="6">
        <f t="shared" si="91"/>
        <v>34281.400000000009</v>
      </c>
      <c r="K64" s="6">
        <f t="shared" si="91"/>
        <v>32155.600000000002</v>
      </c>
      <c r="L64" s="6">
        <f t="shared" si="91"/>
        <v>34947.9</v>
      </c>
      <c r="M64" s="6">
        <f t="shared" si="91"/>
        <v>32958.899999999994</v>
      </c>
    </row>
    <row r="65" spans="2:32" x14ac:dyDescent="0.2">
      <c r="L65" s="5"/>
    </row>
    <row r="66" spans="2:32" x14ac:dyDescent="0.2">
      <c r="B66" s="9" t="s">
        <v>35</v>
      </c>
      <c r="G66" s="6">
        <f t="shared" ref="G66:M66" si="92">G44-G55</f>
        <v>16147.7</v>
      </c>
      <c r="H66" s="6">
        <f t="shared" si="92"/>
        <v>16154.900000000001</v>
      </c>
      <c r="I66" s="6">
        <f t="shared" si="92"/>
        <v>13625.900000000001</v>
      </c>
      <c r="J66" s="6">
        <f t="shared" si="92"/>
        <v>12853.399999999998</v>
      </c>
      <c r="K66" s="6">
        <f t="shared" si="92"/>
        <v>11403.3</v>
      </c>
      <c r="L66" s="6">
        <f t="shared" si="92"/>
        <v>10560.900000000001</v>
      </c>
      <c r="M66" s="6">
        <f t="shared" si="92"/>
        <v>8310.4000000000015</v>
      </c>
    </row>
    <row r="67" spans="2:32" x14ac:dyDescent="0.2">
      <c r="B67" s="9" t="s">
        <v>36</v>
      </c>
      <c r="G67" s="6">
        <f t="shared" ref="G67:M67" si="93">G66-G41</f>
        <v>13256.2</v>
      </c>
      <c r="H67" s="6">
        <f t="shared" si="93"/>
        <v>13252.600000000002</v>
      </c>
      <c r="I67" s="6">
        <f t="shared" si="93"/>
        <v>10814.7</v>
      </c>
      <c r="J67" s="6">
        <f t="shared" si="93"/>
        <v>10118.099999999999</v>
      </c>
      <c r="K67" s="6">
        <f t="shared" si="93"/>
        <v>8809.7999999999993</v>
      </c>
      <c r="L67" s="6">
        <f t="shared" si="93"/>
        <v>7933.4000000000015</v>
      </c>
      <c r="M67" s="6">
        <f t="shared" si="93"/>
        <v>5728.8000000000011</v>
      </c>
    </row>
    <row r="69" spans="2:32" x14ac:dyDescent="0.2">
      <c r="B69" t="s">
        <v>82</v>
      </c>
      <c r="M69" s="13">
        <v>0.19</v>
      </c>
    </row>
    <row r="70" spans="2:32" x14ac:dyDescent="0.2">
      <c r="B70" t="s">
        <v>83</v>
      </c>
      <c r="M70" s="13">
        <v>0.81</v>
      </c>
    </row>
    <row r="71" spans="2:32" x14ac:dyDescent="0.2">
      <c r="B71" t="s">
        <v>111</v>
      </c>
      <c r="M71" s="5">
        <v>35000</v>
      </c>
    </row>
    <row r="72" spans="2:32" x14ac:dyDescent="0.2">
      <c r="B72" t="s">
        <v>112</v>
      </c>
      <c r="M72" s="5">
        <f>M5*1000000/M71</f>
        <v>189002.8571428571</v>
      </c>
    </row>
    <row r="74" spans="2:32" x14ac:dyDescent="0.2">
      <c r="B74" s="4" t="s">
        <v>91</v>
      </c>
    </row>
    <row r="75" spans="2:32" x14ac:dyDescent="0.2">
      <c r="B75" t="s">
        <v>88</v>
      </c>
      <c r="L75" s="22">
        <v>-0.02</v>
      </c>
      <c r="M75" s="22">
        <v>8.9999999999999993E-3</v>
      </c>
    </row>
    <row r="76" spans="2:32" x14ac:dyDescent="0.2">
      <c r="B76" t="s">
        <v>89</v>
      </c>
      <c r="M76" s="22">
        <v>4.5999999999999999E-2</v>
      </c>
    </row>
    <row r="77" spans="2:32" x14ac:dyDescent="0.2">
      <c r="B77" t="s">
        <v>90</v>
      </c>
      <c r="M77" s="22">
        <v>8.8999999999999996E-2</v>
      </c>
    </row>
    <row r="80" spans="2:32" x14ac:dyDescent="0.2">
      <c r="B80" t="s">
        <v>92</v>
      </c>
      <c r="G80" s="5">
        <f t="shared" ref="G80:M80" si="94">+G20</f>
        <v>1204.8000000000002</v>
      </c>
      <c r="H80" s="5">
        <f t="shared" si="94"/>
        <v>1387.0999999999995</v>
      </c>
      <c r="I80" s="5">
        <f t="shared" si="94"/>
        <v>1068.3999999999994</v>
      </c>
      <c r="J80" s="5">
        <f t="shared" si="94"/>
        <v>1097.5</v>
      </c>
      <c r="K80" s="5">
        <f t="shared" si="94"/>
        <v>811.49999999999943</v>
      </c>
      <c r="L80" s="5">
        <f t="shared" si="94"/>
        <v>1202.4000000000001</v>
      </c>
      <c r="M80" s="5">
        <f t="shared" si="94"/>
        <v>1309.1999999999996</v>
      </c>
      <c r="AB80" s="9">
        <f>+AB20</f>
        <v>4757.8000000000011</v>
      </c>
    </row>
    <row r="81" spans="2:30" x14ac:dyDescent="0.2">
      <c r="B81" t="s">
        <v>93</v>
      </c>
      <c r="G81" s="5">
        <v>1204.8</v>
      </c>
      <c r="H81" s="5">
        <v>1387.1</v>
      </c>
      <c r="I81" s="5">
        <v>1068.4000000000001</v>
      </c>
      <c r="J81" s="5">
        <f>4757.8-I81-H81-G81</f>
        <v>1097.5000000000002</v>
      </c>
      <c r="K81" s="5">
        <v>811.5</v>
      </c>
      <c r="L81" s="5">
        <v>1202.4000000000001</v>
      </c>
      <c r="M81" s="5">
        <v>1309.2</v>
      </c>
      <c r="AB81" s="9">
        <v>4757.8</v>
      </c>
    </row>
    <row r="82" spans="2:30" s="3" customFormat="1" x14ac:dyDescent="0.2">
      <c r="B82" s="3" t="s">
        <v>94</v>
      </c>
      <c r="C82" s="8"/>
      <c r="D82" s="8"/>
      <c r="E82" s="8"/>
      <c r="F82" s="8"/>
      <c r="G82" s="6">
        <v>410.4</v>
      </c>
      <c r="H82" s="6">
        <v>413.2</v>
      </c>
      <c r="I82" s="6">
        <v>413.4</v>
      </c>
      <c r="J82" s="6">
        <f>1644.5-I82-H82-G82</f>
        <v>407.49999999999989</v>
      </c>
      <c r="K82" s="6">
        <v>386.1</v>
      </c>
      <c r="L82" s="6">
        <v>392.2</v>
      </c>
      <c r="M82" s="6">
        <v>387.7</v>
      </c>
      <c r="N82" s="8"/>
      <c r="O82" s="8"/>
      <c r="P82" s="8"/>
      <c r="Q82" s="8"/>
      <c r="R82" s="8"/>
      <c r="S82" s="8"/>
      <c r="T82" s="8"/>
      <c r="U82" s="8"/>
      <c r="V82" s="8"/>
      <c r="AB82" s="10">
        <v>1644.5</v>
      </c>
    </row>
    <row r="83" spans="2:30" x14ac:dyDescent="0.2">
      <c r="B83" t="s">
        <v>20</v>
      </c>
      <c r="G83" s="5">
        <v>-24</v>
      </c>
      <c r="H83" s="5">
        <v>-14.8</v>
      </c>
      <c r="I83" s="5">
        <v>-104</v>
      </c>
      <c r="J83" s="5">
        <f>-90.7-I83-H83-G83</f>
        <v>52.099999999999994</v>
      </c>
      <c r="K83" s="5">
        <v>12.5</v>
      </c>
      <c r="L83" s="5">
        <v>2.8</v>
      </c>
      <c r="M83" s="5">
        <v>-0.1</v>
      </c>
      <c r="AB83" s="9">
        <v>-90.7</v>
      </c>
    </row>
    <row r="84" spans="2:30" x14ac:dyDescent="0.2">
      <c r="B84" t="s">
        <v>97</v>
      </c>
      <c r="G84" s="5">
        <v>25.3</v>
      </c>
      <c r="H84" s="5">
        <v>26.5</v>
      </c>
      <c r="I84" s="5">
        <v>23.3</v>
      </c>
      <c r="J84" s="5">
        <f>112.8-I84-H84-G84</f>
        <v>37.700000000000003</v>
      </c>
      <c r="K84" s="5">
        <v>20</v>
      </c>
      <c r="L84" s="5">
        <v>27.7</v>
      </c>
      <c r="M84" s="5">
        <v>29</v>
      </c>
      <c r="AB84" s="9">
        <v>112.8</v>
      </c>
    </row>
    <row r="85" spans="2:30" x14ac:dyDescent="0.2">
      <c r="B85" t="s">
        <v>96</v>
      </c>
      <c r="G85" s="5">
        <v>54.7</v>
      </c>
      <c r="H85" s="5">
        <v>9</v>
      </c>
      <c r="I85" s="5">
        <v>290</v>
      </c>
      <c r="J85" s="5">
        <f>369.5-I85-H85-G85</f>
        <v>15.799999999999997</v>
      </c>
      <c r="K85" s="5">
        <v>242.9</v>
      </c>
      <c r="L85" s="5">
        <v>19.2</v>
      </c>
      <c r="M85" s="5">
        <v>27.2</v>
      </c>
      <c r="AB85" s="9">
        <v>369.5</v>
      </c>
    </row>
    <row r="86" spans="2:30" x14ac:dyDescent="0.2">
      <c r="B86" t="s">
        <v>98</v>
      </c>
      <c r="G86" s="5">
        <v>236.1</v>
      </c>
      <c r="H86" s="5">
        <v>-334</v>
      </c>
      <c r="I86" s="5">
        <v>141.80000000000001</v>
      </c>
      <c r="J86" s="5">
        <f>27-4.9-74.7+3.3-14.3-I86-H86-G86</f>
        <v>-107.50000000000003</v>
      </c>
      <c r="K86" s="5">
        <v>226.5</v>
      </c>
      <c r="L86" s="5">
        <v>-130.80000000000001</v>
      </c>
      <c r="M86" s="5">
        <v>194.4</v>
      </c>
      <c r="AB86" s="9">
        <f>27-4.9-74.7+3.3-14.3</f>
        <v>-63.600000000000009</v>
      </c>
    </row>
    <row r="87" spans="2:30" x14ac:dyDescent="0.2">
      <c r="B87" t="s">
        <v>95</v>
      </c>
      <c r="G87" s="5">
        <f t="shared" ref="G87:M87" si="95">SUM(G81:G86)</f>
        <v>1907.2999999999997</v>
      </c>
      <c r="H87" s="5">
        <f t="shared" si="95"/>
        <v>1487</v>
      </c>
      <c r="I87" s="5">
        <f t="shared" si="95"/>
        <v>1832.9</v>
      </c>
      <c r="J87" s="5">
        <f t="shared" si="95"/>
        <v>1503.1</v>
      </c>
      <c r="K87" s="5">
        <f t="shared" si="95"/>
        <v>1699.5</v>
      </c>
      <c r="L87" s="7">
        <f t="shared" si="95"/>
        <v>1513.5000000000002</v>
      </c>
      <c r="M87" s="7">
        <f t="shared" si="95"/>
        <v>1947.4000000000003</v>
      </c>
      <c r="AB87" s="9">
        <f>SUM(AB81:AB86)</f>
        <v>6730.3</v>
      </c>
    </row>
    <row r="88" spans="2:30" x14ac:dyDescent="0.2">
      <c r="L88" s="5"/>
      <c r="M88" s="5"/>
    </row>
    <row r="89" spans="2:30" s="3" customFormat="1" x14ac:dyDescent="0.2">
      <c r="B89" s="3" t="s">
        <v>99</v>
      </c>
      <c r="C89" s="8"/>
      <c r="D89" s="8"/>
      <c r="E89" s="8"/>
      <c r="F89" s="8"/>
      <c r="G89" s="6">
        <v>568.79999999999995</v>
      </c>
      <c r="H89" s="6">
        <v>589.6</v>
      </c>
      <c r="I89" s="6">
        <v>658.9</v>
      </c>
      <c r="J89" s="6">
        <f>2583.4-I89-H89-G89</f>
        <v>766.10000000000014</v>
      </c>
      <c r="K89" s="6">
        <v>392.6</v>
      </c>
      <c r="L89" s="6">
        <v>415.9</v>
      </c>
      <c r="M89" s="6">
        <v>412.7</v>
      </c>
      <c r="N89" s="8"/>
      <c r="O89" s="8"/>
      <c r="P89" s="8"/>
      <c r="Q89" s="8"/>
      <c r="R89" s="8"/>
      <c r="S89" s="8"/>
      <c r="T89" s="8"/>
      <c r="U89" s="8"/>
      <c r="V89" s="8"/>
      <c r="AB89" s="10">
        <v>2583.4</v>
      </c>
    </row>
    <row r="90" spans="2:30" x14ac:dyDescent="0.2">
      <c r="B90" t="s">
        <v>100</v>
      </c>
      <c r="G90" s="7">
        <f t="shared" ref="G90:M90" si="96">+G87-G89</f>
        <v>1338.4999999999998</v>
      </c>
      <c r="H90" s="7">
        <f t="shared" si="96"/>
        <v>897.4</v>
      </c>
      <c r="I90" s="7">
        <f t="shared" si="96"/>
        <v>1174</v>
      </c>
      <c r="J90" s="7">
        <f t="shared" si="96"/>
        <v>736.99999999999977</v>
      </c>
      <c r="K90" s="7">
        <f t="shared" si="96"/>
        <v>1306.9000000000001</v>
      </c>
      <c r="L90" s="7">
        <f t="shared" si="96"/>
        <v>1097.6000000000004</v>
      </c>
      <c r="M90" s="7">
        <f t="shared" si="96"/>
        <v>1534.7000000000003</v>
      </c>
      <c r="AB90" s="9">
        <f>+AB87-AB89</f>
        <v>4146.8999999999996</v>
      </c>
    </row>
    <row r="91" spans="2:30" x14ac:dyDescent="0.2">
      <c r="K91" s="7"/>
      <c r="L91" s="7"/>
      <c r="M91" s="5"/>
    </row>
    <row r="92" spans="2:30" x14ac:dyDescent="0.2">
      <c r="B92" t="s">
        <v>101</v>
      </c>
      <c r="G92" s="5"/>
      <c r="H92" s="5">
        <f t="shared" ref="H92:K92" si="97">+H90+G90</f>
        <v>2235.8999999999996</v>
      </c>
      <c r="I92" s="5">
        <f t="shared" si="97"/>
        <v>2071.4</v>
      </c>
      <c r="J92" s="5">
        <f t="shared" si="97"/>
        <v>1910.9999999999998</v>
      </c>
      <c r="K92" s="5">
        <f t="shared" si="97"/>
        <v>2043.8999999999999</v>
      </c>
      <c r="L92" s="5">
        <f>+L90+K90</f>
        <v>2404.5000000000005</v>
      </c>
      <c r="M92" s="5">
        <f>+M90+L90</f>
        <v>2632.3000000000006</v>
      </c>
    </row>
    <row r="93" spans="2:30" x14ac:dyDescent="0.2">
      <c r="B93" t="s">
        <v>102</v>
      </c>
      <c r="G93" s="5"/>
      <c r="H93" s="5">
        <f t="shared" ref="H93:K93" si="98">+H81+G81</f>
        <v>2591.8999999999996</v>
      </c>
      <c r="I93" s="5">
        <f t="shared" si="98"/>
        <v>2455.5</v>
      </c>
      <c r="J93" s="5">
        <f t="shared" si="98"/>
        <v>2165.9000000000005</v>
      </c>
      <c r="K93" s="5">
        <f t="shared" si="98"/>
        <v>1909.0000000000002</v>
      </c>
      <c r="L93" s="5">
        <f>+L81+K81</f>
        <v>2013.9</v>
      </c>
      <c r="M93" s="5">
        <f>+M81+L81</f>
        <v>2511.6000000000004</v>
      </c>
    </row>
    <row r="94" spans="2:30" s="3" customFormat="1" x14ac:dyDescent="0.2">
      <c r="B94" s="3" t="s">
        <v>121</v>
      </c>
      <c r="C94" s="8"/>
      <c r="D94" s="8"/>
      <c r="E94" s="8"/>
      <c r="F94" s="8"/>
      <c r="G94" s="8"/>
      <c r="H94" s="6">
        <f>+H93-H92</f>
        <v>356</v>
      </c>
      <c r="I94" s="6">
        <f t="shared" ref="I94:M94" si="99">+I93-I92</f>
        <v>384.09999999999991</v>
      </c>
      <c r="J94" s="6">
        <f t="shared" si="99"/>
        <v>254.90000000000077</v>
      </c>
      <c r="K94" s="6">
        <f t="shared" si="99"/>
        <v>-134.89999999999964</v>
      </c>
      <c r="L94" s="6">
        <f t="shared" si="99"/>
        <v>-390.60000000000036</v>
      </c>
      <c r="M94" s="6">
        <f t="shared" si="99"/>
        <v>-120.70000000000027</v>
      </c>
      <c r="N94" s="8"/>
      <c r="O94" s="8"/>
      <c r="P94" s="8"/>
      <c r="Q94" s="8"/>
      <c r="R94" s="8"/>
      <c r="S94" s="8"/>
      <c r="T94" s="8"/>
      <c r="U94" s="8"/>
      <c r="V94" s="8"/>
    </row>
    <row r="95" spans="2:30" x14ac:dyDescent="0.2">
      <c r="B95" t="s">
        <v>103</v>
      </c>
      <c r="I95" s="5">
        <f t="shared" ref="I95:L95" si="100">SUM(G90:I90)</f>
        <v>3409.8999999999996</v>
      </c>
      <c r="J95" s="5">
        <f t="shared" si="100"/>
        <v>2808.3999999999996</v>
      </c>
      <c r="K95" s="5">
        <f t="shared" si="100"/>
        <v>3217.8999999999996</v>
      </c>
      <c r="L95" s="5">
        <f t="shared" si="100"/>
        <v>3141.5</v>
      </c>
      <c r="M95" s="5">
        <f>SUM(K90:M90)</f>
        <v>3939.2000000000007</v>
      </c>
    </row>
    <row r="96" spans="2:30" x14ac:dyDescent="0.2">
      <c r="B96" t="s">
        <v>104</v>
      </c>
      <c r="I96" s="5">
        <f t="shared" ref="I96:L96" si="101">SUM(G80:I80)</f>
        <v>3660.2999999999993</v>
      </c>
      <c r="J96" s="5">
        <f t="shared" si="101"/>
        <v>3552.9999999999991</v>
      </c>
      <c r="K96" s="5">
        <f t="shared" si="101"/>
        <v>2977.3999999999992</v>
      </c>
      <c r="L96" s="5">
        <f t="shared" si="101"/>
        <v>3111.3999999999996</v>
      </c>
      <c r="M96" s="5">
        <f>SUM(K80:M80)</f>
        <v>3323.0999999999995</v>
      </c>
    </row>
    <row r="97" spans="2:56" x14ac:dyDescent="0.2">
      <c r="B97" t="s">
        <v>122</v>
      </c>
      <c r="I97" s="5">
        <f t="shared" ref="I97" si="102">+I96-I95</f>
        <v>250.39999999999964</v>
      </c>
      <c r="J97" s="5">
        <f>+J96-J95</f>
        <v>744.59999999999945</v>
      </c>
      <c r="K97" s="5">
        <f t="shared" ref="K97:M97" si="103">+K96-K95</f>
        <v>-240.50000000000045</v>
      </c>
      <c r="L97" s="5">
        <f t="shared" si="103"/>
        <v>-30.100000000000364</v>
      </c>
      <c r="M97" s="5">
        <f t="shared" si="103"/>
        <v>-616.10000000000127</v>
      </c>
    </row>
    <row r="98" spans="2:56" x14ac:dyDescent="0.2">
      <c r="B98" t="s">
        <v>123</v>
      </c>
      <c r="J98" s="5">
        <f t="shared" ref="J98:L98" si="104">SUM(G90:J90)</f>
        <v>4146.8999999999996</v>
      </c>
      <c r="K98" s="5">
        <f t="shared" si="104"/>
        <v>4115.2999999999993</v>
      </c>
      <c r="L98" s="5">
        <f t="shared" si="104"/>
        <v>4315.5</v>
      </c>
      <c r="M98" s="5">
        <f>SUM(J90:M90)</f>
        <v>4676.2000000000007</v>
      </c>
    </row>
    <row r="99" spans="2:56" x14ac:dyDescent="0.2">
      <c r="B99" t="s">
        <v>124</v>
      </c>
      <c r="J99" s="5">
        <f t="shared" ref="J99:L99" si="105">SUM(G81:J81)</f>
        <v>4757.8</v>
      </c>
      <c r="K99" s="5">
        <f t="shared" si="105"/>
        <v>4364.5</v>
      </c>
      <c r="L99" s="5">
        <f t="shared" si="105"/>
        <v>4179.8000000000011</v>
      </c>
      <c r="M99" s="5">
        <f>SUM(J81:M81)</f>
        <v>4420.6000000000004</v>
      </c>
    </row>
    <row r="100" spans="2:56" x14ac:dyDescent="0.2">
      <c r="B100" t="s">
        <v>125</v>
      </c>
      <c r="J100" s="5">
        <f t="shared" ref="J100:L100" si="106">+J99-J98</f>
        <v>610.90000000000055</v>
      </c>
      <c r="K100" s="5">
        <f t="shared" si="106"/>
        <v>249.20000000000073</v>
      </c>
      <c r="L100" s="5">
        <f t="shared" si="106"/>
        <v>-135.69999999999891</v>
      </c>
      <c r="M100" s="5">
        <f>+M99-M98</f>
        <v>-255.60000000000036</v>
      </c>
    </row>
    <row r="103" spans="2:56" x14ac:dyDescent="0.2">
      <c r="B103" t="s">
        <v>110</v>
      </c>
      <c r="C103" s="2">
        <v>1.32</v>
      </c>
      <c r="D103" s="2">
        <v>1.3062</v>
      </c>
      <c r="E103" s="2">
        <v>1.3353999999999999</v>
      </c>
      <c r="F103" s="2">
        <v>1.3614999999999999</v>
      </c>
      <c r="G103" s="2">
        <v>1.3704000000000001</v>
      </c>
      <c r="H103" s="2">
        <v>1.3715999999999999</v>
      </c>
      <c r="I103" s="2">
        <v>1.3251999999999999</v>
      </c>
      <c r="J103" s="2">
        <v>1.2487999999999999</v>
      </c>
      <c r="K103" s="2">
        <v>1.1268</v>
      </c>
      <c r="L103" s="2">
        <v>1.1069</v>
      </c>
      <c r="M103" s="2">
        <v>1.1125</v>
      </c>
      <c r="N103" s="23">
        <v>1.1060000000000001</v>
      </c>
    </row>
    <row r="104" spans="2:56" x14ac:dyDescent="0.2">
      <c r="G104" s="13">
        <f t="shared" ref="G104:L104" si="107">+G103/C103-1</f>
        <v>3.8181818181818095E-2</v>
      </c>
      <c r="H104" s="13">
        <f t="shared" si="107"/>
        <v>5.0068902158934225E-2</v>
      </c>
      <c r="I104" s="13">
        <f t="shared" si="107"/>
        <v>-7.6381608506814747E-3</v>
      </c>
      <c r="J104" s="13">
        <f t="shared" si="107"/>
        <v>-8.277634961439595E-2</v>
      </c>
      <c r="K104" s="13">
        <f t="shared" si="107"/>
        <v>-0.17775831873905434</v>
      </c>
      <c r="L104" s="13">
        <f t="shared" si="107"/>
        <v>-0.19298629337999418</v>
      </c>
      <c r="M104" s="13">
        <f>+M103/I103-1</f>
        <v>-0.16050407485662532</v>
      </c>
      <c r="N104" s="13">
        <f>+N103/J103-1</f>
        <v>-0.11434977578475325</v>
      </c>
    </row>
    <row r="105" spans="2:56" x14ac:dyDescent="0.2">
      <c r="B105" t="s">
        <v>114</v>
      </c>
    </row>
    <row r="107" spans="2:56" x14ac:dyDescent="0.2">
      <c r="U107" s="17"/>
      <c r="V107" s="17">
        <f t="shared" ref="V107" si="108">V108/U108-1</f>
        <v>2.1858199987350613E-2</v>
      </c>
      <c r="W107" s="17">
        <f>W108/V108-1</f>
        <v>-1.6649542601785083E-2</v>
      </c>
      <c r="X107" s="17">
        <f t="shared" ref="X107:AB107" si="109">X108/W108-1</f>
        <v>2.1123391827588822E-2</v>
      </c>
      <c r="Y107" s="17">
        <f t="shared" si="109"/>
        <v>5.1358548251886127E-2</v>
      </c>
      <c r="Z107" s="17">
        <f t="shared" si="109"/>
        <v>3.3477169859993827E-2</v>
      </c>
      <c r="AA107" s="17">
        <f t="shared" si="109"/>
        <v>4.2660857528618035E-3</v>
      </c>
      <c r="AB107" s="17">
        <f t="shared" si="109"/>
        <v>-2.2629444262424636E-2</v>
      </c>
    </row>
    <row r="108" spans="2:56" x14ac:dyDescent="0.2">
      <c r="B108" t="s">
        <v>88</v>
      </c>
      <c r="M108" s="13"/>
      <c r="T108" s="5">
        <v>7464.1</v>
      </c>
      <c r="U108" s="5">
        <v>7905.5</v>
      </c>
      <c r="V108" s="9">
        <v>8078.3</v>
      </c>
      <c r="W108" s="9">
        <v>7943.8</v>
      </c>
      <c r="X108" s="9">
        <v>8111.6</v>
      </c>
      <c r="Y108" s="9">
        <v>8528.2000000000007</v>
      </c>
      <c r="Z108" s="9">
        <v>8813.7000000000007</v>
      </c>
      <c r="AA108" s="9">
        <v>8851.2999999999993</v>
      </c>
      <c r="AB108" s="9">
        <v>8651</v>
      </c>
      <c r="AC108" s="9">
        <f>+AB108</f>
        <v>8651</v>
      </c>
      <c r="AD108" s="9">
        <f t="shared" ref="AD108:BD108" si="110">+AC108</f>
        <v>8651</v>
      </c>
      <c r="AE108" s="9">
        <f t="shared" si="110"/>
        <v>8651</v>
      </c>
      <c r="AF108" s="9">
        <f t="shared" si="110"/>
        <v>8651</v>
      </c>
      <c r="AG108" s="9">
        <f t="shared" si="110"/>
        <v>8651</v>
      </c>
      <c r="AH108" s="9">
        <f t="shared" si="110"/>
        <v>8651</v>
      </c>
      <c r="AI108" s="9">
        <f t="shared" si="110"/>
        <v>8651</v>
      </c>
      <c r="AJ108" s="9">
        <f t="shared" si="110"/>
        <v>8651</v>
      </c>
      <c r="AK108" s="9">
        <f t="shared" si="110"/>
        <v>8651</v>
      </c>
      <c r="AL108" s="9">
        <f t="shared" si="110"/>
        <v>8651</v>
      </c>
      <c r="AM108" s="9">
        <f t="shared" si="110"/>
        <v>8651</v>
      </c>
      <c r="AN108" s="9">
        <f t="shared" si="110"/>
        <v>8651</v>
      </c>
      <c r="AO108" s="9">
        <f t="shared" si="110"/>
        <v>8651</v>
      </c>
      <c r="AP108" s="9">
        <f t="shared" si="110"/>
        <v>8651</v>
      </c>
      <c r="AQ108" s="9">
        <f t="shared" si="110"/>
        <v>8651</v>
      </c>
      <c r="AR108" s="9">
        <f t="shared" si="110"/>
        <v>8651</v>
      </c>
      <c r="AS108" s="9">
        <f t="shared" si="110"/>
        <v>8651</v>
      </c>
      <c r="AT108" s="9">
        <f t="shared" si="110"/>
        <v>8651</v>
      </c>
      <c r="AU108" s="9">
        <f t="shared" si="110"/>
        <v>8651</v>
      </c>
      <c r="AV108" s="9">
        <f t="shared" si="110"/>
        <v>8651</v>
      </c>
      <c r="AW108" s="9">
        <f t="shared" si="110"/>
        <v>8651</v>
      </c>
      <c r="AX108" s="9">
        <f t="shared" si="110"/>
        <v>8651</v>
      </c>
      <c r="AY108" s="9">
        <f t="shared" si="110"/>
        <v>8651</v>
      </c>
      <c r="AZ108" s="9">
        <f t="shared" si="110"/>
        <v>8651</v>
      </c>
      <c r="BA108" s="9">
        <f t="shared" si="110"/>
        <v>8651</v>
      </c>
      <c r="BB108" s="9">
        <f t="shared" si="110"/>
        <v>8651</v>
      </c>
      <c r="BC108" s="9">
        <f t="shared" si="110"/>
        <v>8651</v>
      </c>
      <c r="BD108" s="9">
        <f t="shared" si="110"/>
        <v>8651</v>
      </c>
    </row>
    <row r="109" spans="2:56" x14ac:dyDescent="0.2">
      <c r="B109" t="s">
        <v>118</v>
      </c>
      <c r="T109" s="5">
        <v>7637.7</v>
      </c>
      <c r="U109" s="5">
        <v>8926.2000000000007</v>
      </c>
      <c r="V109" s="9">
        <v>9922.9</v>
      </c>
      <c r="W109" s="9">
        <v>9273.7999999999993</v>
      </c>
      <c r="X109" s="9">
        <v>9569.2000000000007</v>
      </c>
      <c r="Y109" s="9">
        <v>10886.4</v>
      </c>
      <c r="Z109" s="9">
        <v>10827.4</v>
      </c>
      <c r="AA109" s="9">
        <v>11299.8</v>
      </c>
      <c r="AB109" s="9">
        <v>11077.4</v>
      </c>
      <c r="AC109" s="9">
        <f>+AB109*1.005</f>
        <v>11132.786999999998</v>
      </c>
      <c r="AD109" s="9">
        <f t="shared" ref="AD109:BD109" si="111">+AC109*1.005</f>
        <v>11188.450934999997</v>
      </c>
      <c r="AE109" s="9">
        <f t="shared" si="111"/>
        <v>11244.393189674996</v>
      </c>
      <c r="AF109" s="9">
        <f t="shared" si="111"/>
        <v>11300.615155623371</v>
      </c>
      <c r="AG109" s="9">
        <f t="shared" si="111"/>
        <v>11357.118231401486</v>
      </c>
      <c r="AH109" s="9">
        <f t="shared" si="111"/>
        <v>11413.903822558492</v>
      </c>
      <c r="AI109" s="9">
        <f t="shared" si="111"/>
        <v>11470.973341671282</v>
      </c>
      <c r="AJ109" s="9">
        <f t="shared" si="111"/>
        <v>11528.328208379638</v>
      </c>
      <c r="AK109" s="9">
        <f t="shared" si="111"/>
        <v>11585.969849421535</v>
      </c>
      <c r="AL109" s="9">
        <f t="shared" si="111"/>
        <v>11643.899698668642</v>
      </c>
      <c r="AM109" s="9">
        <f t="shared" si="111"/>
        <v>11702.119197161983</v>
      </c>
      <c r="AN109" s="9">
        <f t="shared" si="111"/>
        <v>11760.629793147791</v>
      </c>
      <c r="AO109" s="9">
        <f t="shared" si="111"/>
        <v>11819.432942113528</v>
      </c>
      <c r="AP109" s="9">
        <f t="shared" si="111"/>
        <v>11878.530106824095</v>
      </c>
      <c r="AQ109" s="9">
        <f t="shared" si="111"/>
        <v>11937.922757358214</v>
      </c>
      <c r="AR109" s="9">
        <f t="shared" si="111"/>
        <v>11997.612371145004</v>
      </c>
      <c r="AS109" s="9">
        <f t="shared" si="111"/>
        <v>12057.600433000727</v>
      </c>
      <c r="AT109" s="9">
        <f t="shared" si="111"/>
        <v>12117.888435165729</v>
      </c>
      <c r="AU109" s="9">
        <f t="shared" si="111"/>
        <v>12178.477877341556</v>
      </c>
      <c r="AV109" s="9">
        <f t="shared" si="111"/>
        <v>12239.370266728263</v>
      </c>
      <c r="AW109" s="9">
        <f t="shared" si="111"/>
        <v>12300.567118061903</v>
      </c>
      <c r="AX109" s="9">
        <f t="shared" si="111"/>
        <v>12362.069953652212</v>
      </c>
      <c r="AY109" s="9">
        <f t="shared" si="111"/>
        <v>12423.880303420472</v>
      </c>
      <c r="AZ109" s="9">
        <f t="shared" si="111"/>
        <v>12485.999704937572</v>
      </c>
      <c r="BA109" s="9">
        <f t="shared" si="111"/>
        <v>12548.42970346226</v>
      </c>
      <c r="BB109" s="9">
        <f t="shared" si="111"/>
        <v>12611.17185197957</v>
      </c>
      <c r="BC109" s="9">
        <f t="shared" si="111"/>
        <v>12674.227711239468</v>
      </c>
      <c r="BD109" s="9">
        <f t="shared" si="111"/>
        <v>12737.598849795664</v>
      </c>
    </row>
    <row r="110" spans="2:56" x14ac:dyDescent="0.2">
      <c r="B110" t="s">
        <v>119</v>
      </c>
      <c r="T110" s="5">
        <v>3053.5</v>
      </c>
      <c r="U110" s="5">
        <v>3598.9</v>
      </c>
      <c r="V110" s="9">
        <v>4230.8</v>
      </c>
      <c r="W110" s="9">
        <v>4337</v>
      </c>
      <c r="X110" s="9">
        <v>5065.5</v>
      </c>
      <c r="Y110" s="9">
        <v>6019.5</v>
      </c>
      <c r="Z110" s="9">
        <v>6391.1</v>
      </c>
      <c r="AA110" s="9">
        <v>6477.2</v>
      </c>
      <c r="AB110" s="9">
        <v>6324.4</v>
      </c>
      <c r="AC110" s="9">
        <f>+AB110*1.04</f>
        <v>6577.3760000000002</v>
      </c>
      <c r="AD110" s="9">
        <f t="shared" ref="AD110:BD110" si="112">+AC110*1.04</f>
        <v>6840.4710400000004</v>
      </c>
      <c r="AE110" s="9">
        <f t="shared" si="112"/>
        <v>7114.0898816000008</v>
      </c>
      <c r="AF110" s="9">
        <f t="shared" si="112"/>
        <v>7398.6534768640013</v>
      </c>
      <c r="AG110" s="9">
        <f t="shared" si="112"/>
        <v>7694.5996159385613</v>
      </c>
      <c r="AH110" s="9">
        <f t="shared" si="112"/>
        <v>8002.3836005761041</v>
      </c>
      <c r="AI110" s="9">
        <f t="shared" si="112"/>
        <v>8322.4789445991482</v>
      </c>
      <c r="AJ110" s="9">
        <f t="shared" si="112"/>
        <v>8655.3781023831143</v>
      </c>
      <c r="AK110" s="9">
        <f t="shared" si="112"/>
        <v>9001.5932264784387</v>
      </c>
      <c r="AL110" s="9">
        <f t="shared" si="112"/>
        <v>9361.6569555375772</v>
      </c>
      <c r="AM110" s="9">
        <f t="shared" si="112"/>
        <v>9736.1232337590809</v>
      </c>
      <c r="AN110" s="9">
        <f t="shared" si="112"/>
        <v>10125.568163109445</v>
      </c>
      <c r="AO110" s="9">
        <f t="shared" si="112"/>
        <v>10530.590889633822</v>
      </c>
      <c r="AP110" s="9">
        <f t="shared" si="112"/>
        <v>10951.814525219175</v>
      </c>
      <c r="AQ110" s="9">
        <f t="shared" si="112"/>
        <v>11389.887106227943</v>
      </c>
      <c r="AR110" s="9">
        <f t="shared" si="112"/>
        <v>11845.482590477061</v>
      </c>
      <c r="AS110" s="9">
        <f t="shared" si="112"/>
        <v>12319.301894096143</v>
      </c>
      <c r="AT110" s="9">
        <f t="shared" si="112"/>
        <v>12812.073969859988</v>
      </c>
      <c r="AU110" s="9">
        <f t="shared" si="112"/>
        <v>13324.556928654389</v>
      </c>
      <c r="AV110" s="9">
        <f t="shared" si="112"/>
        <v>13857.539205800565</v>
      </c>
      <c r="AW110" s="9">
        <f t="shared" si="112"/>
        <v>14411.840774032589</v>
      </c>
      <c r="AX110" s="9">
        <f t="shared" si="112"/>
        <v>14988.314404993893</v>
      </c>
      <c r="AY110" s="9">
        <f t="shared" si="112"/>
        <v>15587.846981193648</v>
      </c>
      <c r="AZ110" s="9">
        <f t="shared" si="112"/>
        <v>16211.360860441395</v>
      </c>
      <c r="BA110" s="9">
        <f t="shared" si="112"/>
        <v>16859.81529485905</v>
      </c>
      <c r="BB110" s="9">
        <f t="shared" si="112"/>
        <v>17534.207906653413</v>
      </c>
      <c r="BC110" s="9">
        <f t="shared" si="112"/>
        <v>18235.57622291955</v>
      </c>
      <c r="BD110" s="9">
        <f t="shared" si="112"/>
        <v>18964.999271836332</v>
      </c>
    </row>
    <row r="111" spans="2:56" x14ac:dyDescent="0.2">
      <c r="B111" t="s">
        <v>120</v>
      </c>
      <c r="T111" s="5">
        <v>2739.9</v>
      </c>
      <c r="U111" s="5">
        <v>2356</v>
      </c>
      <c r="V111" s="5">
        <v>1290.4000000000001</v>
      </c>
      <c r="W111" s="9">
        <v>1190.0999999999999</v>
      </c>
      <c r="X111" s="9">
        <v>1328.3</v>
      </c>
      <c r="Y111" s="9">
        <v>1571.9</v>
      </c>
      <c r="Z111" s="9">
        <v>1534.8</v>
      </c>
      <c r="AA111" s="9">
        <v>1477.4</v>
      </c>
      <c r="AB111" s="9">
        <v>1388.5</v>
      </c>
      <c r="AC111" s="9">
        <f>+AB111*1.05</f>
        <v>1457.925</v>
      </c>
      <c r="AD111" s="9">
        <f t="shared" ref="AD111:BD111" si="113">+AC111*1.05</f>
        <v>1530.82125</v>
      </c>
      <c r="AE111" s="9">
        <f t="shared" si="113"/>
        <v>1607.3623124999999</v>
      </c>
      <c r="AF111" s="9">
        <f t="shared" si="113"/>
        <v>1687.7304281249999</v>
      </c>
      <c r="AG111" s="9">
        <f t="shared" si="113"/>
        <v>1772.1169495312499</v>
      </c>
      <c r="AH111" s="9">
        <f t="shared" si="113"/>
        <v>1860.7227970078125</v>
      </c>
      <c r="AI111" s="9">
        <f t="shared" si="113"/>
        <v>1953.7589368582032</v>
      </c>
      <c r="AJ111" s="9">
        <f t="shared" si="113"/>
        <v>2051.4468837011136</v>
      </c>
      <c r="AK111" s="9">
        <f t="shared" si="113"/>
        <v>2154.0192278861696</v>
      </c>
      <c r="AL111" s="9">
        <f t="shared" si="113"/>
        <v>2261.7201892804783</v>
      </c>
      <c r="AM111" s="9">
        <f t="shared" si="113"/>
        <v>2374.8061987445021</v>
      </c>
      <c r="AN111" s="9">
        <f t="shared" si="113"/>
        <v>2493.5465086817271</v>
      </c>
      <c r="AO111" s="9">
        <f t="shared" si="113"/>
        <v>2618.2238341158136</v>
      </c>
      <c r="AP111" s="9">
        <f t="shared" si="113"/>
        <v>2749.1350258216044</v>
      </c>
      <c r="AQ111" s="9">
        <f t="shared" si="113"/>
        <v>2886.5917771126847</v>
      </c>
      <c r="AR111" s="9">
        <f t="shared" si="113"/>
        <v>3030.9213659683192</v>
      </c>
      <c r="AS111" s="9">
        <f t="shared" si="113"/>
        <v>3182.4674342667354</v>
      </c>
      <c r="AT111" s="9">
        <f t="shared" si="113"/>
        <v>3341.5908059800722</v>
      </c>
      <c r="AU111" s="9">
        <f t="shared" si="113"/>
        <v>3508.6703462790761</v>
      </c>
      <c r="AV111" s="9">
        <f t="shared" si="113"/>
        <v>3684.1038635930299</v>
      </c>
      <c r="AW111" s="9">
        <f t="shared" si="113"/>
        <v>3868.3090567726817</v>
      </c>
      <c r="AX111" s="9">
        <f t="shared" si="113"/>
        <v>4061.7245096113161</v>
      </c>
      <c r="AY111" s="9">
        <f t="shared" si="113"/>
        <v>4264.8107350918817</v>
      </c>
      <c r="AZ111" s="9">
        <f t="shared" si="113"/>
        <v>4478.0512718464761</v>
      </c>
      <c r="BA111" s="9">
        <f t="shared" si="113"/>
        <v>4701.9538354388005</v>
      </c>
      <c r="BB111" s="9">
        <f t="shared" si="113"/>
        <v>4937.0515272107405</v>
      </c>
      <c r="BC111" s="9">
        <f t="shared" si="113"/>
        <v>5183.904103571278</v>
      </c>
      <c r="BD111" s="9">
        <f t="shared" si="113"/>
        <v>5443.0993087498418</v>
      </c>
    </row>
    <row r="112" spans="2:56" s="3" customFormat="1" x14ac:dyDescent="0.2">
      <c r="B112" s="3" t="s">
        <v>63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0">
        <f t="shared" ref="T112:W112" si="114">SUM(T108:T111)</f>
        <v>20895.2</v>
      </c>
      <c r="U112" s="10">
        <f t="shared" si="114"/>
        <v>22786.600000000002</v>
      </c>
      <c r="V112" s="10">
        <f t="shared" si="114"/>
        <v>23522.400000000001</v>
      </c>
      <c r="W112" s="10">
        <f t="shared" si="114"/>
        <v>22744.699999999997</v>
      </c>
      <c r="X112" s="10">
        <f>SUM(X108:X111)</f>
        <v>24074.600000000002</v>
      </c>
      <c r="Y112" s="10">
        <f>SUM(Y108:Y111)</f>
        <v>27006</v>
      </c>
      <c r="Z112" s="10">
        <f>SUM(Z108:Z111)</f>
        <v>27566.999999999996</v>
      </c>
      <c r="AA112" s="10">
        <f>SUM(AA108:AA111)</f>
        <v>28105.7</v>
      </c>
      <c r="AB112" s="10">
        <f>SUM(AB108:AB111)</f>
        <v>27441.300000000003</v>
      </c>
      <c r="AC112" s="10">
        <f t="shared" ref="AC112" si="115">SUM(AC108:AC111)</f>
        <v>27819.087999999996</v>
      </c>
      <c r="AD112" s="10">
        <f t="shared" ref="AD112" si="116">SUM(AD108:AD111)</f>
        <v>28210.743224999998</v>
      </c>
      <c r="AE112" s="10">
        <f t="shared" ref="AE112" si="117">SUM(AE108:AE111)</f>
        <v>28616.845383774998</v>
      </c>
      <c r="AF112" s="10">
        <f t="shared" ref="AF112" si="118">SUM(AF108:AF111)</f>
        <v>29037.999060612372</v>
      </c>
      <c r="AG112" s="10">
        <f t="shared" ref="AG112" si="119">SUM(AG108:AG111)</f>
        <v>29474.834796871299</v>
      </c>
      <c r="AH112" s="10">
        <f t="shared" ref="AH112" si="120">SUM(AH108:AH111)</f>
        <v>29928.010220142409</v>
      </c>
      <c r="AI112" s="10">
        <f t="shared" ref="AI112" si="121">SUM(AI108:AI111)</f>
        <v>30398.211223128637</v>
      </c>
      <c r="AJ112" s="10">
        <f t="shared" ref="AJ112" si="122">SUM(AJ108:AJ111)</f>
        <v>30886.153194463863</v>
      </c>
      <c r="AK112" s="10">
        <f t="shared" ref="AK112" si="123">SUM(AK108:AK111)</f>
        <v>31392.582303786141</v>
      </c>
      <c r="AL112" s="10">
        <f t="shared" ref="AL112" si="124">SUM(AL108:AL111)</f>
        <v>31918.276843486692</v>
      </c>
      <c r="AM112" s="10">
        <f t="shared" ref="AM112" si="125">SUM(AM108:AM111)</f>
        <v>32464.048629665569</v>
      </c>
      <c r="AN112" s="10">
        <f t="shared" ref="AN112" si="126">SUM(AN108:AN111)</f>
        <v>33030.744464938958</v>
      </c>
      <c r="AO112" s="10">
        <f t="shared" ref="AO112" si="127">SUM(AO108:AO111)</f>
        <v>33619.247665863164</v>
      </c>
      <c r="AP112" s="10">
        <f t="shared" ref="AP112" si="128">SUM(AP108:AP111)</f>
        <v>34230.479657864875</v>
      </c>
      <c r="AQ112" s="10">
        <f t="shared" ref="AQ112" si="129">SUM(AQ108:AQ111)</f>
        <v>34865.401640698845</v>
      </c>
      <c r="AR112" s="10">
        <f t="shared" ref="AR112" si="130">SUM(AR108:AR111)</f>
        <v>35525.016327590391</v>
      </c>
      <c r="AS112" s="10">
        <f t="shared" ref="AS112" si="131">SUM(AS108:AS111)</f>
        <v>36210.369761363603</v>
      </c>
      <c r="AT112" s="10">
        <f t="shared" ref="AT112" si="132">SUM(AT108:AT111)</f>
        <v>36922.55321100579</v>
      </c>
      <c r="AU112" s="10">
        <f t="shared" ref="AU112" si="133">SUM(AU108:AU111)</f>
        <v>37662.705152275019</v>
      </c>
      <c r="AV112" s="10">
        <f t="shared" ref="AV112" si="134">SUM(AV108:AV111)</f>
        <v>38432.013336121861</v>
      </c>
      <c r="AW112" s="10">
        <f t="shared" ref="AW112" si="135">SUM(AW108:AW111)</f>
        <v>39231.716948867172</v>
      </c>
      <c r="AX112" s="10">
        <f t="shared" ref="AX112" si="136">SUM(AX108:AX111)</f>
        <v>40063.108868257419</v>
      </c>
      <c r="AY112" s="10">
        <f t="shared" ref="AY112" si="137">SUM(AY108:AY111)</f>
        <v>40927.538019706</v>
      </c>
      <c r="AZ112" s="10">
        <f t="shared" ref="AZ112" si="138">SUM(AZ108:AZ111)</f>
        <v>41826.411837225445</v>
      </c>
      <c r="BA112" s="10">
        <f t="shared" ref="BA112" si="139">SUM(BA108:BA111)</f>
        <v>42761.198833760107</v>
      </c>
      <c r="BB112" s="10">
        <f t="shared" ref="BB112" si="140">SUM(BB108:BB111)</f>
        <v>43733.431285843719</v>
      </c>
      <c r="BC112" s="10">
        <f t="shared" ref="BC112" si="141">SUM(BC108:BC111)</f>
        <v>44744.708037730299</v>
      </c>
      <c r="BD112" s="10">
        <f t="shared" ref="BD112" si="142">SUM(BD108:BD111)</f>
        <v>45796.697430381835</v>
      </c>
    </row>
    <row r="113" spans="2:56" s="3" customFormat="1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X113" s="10"/>
      <c r="Y113" s="10"/>
      <c r="Z113" s="10"/>
      <c r="AA113" s="10"/>
      <c r="AB113" s="10"/>
      <c r="AC113" s="20">
        <f>AC112/AB112-1</f>
        <v>1.3767132023628337E-2</v>
      </c>
      <c r="AD113" s="20">
        <f t="shared" ref="AD113:AK113" si="143">AD112/AC112-1</f>
        <v>1.4078650781075286E-2</v>
      </c>
      <c r="AE113" s="20">
        <f t="shared" si="143"/>
        <v>1.4395301659940518E-2</v>
      </c>
      <c r="AF113" s="20">
        <f t="shared" si="143"/>
        <v>1.4716984740608563E-2</v>
      </c>
      <c r="AG113" s="20">
        <f t="shared" si="143"/>
        <v>1.5043589447988559E-2</v>
      </c>
      <c r="AH113" s="20">
        <f t="shared" si="143"/>
        <v>1.5374994512919571E-2</v>
      </c>
      <c r="AI113" s="20">
        <f t="shared" si="143"/>
        <v>1.5711067977040694E-2</v>
      </c>
      <c r="AJ113" s="20">
        <f t="shared" si="143"/>
        <v>1.6051667242971579E-2</v>
      </c>
      <c r="AK113" s="20">
        <f t="shared" si="143"/>
        <v>1.6396639171402327E-2</v>
      </c>
      <c r="AL113" s="20">
        <f t="shared" ref="AL113" si="144">AL112/AK112-1</f>
        <v>1.6745820226364394E-2</v>
      </c>
      <c r="AM113" s="20">
        <f t="shared" ref="AM113" si="145">AM112/AL112-1</f>
        <v>1.7099036669651735E-2</v>
      </c>
      <c r="AN113" s="20">
        <f t="shared" ref="AN113" si="146">AN112/AM112-1</f>
        <v>1.7456104804979278E-2</v>
      </c>
      <c r="AO113" s="20">
        <f t="shared" ref="AO113" si="147">AO112/AN112-1</f>
        <v>1.7816831272116307E-2</v>
      </c>
      <c r="AP113" s="20">
        <f t="shared" ref="AP113" si="148">AP112/AO112-1</f>
        <v>1.8181013390800915E-2</v>
      </c>
      <c r="AQ113" s="20">
        <f t="shared" ref="AQ113" si="149">AQ112/AP112-1</f>
        <v>1.8548439553872642E-2</v>
      </c>
      <c r="AR113" s="20">
        <f t="shared" ref="AR113" si="150">AR112/AQ112-1</f>
        <v>1.8918889668592564E-2</v>
      </c>
      <c r="AS113" s="20">
        <f t="shared" ref="AS113" si="151">AS112/AR112-1</f>
        <v>1.9292135644732644E-2</v>
      </c>
      <c r="AT113" s="20">
        <f t="shared" ref="AT113" si="152">AT112/AS112-1</f>
        <v>1.9667941927565824E-2</v>
      </c>
      <c r="AU113" s="20">
        <f t="shared" ref="AU113" si="153">AU112/AT112-1</f>
        <v>2.0046066073475366E-2</v>
      </c>
      <c r="AV113" s="20">
        <f t="shared" ref="AV113" si="154">AV112/AU112-1</f>
        <v>2.042625936550313E-2</v>
      </c>
      <c r="AW113" s="20">
        <f t="shared" ref="AW113" si="155">AW112/AV112-1</f>
        <v>2.0808267465750374E-2</v>
      </c>
      <c r="AX113" s="20">
        <f t="shared" ref="AX113" si="156">AX112/AW112-1</f>
        <v>2.1191831101194047E-2</v>
      </c>
      <c r="AY113" s="20">
        <f t="shared" ref="AY113" si="157">AY112/AX112-1</f>
        <v>2.157668677913005E-2</v>
      </c>
      <c r="AZ113" s="20">
        <f t="shared" ref="AZ113" si="158">AZ112/AY112-1</f>
        <v>2.1962567528167831E-2</v>
      </c>
      <c r="BA113" s="20">
        <f t="shared" ref="BA113" si="159">BA112/AZ112-1</f>
        <v>2.2349203660417816E-2</v>
      </c>
      <c r="BB113" s="20">
        <f t="shared" ref="BB113" si="160">BB112/BA112-1</f>
        <v>2.2736323550312409E-2</v>
      </c>
      <c r="BC113" s="20">
        <f t="shared" ref="BC113" si="161">BC112/BB112-1</f>
        <v>2.3123654425302842E-2</v>
      </c>
      <c r="BD113" s="20">
        <f t="shared" ref="BD113" si="162">BD112/BC112-1</f>
        <v>2.3510923163571951E-2</v>
      </c>
    </row>
    <row r="115" spans="2:56" x14ac:dyDescent="0.2">
      <c r="B115" t="s">
        <v>126</v>
      </c>
      <c r="T115" s="17">
        <f t="shared" ref="T115:V115" si="163">SUM(T108:T109)/T112</f>
        <v>0.72274015084804155</v>
      </c>
      <c r="U115" s="17">
        <f t="shared" si="163"/>
        <v>0.73866658474717595</v>
      </c>
      <c r="V115" s="17">
        <f t="shared" si="163"/>
        <v>0.76527905315784106</v>
      </c>
      <c r="W115" s="17">
        <f t="shared" ref="W115" si="164">SUM(W108:W109)/W112</f>
        <v>0.75699393704907081</v>
      </c>
      <c r="X115" s="17">
        <f t="shared" ref="X115:Y115" si="165">SUM(X108:X109)/X112</f>
        <v>0.73441718657838562</v>
      </c>
      <c r="Y115" s="17">
        <f t="shared" si="165"/>
        <v>0.71889950381396717</v>
      </c>
      <c r="Z115" s="17">
        <f t="shared" ref="Z115:AA115" si="166">SUM(Z108:Z109)/Z112</f>
        <v>0.71248594333804915</v>
      </c>
      <c r="AA115" s="17">
        <f t="shared" si="166"/>
        <v>0.71697556011769847</v>
      </c>
      <c r="AB115" s="17">
        <f>SUM(AB108:AB109)/AB112</f>
        <v>0.71893095443728972</v>
      </c>
    </row>
    <row r="116" spans="2:56" x14ac:dyDescent="0.2">
      <c r="B116" t="s">
        <v>127</v>
      </c>
      <c r="T116" s="9">
        <v>318900</v>
      </c>
      <c r="U116" s="9">
        <v>318900</v>
      </c>
      <c r="V116" s="9">
        <v>318900</v>
      </c>
      <c r="W116" s="9">
        <v>318900</v>
      </c>
      <c r="X116" s="9">
        <v>318900</v>
      </c>
      <c r="Y116" s="9">
        <v>318900</v>
      </c>
      <c r="Z116" s="9">
        <v>318900</v>
      </c>
      <c r="AA116" s="9">
        <v>318900</v>
      </c>
      <c r="AB116" s="9">
        <v>318900</v>
      </c>
    </row>
    <row r="117" spans="2:56" x14ac:dyDescent="0.2">
      <c r="B117" t="s">
        <v>128</v>
      </c>
      <c r="T117" s="9">
        <v>742500</v>
      </c>
      <c r="U117" s="9">
        <v>742500</v>
      </c>
      <c r="V117" s="9">
        <v>742500</v>
      </c>
      <c r="W117" s="9">
        <v>742500</v>
      </c>
      <c r="X117" s="9">
        <v>742500</v>
      </c>
      <c r="Y117" s="9">
        <v>742500</v>
      </c>
      <c r="Z117" s="9">
        <v>742500</v>
      </c>
      <c r="AA117" s="9">
        <v>742500</v>
      </c>
      <c r="AB117" s="9">
        <v>742500</v>
      </c>
    </row>
    <row r="118" spans="2:56" x14ac:dyDescent="0.2">
      <c r="B118" t="s">
        <v>129</v>
      </c>
      <c r="T118" s="9">
        <f t="shared" ref="T118" si="167">T117+T116</f>
        <v>1061400</v>
      </c>
      <c r="U118" s="9">
        <f t="shared" ref="U118" si="168">U117+U116</f>
        <v>1061400</v>
      </c>
      <c r="V118" s="9">
        <f t="shared" ref="V118" si="169">V117+V116</f>
        <v>1061400</v>
      </c>
      <c r="W118" s="9">
        <f t="shared" ref="W118" si="170">W117+W116</f>
        <v>1061400</v>
      </c>
      <c r="X118" s="9">
        <f t="shared" ref="X118" si="171">X117+X116</f>
        <v>1061400</v>
      </c>
      <c r="Y118" s="9">
        <f t="shared" ref="Y118" si="172">Y117+Y116</f>
        <v>1061400</v>
      </c>
      <c r="Z118" s="9">
        <f t="shared" ref="Z118:AA118" si="173">Z117+Z116</f>
        <v>1061400</v>
      </c>
      <c r="AA118" s="9">
        <f t="shared" si="173"/>
        <v>1061400</v>
      </c>
      <c r="AB118" s="9">
        <f>AB117+AB116</f>
        <v>1061400</v>
      </c>
    </row>
    <row r="119" spans="2:56" x14ac:dyDescent="0.2">
      <c r="B119" t="s">
        <v>130</v>
      </c>
      <c r="T119" s="1">
        <f t="shared" ref="T119" si="174">((T108+T109)*1000)/T118</f>
        <v>14.228189184096477</v>
      </c>
      <c r="U119" s="1">
        <f t="shared" ref="U119" si="175">((U108+U109)*1000)/U118</f>
        <v>15.858017712455247</v>
      </c>
      <c r="V119" s="1">
        <f t="shared" ref="V119" si="176">((V108+V109)*1000)/V118</f>
        <v>16.959864330130017</v>
      </c>
      <c r="W119" s="1">
        <f t="shared" ref="W119" si="177">((W108+W109)*1000)/W118</f>
        <v>16.221594120972302</v>
      </c>
      <c r="X119" s="1">
        <f t="shared" ref="X119" si="178">((X108+X109)*1000)/X118</f>
        <v>16.657998869417753</v>
      </c>
      <c r="Y119" s="1">
        <f t="shared" ref="Y119" si="179">((Y108+Y109)*1000)/Y118</f>
        <v>18.291501790088564</v>
      </c>
      <c r="Z119" s="1">
        <f t="shared" ref="Z119:AA119" si="180">((Z108+Z109)*1000)/Z118</f>
        <v>18.504899189749388</v>
      </c>
      <c r="AA119" s="1">
        <f t="shared" si="180"/>
        <v>18.985396645939325</v>
      </c>
      <c r="AB119" s="1">
        <f>((AB108+AB109)*1000)/AB118</f>
        <v>18.587149048426607</v>
      </c>
    </row>
    <row r="121" spans="2:56" x14ac:dyDescent="0.2">
      <c r="B121" t="s">
        <v>131</v>
      </c>
      <c r="U121" s="17">
        <f t="shared" ref="U121:W121" si="181">U110/T110-1</f>
        <v>0.1786147044375308</v>
      </c>
      <c r="V121" s="17">
        <f t="shared" si="181"/>
        <v>0.17558142765845131</v>
      </c>
      <c r="W121" s="17">
        <f t="shared" si="181"/>
        <v>2.510163562446821E-2</v>
      </c>
      <c r="X121" s="17">
        <f>X110/W110-1</f>
        <v>0.16797325340096836</v>
      </c>
      <c r="Y121" s="17">
        <f>Y110/X110-1</f>
        <v>0.18833283979863791</v>
      </c>
      <c r="Z121" s="17">
        <f t="shared" ref="Z121:AB121" si="182">Z110/Y110-1</f>
        <v>6.1732702051665589E-2</v>
      </c>
      <c r="AA121" s="17">
        <f t="shared" si="182"/>
        <v>1.3471859304345024E-2</v>
      </c>
      <c r="AB121" s="17">
        <f t="shared" si="182"/>
        <v>-2.3590440313715821E-2</v>
      </c>
    </row>
    <row r="123" spans="2:56" x14ac:dyDescent="0.2">
      <c r="AB123" s="10">
        <f>+AB119*3000</f>
        <v>55761.447145279817</v>
      </c>
    </row>
    <row r="125" spans="2:56" x14ac:dyDescent="0.2">
      <c r="B125" t="s">
        <v>132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2015-11-07T04:26:32Z</dcterms:created>
  <dcterms:modified xsi:type="dcterms:W3CDTF">2016-05-11T07:56:24Z</dcterms:modified>
</cp:coreProperties>
</file>