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8800" windowHeight="12255" activeTab="1"/>
  </bookViews>
  <sheets>
    <sheet name="Main" sheetId="1" r:id="rId1"/>
    <sheet name="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3" i="2" l="1"/>
  <c r="AI30" i="2"/>
  <c r="AH30" i="2"/>
  <c r="AG30" i="2"/>
  <c r="AF30" i="2"/>
  <c r="AE30" i="2"/>
  <c r="AD30" i="2"/>
  <c r="AC30" i="2"/>
  <c r="AB30" i="2"/>
  <c r="AA30" i="2"/>
  <c r="Y30" i="2"/>
  <c r="Z30" i="2"/>
  <c r="AF3" i="2"/>
  <c r="AG3" i="2" s="1"/>
  <c r="AH3" i="2" s="1"/>
  <c r="AI3" i="2" s="1"/>
  <c r="AE3" i="2"/>
  <c r="AB3" i="2"/>
  <c r="AC3" i="2" s="1"/>
  <c r="AD3" i="2" s="1"/>
  <c r="AA3" i="2"/>
  <c r="Z32" i="2"/>
  <c r="AC13" i="2"/>
  <c r="AD13" i="2" s="1"/>
  <c r="AE13" i="2" s="1"/>
  <c r="AF13" i="2" s="1"/>
  <c r="AG13" i="2" s="1"/>
  <c r="AH13" i="2" s="1"/>
  <c r="AI13" i="2" s="1"/>
  <c r="AB13" i="2"/>
  <c r="AA13" i="2"/>
  <c r="AC12" i="2"/>
  <c r="AD12" i="2" s="1"/>
  <c r="AE12" i="2" s="1"/>
  <c r="AF12" i="2" s="1"/>
  <c r="AG12" i="2" s="1"/>
  <c r="AH12" i="2" s="1"/>
  <c r="AI12" i="2" s="1"/>
  <c r="AB12" i="2"/>
  <c r="AA12" i="2"/>
  <c r="AB8" i="2"/>
  <c r="AC8" i="2" s="1"/>
  <c r="AD8" i="2" s="1"/>
  <c r="AE8" i="2" s="1"/>
  <c r="AF8" i="2" s="1"/>
  <c r="AG8" i="2" s="1"/>
  <c r="AH8" i="2" s="1"/>
  <c r="AI8" i="2" s="1"/>
  <c r="AA8" i="2"/>
  <c r="L35" i="2"/>
  <c r="AB28" i="2"/>
  <c r="AC28" i="2" s="1"/>
  <c r="AA28" i="2"/>
  <c r="Y27" i="2"/>
  <c r="Y28" i="2"/>
  <c r="Z28" i="2"/>
  <c r="Y26" i="2"/>
  <c r="Z25" i="2"/>
  <c r="Z26" i="2" s="1"/>
  <c r="Z27" i="2" s="1"/>
  <c r="Y25" i="2"/>
  <c r="Z24" i="2"/>
  <c r="Y24" i="2"/>
  <c r="Z23" i="2"/>
  <c r="Y23" i="2"/>
  <c r="AB20" i="2"/>
  <c r="AC20" i="2" s="1"/>
  <c r="AD20" i="2" s="1"/>
  <c r="AA20" i="2"/>
  <c r="AA15" i="2"/>
  <c r="AB15" i="2" s="1"/>
  <c r="AC15" i="2" s="1"/>
  <c r="AD15" i="2" s="1"/>
  <c r="AE15" i="2" s="1"/>
  <c r="AF15" i="2" s="1"/>
  <c r="AG15" i="2" s="1"/>
  <c r="AH15" i="2" s="1"/>
  <c r="AI15" i="2" s="1"/>
  <c r="AB14" i="2"/>
  <c r="AC14" i="2" s="1"/>
  <c r="AD14" i="2" s="1"/>
  <c r="AE14" i="2" s="1"/>
  <c r="AF14" i="2" s="1"/>
  <c r="AG14" i="2" s="1"/>
  <c r="AH14" i="2" s="1"/>
  <c r="AI14" i="2" s="1"/>
  <c r="AA14" i="2"/>
  <c r="AB11" i="2"/>
  <c r="AC11" i="2" s="1"/>
  <c r="AD11" i="2" s="1"/>
  <c r="AE11" i="2" s="1"/>
  <c r="AF11" i="2" s="1"/>
  <c r="AG11" i="2" s="1"/>
  <c r="AH11" i="2" s="1"/>
  <c r="AI11" i="2" s="1"/>
  <c r="AA11" i="2"/>
  <c r="AA10" i="2"/>
  <c r="AB10" i="2" s="1"/>
  <c r="AC10" i="2" s="1"/>
  <c r="AD10" i="2" s="1"/>
  <c r="AE10" i="2" s="1"/>
  <c r="AF10" i="2" s="1"/>
  <c r="AG10" i="2" s="1"/>
  <c r="AH10" i="2" s="1"/>
  <c r="AI10" i="2" s="1"/>
  <c r="AA9" i="2"/>
  <c r="AB9" i="2" s="1"/>
  <c r="AC9" i="2" s="1"/>
  <c r="AD9" i="2" s="1"/>
  <c r="AE9" i="2" s="1"/>
  <c r="AF9" i="2" s="1"/>
  <c r="AG9" i="2" s="1"/>
  <c r="AH9" i="2" s="1"/>
  <c r="AI9" i="2" s="1"/>
  <c r="AA7" i="2"/>
  <c r="AB7" i="2" s="1"/>
  <c r="AC7" i="2" s="1"/>
  <c r="AD7" i="2" s="1"/>
  <c r="AE7" i="2" s="1"/>
  <c r="AF7" i="2" s="1"/>
  <c r="AG7" i="2" s="1"/>
  <c r="AH7" i="2" s="1"/>
  <c r="AI7" i="2" s="1"/>
  <c r="AB6" i="2"/>
  <c r="AC6" i="2" s="1"/>
  <c r="AD6" i="2" s="1"/>
  <c r="AE6" i="2" s="1"/>
  <c r="AF6" i="2" s="1"/>
  <c r="AG6" i="2" s="1"/>
  <c r="AH6" i="2" s="1"/>
  <c r="AI6" i="2" s="1"/>
  <c r="AA6" i="2"/>
  <c r="AB5" i="2"/>
  <c r="AA5" i="2"/>
  <c r="Z33" i="2"/>
  <c r="Y33" i="2"/>
  <c r="Z22" i="2"/>
  <c r="Z21" i="2"/>
  <c r="Y22" i="2"/>
  <c r="Y21" i="2"/>
  <c r="Z20" i="2"/>
  <c r="Y20" i="2"/>
  <c r="Z19" i="2"/>
  <c r="Y19" i="2"/>
  <c r="Z18" i="2"/>
  <c r="Y18" i="2"/>
  <c r="Z17" i="2"/>
  <c r="Y17" i="2"/>
  <c r="AB4" i="2"/>
  <c r="AC4" i="2" s="1"/>
  <c r="AD4" i="2" s="1"/>
  <c r="AE4" i="2" s="1"/>
  <c r="AF4" i="2" s="1"/>
  <c r="AG4" i="2" s="1"/>
  <c r="AH4" i="2" s="1"/>
  <c r="AI4" i="2" s="1"/>
  <c r="AA4" i="2"/>
  <c r="M23" i="2"/>
  <c r="N23" i="2" s="1"/>
  <c r="M28" i="2"/>
  <c r="N28" i="2" s="1"/>
  <c r="M15" i="2"/>
  <c r="N15" i="2" s="1"/>
  <c r="Z15" i="2" s="1"/>
  <c r="M14" i="2"/>
  <c r="N14" i="2" s="1"/>
  <c r="Z14" i="2" s="1"/>
  <c r="M13" i="2"/>
  <c r="N13" i="2" s="1"/>
  <c r="Z13" i="2" s="1"/>
  <c r="M12" i="2"/>
  <c r="M11" i="2"/>
  <c r="N11" i="2" s="1"/>
  <c r="Z11" i="2" s="1"/>
  <c r="M10" i="2"/>
  <c r="N10" i="2" s="1"/>
  <c r="Z10" i="2" s="1"/>
  <c r="N9" i="2"/>
  <c r="M9" i="2"/>
  <c r="M8" i="2"/>
  <c r="N8" i="2" s="1"/>
  <c r="Z8" i="2" s="1"/>
  <c r="M7" i="2"/>
  <c r="N7" i="2" s="1"/>
  <c r="M6" i="2"/>
  <c r="N5" i="2"/>
  <c r="M5" i="2"/>
  <c r="N4" i="2"/>
  <c r="N31" i="2" s="1"/>
  <c r="M4" i="2"/>
  <c r="M31" i="2" s="1"/>
  <c r="L31" i="2"/>
  <c r="Y15" i="2"/>
  <c r="Y14" i="2"/>
  <c r="Y13" i="2"/>
  <c r="Y12" i="2"/>
  <c r="Y11" i="2"/>
  <c r="Y10" i="2"/>
  <c r="Z9" i="2"/>
  <c r="Y9" i="2"/>
  <c r="Y8" i="2"/>
  <c r="Y7" i="2"/>
  <c r="Y6" i="2"/>
  <c r="Z5" i="2"/>
  <c r="Y5" i="2"/>
  <c r="Y4" i="2"/>
  <c r="Y3" i="2"/>
  <c r="N3" i="2"/>
  <c r="M3" i="2"/>
  <c r="M30" i="2" s="1"/>
  <c r="R16" i="2"/>
  <c r="Q16" i="2"/>
  <c r="P16" i="2"/>
  <c r="O16" i="2"/>
  <c r="E17" i="2"/>
  <c r="E18" i="2"/>
  <c r="I18" i="2"/>
  <c r="I17" i="2"/>
  <c r="E16" i="2"/>
  <c r="I16" i="2"/>
  <c r="J30" i="2"/>
  <c r="F17" i="2"/>
  <c r="F18" i="2"/>
  <c r="F33" i="2" s="1"/>
  <c r="J17" i="2"/>
  <c r="F16" i="2"/>
  <c r="J16" i="2"/>
  <c r="J18" i="2" s="1"/>
  <c r="G21" i="2"/>
  <c r="G17" i="2"/>
  <c r="G18" i="2" s="1"/>
  <c r="G33" i="2" s="1"/>
  <c r="K21" i="2"/>
  <c r="K17" i="2"/>
  <c r="K18" i="2" s="1"/>
  <c r="K33" i="2" s="1"/>
  <c r="K30" i="2"/>
  <c r="L30" i="2"/>
  <c r="G16" i="2"/>
  <c r="K32" i="2" s="1"/>
  <c r="K16" i="2"/>
  <c r="L19" i="2"/>
  <c r="L21" i="2" s="1"/>
  <c r="H17" i="2"/>
  <c r="L17" i="2"/>
  <c r="H16" i="2"/>
  <c r="L16" i="2"/>
  <c r="H21" i="2"/>
  <c r="L32" i="2"/>
  <c r="U2" i="2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P7" i="1"/>
  <c r="P6" i="1"/>
  <c r="P4" i="1"/>
  <c r="AD28" i="2" l="1"/>
  <c r="AE20" i="2"/>
  <c r="AA16" i="2"/>
  <c r="AA32" i="2" s="1"/>
  <c r="AB16" i="2"/>
  <c r="AB32" i="2" s="1"/>
  <c r="AC5" i="2"/>
  <c r="Z7" i="2"/>
  <c r="N6" i="2"/>
  <c r="Z6" i="2" s="1"/>
  <c r="Z3" i="2"/>
  <c r="G22" i="2"/>
  <c r="G24" i="2" s="1"/>
  <c r="G26" i="2" s="1"/>
  <c r="G27" i="2" s="1"/>
  <c r="N30" i="2"/>
  <c r="N12" i="2"/>
  <c r="Z12" i="2" s="1"/>
  <c r="M19" i="2"/>
  <c r="Y16" i="2"/>
  <c r="Z4" i="2"/>
  <c r="M16" i="2"/>
  <c r="N16" i="2"/>
  <c r="K22" i="2"/>
  <c r="K24" i="2" s="1"/>
  <c r="K26" i="2" s="1"/>
  <c r="K27" i="2" s="1"/>
  <c r="L18" i="2"/>
  <c r="L33" i="2" s="1"/>
  <c r="H18" i="2"/>
  <c r="H33" i="2" s="1"/>
  <c r="AB18" i="2" l="1"/>
  <c r="AB19" i="2"/>
  <c r="AB21" i="2" s="1"/>
  <c r="AA18" i="2"/>
  <c r="AA17" i="2" s="1"/>
  <c r="AA19" i="2"/>
  <c r="AA21" i="2" s="1"/>
  <c r="AE28" i="2"/>
  <c r="AF20" i="2"/>
  <c r="AC16" i="2"/>
  <c r="AC32" i="2" s="1"/>
  <c r="AD5" i="2"/>
  <c r="Z16" i="2"/>
  <c r="M32" i="2"/>
  <c r="M18" i="2"/>
  <c r="M33" i="2" s="1"/>
  <c r="M21" i="2"/>
  <c r="M22" i="2" s="1"/>
  <c r="M24" i="2" s="1"/>
  <c r="N19" i="2"/>
  <c r="N21" i="2" s="1"/>
  <c r="H22" i="2"/>
  <c r="H24" i="2" s="1"/>
  <c r="H26" i="2" s="1"/>
  <c r="H27" i="2" s="1"/>
  <c r="N18" i="2"/>
  <c r="N33" i="2" s="1"/>
  <c r="N32" i="2"/>
  <c r="L22" i="2"/>
  <c r="L24" i="2" s="1"/>
  <c r="L26" i="2" s="1"/>
  <c r="L27" i="2" s="1"/>
  <c r="AB22" i="2" l="1"/>
  <c r="AC18" i="2"/>
  <c r="AC19" i="2"/>
  <c r="AC21" i="2" s="1"/>
  <c r="AA22" i="2"/>
  <c r="AB17" i="2"/>
  <c r="AF28" i="2"/>
  <c r="AG20" i="2"/>
  <c r="AE5" i="2"/>
  <c r="AD16" i="2"/>
  <c r="AD32" i="2" s="1"/>
  <c r="N17" i="2"/>
  <c r="M26" i="2"/>
  <c r="N22" i="2"/>
  <c r="N24" i="2" s="1"/>
  <c r="M17" i="2"/>
  <c r="AC22" i="2" l="1"/>
  <c r="AD18" i="2"/>
  <c r="AD19" i="2"/>
  <c r="AD21" i="2" s="1"/>
  <c r="AC17" i="2"/>
  <c r="M27" i="2"/>
  <c r="M35" i="2"/>
  <c r="AG28" i="2"/>
  <c r="AH20" i="2"/>
  <c r="AE16" i="2"/>
  <c r="AE32" i="2" s="1"/>
  <c r="AF5" i="2"/>
  <c r="N26" i="2"/>
  <c r="AD22" i="2" l="1"/>
  <c r="AE18" i="2"/>
  <c r="AE17" i="2" s="1"/>
  <c r="AE19" i="2"/>
  <c r="AE21" i="2" s="1"/>
  <c r="AD17" i="2"/>
  <c r="N27" i="2"/>
  <c r="N35" i="2"/>
  <c r="Z35" i="2" s="1"/>
  <c r="AH28" i="2"/>
  <c r="AI20" i="2"/>
  <c r="AF16" i="2"/>
  <c r="AF32" i="2" s="1"/>
  <c r="AG5" i="2"/>
  <c r="AF18" i="2" l="1"/>
  <c r="AF19" i="2"/>
  <c r="AF21" i="2" s="1"/>
  <c r="AE22" i="2"/>
  <c r="AA23" i="2"/>
  <c r="AA24" i="2" s="1"/>
  <c r="AA25" i="2" s="1"/>
  <c r="AA26" i="2" s="1"/>
  <c r="AA35" i="2" s="1"/>
  <c r="AI28" i="2"/>
  <c r="AH5" i="2"/>
  <c r="AG16" i="2"/>
  <c r="AG32" i="2" s="1"/>
  <c r="AF22" i="2" l="1"/>
  <c r="AF17" i="2"/>
  <c r="AG18" i="2"/>
  <c r="AG17" i="2" s="1"/>
  <c r="AG19" i="2"/>
  <c r="AG21" i="2" s="1"/>
  <c r="AB23" i="2"/>
  <c r="AB24" i="2" s="1"/>
  <c r="AB25" i="2" s="1"/>
  <c r="AB26" i="2" s="1"/>
  <c r="AB27" i="2" s="1"/>
  <c r="AA27" i="2"/>
  <c r="AI5" i="2"/>
  <c r="AI16" i="2" s="1"/>
  <c r="AH16" i="2"/>
  <c r="AH32" i="2" s="1"/>
  <c r="AI32" i="2" l="1"/>
  <c r="AI18" i="2"/>
  <c r="AI19" i="2"/>
  <c r="AI21" i="2" s="1"/>
  <c r="AG22" i="2"/>
  <c r="AH18" i="2"/>
  <c r="AH19" i="2"/>
  <c r="AH21" i="2" s="1"/>
  <c r="AH17" i="2"/>
  <c r="AB35" i="2"/>
  <c r="AC23" i="2" s="1"/>
  <c r="AC24" i="2" s="1"/>
  <c r="AI22" i="2" l="1"/>
  <c r="AH22" i="2"/>
  <c r="AI17" i="2"/>
  <c r="AC25" i="2"/>
  <c r="AC26" i="2" s="1"/>
  <c r="AC35" i="2" l="1"/>
  <c r="AD23" i="2" s="1"/>
  <c r="AD24" i="2" s="1"/>
  <c r="AD25" i="2" s="1"/>
  <c r="AD26" i="2" s="1"/>
  <c r="AC27" i="2"/>
  <c r="AD27" i="2" l="1"/>
  <c r="AD35" i="2"/>
  <c r="AE24" i="2" l="1"/>
  <c r="AE25" i="2" l="1"/>
  <c r="AE26" i="2" s="1"/>
  <c r="AE27" i="2" l="1"/>
  <c r="AE35" i="2"/>
  <c r="AF23" i="2" s="1"/>
  <c r="AF24" i="2" l="1"/>
  <c r="AF25" i="2" l="1"/>
  <c r="AF26" i="2" s="1"/>
  <c r="AF27" i="2" l="1"/>
  <c r="AF35" i="2"/>
  <c r="AG23" i="2" s="1"/>
  <c r="AG24" i="2" l="1"/>
  <c r="AG25" i="2" l="1"/>
  <c r="AG26" i="2" s="1"/>
  <c r="AG27" i="2" l="1"/>
  <c r="AG35" i="2"/>
  <c r="AH23" i="2" s="1"/>
  <c r="AH24" i="2" l="1"/>
  <c r="AH25" i="2" l="1"/>
  <c r="AH26" i="2" s="1"/>
  <c r="AH27" i="2" l="1"/>
  <c r="AH35" i="2"/>
  <c r="AI23" i="2" s="1"/>
  <c r="AI24" i="2" l="1"/>
  <c r="AI25" i="2" l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AM32" i="2" s="1"/>
  <c r="AM33" i="2" s="1"/>
  <c r="AM34" i="2" s="1"/>
  <c r="AI27" i="2" l="1"/>
  <c r="AI35" i="2"/>
</calcChain>
</file>

<file path=xl/sharedStrings.xml><?xml version="1.0" encoding="utf-8"?>
<sst xmlns="http://schemas.openxmlformats.org/spreadsheetml/2006/main" count="73" uniqueCount="66">
  <si>
    <t>Price</t>
  </si>
  <si>
    <t>Shares</t>
  </si>
  <si>
    <t>MC</t>
  </si>
  <si>
    <t>Cash</t>
  </si>
  <si>
    <t>Debt</t>
  </si>
  <si>
    <t>EV</t>
  </si>
  <si>
    <t>Brand Name</t>
  </si>
  <si>
    <t>Acthar</t>
  </si>
  <si>
    <t>Q216</t>
  </si>
  <si>
    <t>Main</t>
  </si>
  <si>
    <t>Revenue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</si>
  <si>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</si>
  <si>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</si>
  <si>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</si>
  <si>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</si>
  <si>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</si>
  <si>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</si>
  <si>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</si>
  <si>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</si>
  <si>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</si>
  <si>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Q316</t>
  </si>
  <si>
    <t>Q416</t>
  </si>
  <si>
    <t>COGS</t>
  </si>
  <si>
    <t>Gross Profit</t>
  </si>
  <si>
    <t>Revenue Growth</t>
  </si>
  <si>
    <t>Gross Margin</t>
  </si>
  <si>
    <t>SG&amp;A</t>
  </si>
  <si>
    <t>R&amp;D</t>
  </si>
  <si>
    <t>Operating Expenses</t>
  </si>
  <si>
    <t>Operating Income</t>
  </si>
  <si>
    <t>Interest Income</t>
  </si>
  <si>
    <t>Pretax Income</t>
  </si>
  <si>
    <t>Taxes</t>
  </si>
  <si>
    <t>Net Income</t>
  </si>
  <si>
    <t>Therakos</t>
  </si>
  <si>
    <t>Ikaria</t>
  </si>
  <si>
    <t>Recothrom</t>
  </si>
  <si>
    <t>Inomax</t>
  </si>
  <si>
    <t>Ofirmev</t>
  </si>
  <si>
    <t>Hemostasis</t>
  </si>
  <si>
    <t>Other</t>
  </si>
  <si>
    <t>Other Brands</t>
  </si>
  <si>
    <t>Hydrocodone</t>
  </si>
  <si>
    <t>Oxycodone</t>
  </si>
  <si>
    <t>Concerta</t>
  </si>
  <si>
    <t>Other Controlled</t>
  </si>
  <si>
    <t>Other Generics</t>
  </si>
  <si>
    <t>Imaging</t>
  </si>
  <si>
    <t>Q117</t>
  </si>
  <si>
    <t>Q217</t>
  </si>
  <si>
    <t>Q317</t>
  </si>
  <si>
    <t>Q417</t>
  </si>
  <si>
    <t>EPS</t>
  </si>
  <si>
    <t>Acthar Growth</t>
  </si>
  <si>
    <t>Inomax Growth</t>
  </si>
  <si>
    <t>Indication</t>
  </si>
  <si>
    <t>Generic</t>
  </si>
  <si>
    <t>Net Cash</t>
  </si>
  <si>
    <t>Maturity</t>
  </si>
  <si>
    <t>Discount</t>
  </si>
  <si>
    <t>NPV</t>
  </si>
  <si>
    <t>Share</t>
  </si>
  <si>
    <t>aNPV</t>
  </si>
  <si>
    <t>1% CAGR but no cliff!?</t>
  </si>
  <si>
    <t>IMPLICIT</t>
  </si>
  <si>
    <t>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</si>
</sst>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7" formatCode="0.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2" fillId="0" borderId="0" xfId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0</xdr:row>
      <xdr:rowOff>57150</xdr:rowOff>
    </xdr:from>
    <xdr:to>
      <xdr:col>12</xdr:col>
      <xdr:colOff>28575</xdr:colOff>
      <xdr:row>51</xdr:row>
      <xdr:rowOff>114300</xdr:rowOff>
    </xdr:to>
    <xdr:cxnSp macro="">
      <xdr:nvCxnSpPr>
        <xdr:cNvPr id="3" name="Straight Connector 2"/>
        <xdr:cNvCxnSpPr/>
      </xdr:nvCxnSpPr>
      <xdr:spPr>
        <a:xfrm>
          <a:off x="7067550" y="57150"/>
          <a:ext cx="0" cy="815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28575</xdr:colOff>
      <xdr:row>0</xdr:row>
      <xdr:rowOff>0</xdr:rowOff>
    </xdr:from>
    <xdr:to>
      <xdr:col>25</xdr:col>
      <xdr:colOff>28575</xdr:colOff>
      <xdr:row>51</xdr:row>
      <xdr:rowOff>57150</xdr:rowOff>
    </xdr:to>
    <xdr:cxnSp macro="">
      <xdr:nvCxnSpPr>
        <xdr:cNvPr id="4" name="Straight Connector 3"/>
        <xdr:cNvCxnSpPr/>
      </xdr:nvCxnSpPr>
      <xdr:spPr>
        <a:xfrm>
          <a:off x="15592425" y="0"/>
          <a:ext cx="0" cy="8963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3"/>
  <sheetViews>
    <sheetView workbookViewId="0"/>
  </sheetViews>
  <sheetFormatPr defaultRowHeight="12.75" x14ac:dyDescent="0.2"/>
  <cols>
    <col min="1" max="1" width="6" customWidth="1"/>
    <col min="2" max="2" width="11.28515625" bestFit="1" customWidth="1"/>
    <col min="4" max="4" width="13.140625" customWidth="1"/>
  </cols>
  <sheetData>
    <row r="2" spans="2:17" x14ac:dyDescent="0.2">
      <c r="B2" s="12" t="s">
        <v>6</v>
      </c>
      <c r="C2" s="18" t="s">
        <v>56</v>
      </c>
      <c r="D2" s="18" t="s">
        <v>55</v>
      </c>
      <c r="E2" s="18"/>
      <c r="F2" s="18"/>
      <c r="G2" s="18"/>
      <c r="H2" s="18"/>
      <c r="I2" s="19"/>
      <c r="O2" t="s">
        <v>0</v>
      </c>
      <c r="P2" s="1">
        <v>79.75</v>
      </c>
    </row>
    <row r="3" spans="2:17" x14ac:dyDescent="0.2">
      <c r="B3" s="10" t="s">
        <v>7</v>
      </c>
      <c r="C3" s="20"/>
      <c r="D3" s="20"/>
      <c r="E3" s="20"/>
      <c r="F3" s="20"/>
      <c r="G3" s="20"/>
      <c r="H3" s="20"/>
      <c r="I3" s="21"/>
      <c r="O3" t="s">
        <v>1</v>
      </c>
      <c r="P3" s="3">
        <v>107.71299999999999</v>
      </c>
      <c r="Q3" s="2" t="s">
        <v>8</v>
      </c>
    </row>
    <row r="4" spans="2:17" x14ac:dyDescent="0.2">
      <c r="B4" s="10" t="s">
        <v>37</v>
      </c>
      <c r="C4" s="20"/>
      <c r="D4" s="20"/>
      <c r="E4" s="20"/>
      <c r="F4" s="20"/>
      <c r="G4" s="20"/>
      <c r="H4" s="20"/>
      <c r="I4" s="21"/>
      <c r="O4" t="s">
        <v>2</v>
      </c>
      <c r="P4" s="3">
        <f>+P3*P2</f>
        <v>8590.11175</v>
      </c>
      <c r="Q4" s="2"/>
    </row>
    <row r="5" spans="2:17" x14ac:dyDescent="0.2">
      <c r="B5" s="10"/>
      <c r="C5" s="20"/>
      <c r="D5" s="20"/>
      <c r="E5" s="20"/>
      <c r="F5" s="20"/>
      <c r="G5" s="20"/>
      <c r="H5" s="20"/>
      <c r="I5" s="21"/>
      <c r="O5" t="s">
        <v>3</v>
      </c>
      <c r="P5" s="3">
        <v>521.9</v>
      </c>
      <c r="Q5" s="2" t="s">
        <v>8</v>
      </c>
    </row>
    <row r="6" spans="2:17" x14ac:dyDescent="0.2">
      <c r="B6" s="10"/>
      <c r="C6" s="20"/>
      <c r="D6" s="20"/>
      <c r="E6" s="20"/>
      <c r="F6" s="20"/>
      <c r="G6" s="20"/>
      <c r="H6" s="20"/>
      <c r="I6" s="21"/>
      <c r="O6" t="s">
        <v>4</v>
      </c>
      <c r="P6" s="3">
        <f>6279+21.7</f>
        <v>6300.7</v>
      </c>
      <c r="Q6" s="2" t="s">
        <v>8</v>
      </c>
    </row>
    <row r="7" spans="2:17" x14ac:dyDescent="0.2">
      <c r="B7" s="10"/>
      <c r="C7" s="20"/>
      <c r="D7" s="20"/>
      <c r="E7" s="20"/>
      <c r="F7" s="20"/>
      <c r="G7" s="20"/>
      <c r="H7" s="20"/>
      <c r="I7" s="21"/>
      <c r="O7" t="s">
        <v>5</v>
      </c>
      <c r="P7" s="3">
        <f>+P4-P5+P6</f>
        <v>14368.911749999999</v>
      </c>
    </row>
    <row r="8" spans="2:17" x14ac:dyDescent="0.2">
      <c r="B8" s="10"/>
      <c r="C8" s="20"/>
      <c r="D8" s="20"/>
      <c r="E8" s="20"/>
      <c r="F8" s="20"/>
      <c r="G8" s="20"/>
      <c r="H8" s="20"/>
      <c r="I8" s="21"/>
      <c r="P8" s="3"/>
    </row>
    <row r="9" spans="2:17" x14ac:dyDescent="0.2">
      <c r="B9" s="10"/>
      <c r="C9" s="20"/>
      <c r="D9" s="20"/>
      <c r="E9" s="20"/>
      <c r="F9" s="20"/>
      <c r="G9" s="20"/>
      <c r="H9" s="20"/>
      <c r="I9" s="21"/>
    </row>
    <row r="10" spans="2:17" x14ac:dyDescent="0.2">
      <c r="B10" s="10"/>
      <c r="C10" s="20"/>
      <c r="D10" s="20"/>
      <c r="E10" s="20"/>
      <c r="F10" s="20"/>
      <c r="G10" s="20"/>
      <c r="H10" s="20"/>
      <c r="I10" s="21"/>
    </row>
    <row r="11" spans="2:17" x14ac:dyDescent="0.2">
      <c r="B11" s="10"/>
      <c r="C11" s="20"/>
      <c r="D11" s="20"/>
      <c r="E11" s="20"/>
      <c r="F11" s="20"/>
      <c r="G11" s="20"/>
      <c r="H11" s="20"/>
      <c r="I11" s="21"/>
    </row>
    <row r="12" spans="2:17" x14ac:dyDescent="0.2">
      <c r="B12" s="10"/>
      <c r="C12" s="20"/>
      <c r="D12" s="20"/>
      <c r="E12" s="20"/>
      <c r="F12" s="20"/>
      <c r="G12" s="20"/>
      <c r="H12" s="20"/>
      <c r="I12" s="21"/>
    </row>
    <row r="13" spans="2:17" x14ac:dyDescent="0.2">
      <c r="B13" s="10"/>
      <c r="C13" s="20"/>
      <c r="D13" s="20"/>
      <c r="E13" s="20"/>
      <c r="F13" s="20"/>
      <c r="G13" s="20"/>
      <c r="H13" s="20"/>
      <c r="I13" s="21"/>
    </row>
    <row r="14" spans="2:17" x14ac:dyDescent="0.2">
      <c r="B14" s="10"/>
      <c r="C14" s="20"/>
      <c r="D14" s="20"/>
      <c r="E14" s="20"/>
      <c r="F14" s="20"/>
      <c r="G14" s="20"/>
      <c r="H14" s="20"/>
      <c r="I14" s="21"/>
    </row>
    <row r="15" spans="2:17" x14ac:dyDescent="0.2">
      <c r="B15" s="10"/>
      <c r="C15" s="20"/>
      <c r="D15" s="20"/>
      <c r="E15" s="20"/>
      <c r="F15" s="20"/>
      <c r="G15" s="20"/>
      <c r="H15" s="20"/>
      <c r="I15" s="21"/>
    </row>
    <row r="16" spans="2:17" x14ac:dyDescent="0.2">
      <c r="B16" s="11"/>
      <c r="C16" s="22"/>
      <c r="D16" s="22"/>
      <c r="E16" s="22"/>
      <c r="F16" s="22"/>
      <c r="G16" s="22"/>
      <c r="H16" s="22"/>
      <c r="I16" s="23"/>
    </row>
    <row r="21" spans="2:2" x14ac:dyDescent="0.2">
      <c r="B21" t="s">
        <v>34</v>
      </c>
    </row>
    <row r="22" spans="2:2" x14ac:dyDescent="0.2">
      <c r="B22" t="s">
        <v>35</v>
      </c>
    </row>
    <row r="23" spans="2:2" x14ac:dyDescent="0.2">
      <c r="B2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6"/>
  <sheetViews>
    <sheetView tabSelected="1" workbookViewId="0">
      <pane xSplit="2" ySplit="2" topLeftCell="V3" activePane="bottomRight" state="frozen"/>
      <selection pane="topRight" activeCell="C1" sqref="C1"/>
      <selection pane="bottomLeft" activeCell="A3" sqref="A3"/>
      <selection pane="bottomRight" activeCell="AG22" sqref="AG22"/>
    </sheetView>
  </sheetViews>
  <sheetFormatPr defaultRowHeight="12.75" x14ac:dyDescent="0.2"/>
  <cols>
    <col min="1" max="1" width="5" bestFit="1" customWidth="1"/>
    <col min="2" max="2" width="18.140625" bestFit="1" customWidth="1"/>
    <col min="3" max="12" width="9.140625" style="2"/>
    <col min="13" max="13" width="9.7109375" style="2" bestFit="1" customWidth="1"/>
    <col min="14" max="18" width="9.140625" style="2"/>
    <col min="25" max="35" width="9.42578125" customWidth="1"/>
    <col min="39" max="39" width="9.42578125" customWidth="1"/>
  </cols>
  <sheetData>
    <row r="1" spans="1:46" x14ac:dyDescent="0.2">
      <c r="A1" s="13" t="s">
        <v>9</v>
      </c>
    </row>
    <row r="2" spans="1:46" x14ac:dyDescent="0.2"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8</v>
      </c>
      <c r="M2" s="2" t="s">
        <v>20</v>
      </c>
      <c r="N2" s="2" t="s">
        <v>21</v>
      </c>
      <c r="O2" s="2" t="s">
        <v>48</v>
      </c>
      <c r="P2" s="2" t="s">
        <v>49</v>
      </c>
      <c r="Q2" s="2" t="s">
        <v>50</v>
      </c>
      <c r="R2" s="2" t="s">
        <v>51</v>
      </c>
      <c r="T2">
        <v>2010</v>
      </c>
      <c r="U2">
        <f>+T2+1</f>
        <v>2011</v>
      </c>
      <c r="V2">
        <f t="shared" ref="V2:AT2" si="0">+U2+1</f>
        <v>2012</v>
      </c>
      <c r="W2">
        <f t="shared" si="0"/>
        <v>2013</v>
      </c>
      <c r="X2">
        <f t="shared" si="0"/>
        <v>2014</v>
      </c>
      <c r="Y2">
        <f t="shared" si="0"/>
        <v>2015</v>
      </c>
      <c r="Z2">
        <f t="shared" si="0"/>
        <v>2016</v>
      </c>
      <c r="AA2">
        <f t="shared" si="0"/>
        <v>2017</v>
      </c>
      <c r="AB2">
        <f t="shared" si="0"/>
        <v>2018</v>
      </c>
      <c r="AC2">
        <f t="shared" si="0"/>
        <v>2019</v>
      </c>
      <c r="AD2">
        <f t="shared" si="0"/>
        <v>2020</v>
      </c>
      <c r="AE2">
        <f t="shared" si="0"/>
        <v>2021</v>
      </c>
      <c r="AF2">
        <f t="shared" si="0"/>
        <v>2022</v>
      </c>
      <c r="AG2">
        <f t="shared" si="0"/>
        <v>2023</v>
      </c>
      <c r="AH2">
        <f t="shared" si="0"/>
        <v>2024</v>
      </c>
      <c r="AI2">
        <f t="shared" si="0"/>
        <v>2025</v>
      </c>
      <c r="AJ2">
        <f t="shared" si="0"/>
        <v>2026</v>
      </c>
      <c r="AK2">
        <f t="shared" si="0"/>
        <v>2027</v>
      </c>
      <c r="AL2">
        <f t="shared" si="0"/>
        <v>2028</v>
      </c>
      <c r="AM2">
        <f t="shared" si="0"/>
        <v>2029</v>
      </c>
      <c r="AN2">
        <f t="shared" si="0"/>
        <v>2030</v>
      </c>
      <c r="AO2">
        <f t="shared" si="0"/>
        <v>2031</v>
      </c>
      <c r="AP2">
        <f t="shared" si="0"/>
        <v>2032</v>
      </c>
      <c r="AQ2">
        <f t="shared" si="0"/>
        <v>2033</v>
      </c>
      <c r="AR2">
        <f t="shared" si="0"/>
        <v>2034</v>
      </c>
      <c r="AS2">
        <f t="shared" si="0"/>
        <v>2035</v>
      </c>
      <c r="AT2">
        <f t="shared" si="0"/>
        <v>2036</v>
      </c>
    </row>
    <row r="3" spans="1:46" s="8" customFormat="1" x14ac:dyDescent="0.2">
      <c r="B3" s="8" t="s">
        <v>7</v>
      </c>
      <c r="C3" s="9"/>
      <c r="D3" s="9"/>
      <c r="E3" s="9">
        <v>122.9</v>
      </c>
      <c r="F3" s="9">
        <v>266.39999999999998</v>
      </c>
      <c r="G3" s="9">
        <v>228</v>
      </c>
      <c r="H3" s="9">
        <v>268.7</v>
      </c>
      <c r="I3" s="9">
        <v>274.2</v>
      </c>
      <c r="J3" s="9">
        <v>286.7</v>
      </c>
      <c r="K3" s="9">
        <v>248.4</v>
      </c>
      <c r="L3" s="9">
        <v>298.3</v>
      </c>
      <c r="M3" s="9">
        <f>+I3*1.05</f>
        <v>287.91000000000003</v>
      </c>
      <c r="N3" s="9">
        <f t="shared" ref="N3" si="1">+J3*1.05</f>
        <v>301.03500000000003</v>
      </c>
      <c r="O3" s="9"/>
      <c r="P3" s="9"/>
      <c r="Q3" s="9"/>
      <c r="R3" s="9"/>
      <c r="Y3" s="8">
        <f>SUM(G3:J3)</f>
        <v>1057.5999999999999</v>
      </c>
      <c r="Z3" s="8">
        <f>SUM(K3:N3)</f>
        <v>1135.6450000000002</v>
      </c>
      <c r="AA3" s="8">
        <f>+Z3*1.1</f>
        <v>1249.2095000000004</v>
      </c>
      <c r="AB3" s="8">
        <f t="shared" ref="AB3:AD3" si="2">+AA3*1.1</f>
        <v>1374.1304500000006</v>
      </c>
      <c r="AC3" s="8">
        <f t="shared" si="2"/>
        <v>1511.5434950000008</v>
      </c>
      <c r="AD3" s="8">
        <f t="shared" si="2"/>
        <v>1662.6978445000011</v>
      </c>
      <c r="AE3" s="8">
        <f>+AD3*1.01</f>
        <v>1679.3248229450012</v>
      </c>
      <c r="AF3" s="8">
        <f t="shared" ref="AF3:AI3" si="3">+AE3*1.01</f>
        <v>1696.1180711744512</v>
      </c>
      <c r="AG3" s="8">
        <f t="shared" si="3"/>
        <v>1713.0792518861956</v>
      </c>
      <c r="AH3" s="8">
        <f t="shared" si="3"/>
        <v>1730.2100444050575</v>
      </c>
      <c r="AI3" s="8">
        <f t="shared" si="3"/>
        <v>1747.5121448491082</v>
      </c>
    </row>
    <row r="4" spans="1:46" s="8" customFormat="1" x14ac:dyDescent="0.2">
      <c r="B4" s="8" t="s">
        <v>37</v>
      </c>
      <c r="C4" s="9"/>
      <c r="D4" s="9"/>
      <c r="E4" s="9">
        <v>0</v>
      </c>
      <c r="F4" s="9">
        <v>0</v>
      </c>
      <c r="G4" s="9">
        <v>0</v>
      </c>
      <c r="H4" s="9">
        <v>81.5</v>
      </c>
      <c r="I4" s="9">
        <v>103.7</v>
      </c>
      <c r="J4" s="9">
        <v>110.8</v>
      </c>
      <c r="K4" s="9">
        <v>115.5</v>
      </c>
      <c r="L4" s="9">
        <v>121.1</v>
      </c>
      <c r="M4" s="9">
        <f>+I4*1.15</f>
        <v>119.255</v>
      </c>
      <c r="N4" s="9">
        <f t="shared" ref="N4" si="4">+J4*1.15</f>
        <v>127.41999999999999</v>
      </c>
      <c r="O4" s="9"/>
      <c r="P4" s="9"/>
      <c r="Q4" s="9"/>
      <c r="R4" s="9"/>
      <c r="Y4" s="8">
        <f t="shared" ref="Y4:Y15" si="5">SUM(G4:J4)</f>
        <v>296</v>
      </c>
      <c r="Z4" s="8">
        <f t="shared" ref="Z4:Z15" si="6">SUM(K4:N4)</f>
        <v>483.27499999999998</v>
      </c>
      <c r="AA4" s="8">
        <f>+Z4*1.01</f>
        <v>488.10774999999995</v>
      </c>
      <c r="AB4" s="8">
        <f t="shared" ref="AB4:AI4" si="7">+AA4*1.01</f>
        <v>492.98882749999996</v>
      </c>
      <c r="AC4" s="8">
        <f t="shared" si="7"/>
        <v>497.91871577499995</v>
      </c>
      <c r="AD4" s="8">
        <f t="shared" si="7"/>
        <v>502.89790293274996</v>
      </c>
      <c r="AE4" s="8">
        <f t="shared" si="7"/>
        <v>507.92688196207746</v>
      </c>
      <c r="AF4" s="8">
        <f t="shared" si="7"/>
        <v>513.00615078169824</v>
      </c>
      <c r="AG4" s="8">
        <f t="shared" si="7"/>
        <v>518.13621228951524</v>
      </c>
      <c r="AH4" s="8">
        <f t="shared" si="7"/>
        <v>523.31757441241041</v>
      </c>
      <c r="AI4" s="8">
        <f t="shared" si="7"/>
        <v>528.55075015653449</v>
      </c>
      <c r="AK4" s="8" t="s">
        <v>63</v>
      </c>
    </row>
    <row r="5" spans="1:46" s="8" customFormat="1" x14ac:dyDescent="0.2">
      <c r="B5" s="8" t="s">
        <v>38</v>
      </c>
      <c r="C5" s="9"/>
      <c r="D5" s="9"/>
      <c r="E5" s="9">
        <v>65.900000000000006</v>
      </c>
      <c r="F5" s="9">
        <v>71.400000000000006</v>
      </c>
      <c r="G5" s="9">
        <v>68.099999999999994</v>
      </c>
      <c r="H5" s="9">
        <v>62.1</v>
      </c>
      <c r="I5" s="9">
        <v>61.4</v>
      </c>
      <c r="J5" s="9">
        <v>66.900000000000006</v>
      </c>
      <c r="K5" s="9">
        <v>71.099999999999994</v>
      </c>
      <c r="L5" s="9">
        <v>70.7</v>
      </c>
      <c r="M5" s="9">
        <f>+I5*1.1</f>
        <v>67.540000000000006</v>
      </c>
      <c r="N5" s="9">
        <f t="shared" ref="N5" si="8">+J5*1.1</f>
        <v>73.590000000000018</v>
      </c>
      <c r="O5" s="9"/>
      <c r="P5" s="9"/>
      <c r="Q5" s="9"/>
      <c r="R5" s="9"/>
      <c r="Y5" s="8">
        <f t="shared" si="5"/>
        <v>258.5</v>
      </c>
      <c r="Z5" s="8">
        <f t="shared" si="6"/>
        <v>282.93000000000006</v>
      </c>
      <c r="AA5" s="8">
        <f>+Z5*0.5</f>
        <v>141.46500000000003</v>
      </c>
      <c r="AB5" s="8">
        <f t="shared" ref="AB5:AI5" si="9">+AA5*0.5</f>
        <v>70.732500000000016</v>
      </c>
      <c r="AC5" s="8">
        <f t="shared" si="9"/>
        <v>35.366250000000008</v>
      </c>
      <c r="AD5" s="8">
        <f t="shared" si="9"/>
        <v>17.683125000000004</v>
      </c>
      <c r="AE5" s="8">
        <f t="shared" si="9"/>
        <v>8.841562500000002</v>
      </c>
      <c r="AF5" s="8">
        <f t="shared" si="9"/>
        <v>4.420781250000001</v>
      </c>
      <c r="AG5" s="8">
        <f t="shared" si="9"/>
        <v>2.2103906250000005</v>
      </c>
      <c r="AH5" s="8">
        <f t="shared" si="9"/>
        <v>1.1051953125000002</v>
      </c>
      <c r="AI5" s="8">
        <f t="shared" si="9"/>
        <v>0.55259765625000012</v>
      </c>
    </row>
    <row r="6" spans="1:46" s="8" customFormat="1" x14ac:dyDescent="0.2">
      <c r="B6" s="8" t="s">
        <v>34</v>
      </c>
      <c r="C6" s="9"/>
      <c r="D6" s="9"/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50.4</v>
      </c>
      <c r="K6" s="9">
        <v>50.2</v>
      </c>
      <c r="L6" s="9">
        <v>52.5</v>
      </c>
      <c r="M6" s="9">
        <f>+L6</f>
        <v>52.5</v>
      </c>
      <c r="N6" s="9">
        <f>+M6</f>
        <v>52.5</v>
      </c>
      <c r="O6" s="9"/>
      <c r="P6" s="9"/>
      <c r="Q6" s="9"/>
      <c r="R6" s="9"/>
      <c r="Y6" s="8">
        <f t="shared" si="5"/>
        <v>50.4</v>
      </c>
      <c r="Z6" s="8">
        <f t="shared" si="6"/>
        <v>207.7</v>
      </c>
      <c r="AA6" s="8">
        <f>+Z6*1.01</f>
        <v>209.77699999999999</v>
      </c>
      <c r="AB6" s="8">
        <f t="shared" ref="AB6:AI6" si="10">+AA6*1.01</f>
        <v>211.87476999999998</v>
      </c>
      <c r="AC6" s="8">
        <f t="shared" si="10"/>
        <v>213.99351769999998</v>
      </c>
      <c r="AD6" s="8">
        <f t="shared" si="10"/>
        <v>216.133452877</v>
      </c>
      <c r="AE6" s="8">
        <f t="shared" si="10"/>
        <v>218.29478740576999</v>
      </c>
      <c r="AF6" s="8">
        <f t="shared" si="10"/>
        <v>220.4777352798277</v>
      </c>
      <c r="AG6" s="8">
        <f t="shared" si="10"/>
        <v>222.68251263262599</v>
      </c>
      <c r="AH6" s="8">
        <f t="shared" si="10"/>
        <v>224.90933775895226</v>
      </c>
      <c r="AI6" s="8">
        <f t="shared" si="10"/>
        <v>227.15843113654179</v>
      </c>
    </row>
    <row r="7" spans="1:46" s="8" customFormat="1" x14ac:dyDescent="0.2">
      <c r="B7" s="8" t="s">
        <v>39</v>
      </c>
      <c r="C7" s="9"/>
      <c r="D7" s="9"/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11.4</v>
      </c>
      <c r="L7" s="9">
        <v>13.9</v>
      </c>
      <c r="M7" s="9">
        <f>+L7</f>
        <v>13.9</v>
      </c>
      <c r="N7" s="9">
        <f t="shared" ref="N7" si="11">+M7</f>
        <v>13.9</v>
      </c>
      <c r="O7" s="9"/>
      <c r="P7" s="9"/>
      <c r="Q7" s="9"/>
      <c r="R7" s="9"/>
      <c r="Y7" s="8">
        <f t="shared" si="5"/>
        <v>0</v>
      </c>
      <c r="Z7" s="8">
        <f t="shared" si="6"/>
        <v>53.1</v>
      </c>
      <c r="AA7" s="8">
        <f t="shared" ref="AA7:AI7" si="12">+Z7*1.01</f>
        <v>53.631</v>
      </c>
      <c r="AB7" s="8">
        <f t="shared" si="12"/>
        <v>54.167310000000001</v>
      </c>
      <c r="AC7" s="8">
        <f t="shared" si="12"/>
        <v>54.708983099999998</v>
      </c>
      <c r="AD7" s="8">
        <f t="shared" si="12"/>
        <v>55.256072930999999</v>
      </c>
      <c r="AE7" s="8">
        <f t="shared" si="12"/>
        <v>55.808633660310001</v>
      </c>
      <c r="AF7" s="8">
        <f t="shared" si="12"/>
        <v>56.366719996913105</v>
      </c>
      <c r="AG7" s="8">
        <f t="shared" si="12"/>
        <v>56.930387196882236</v>
      </c>
      <c r="AH7" s="8">
        <f t="shared" si="12"/>
        <v>57.499691068851057</v>
      </c>
      <c r="AI7" s="8">
        <f t="shared" si="12"/>
        <v>58.074687979539569</v>
      </c>
    </row>
    <row r="8" spans="1:46" s="8" customFormat="1" x14ac:dyDescent="0.2">
      <c r="B8" s="8" t="s">
        <v>41</v>
      </c>
      <c r="C8" s="9"/>
      <c r="D8" s="9"/>
      <c r="E8" s="9">
        <v>22.7</v>
      </c>
      <c r="F8" s="9">
        <v>35.799999999999997</v>
      </c>
      <c r="G8" s="9">
        <v>38.200000000000003</v>
      </c>
      <c r="H8" s="9">
        <v>33.9</v>
      </c>
      <c r="I8" s="9">
        <v>22.7</v>
      </c>
      <c r="J8" s="9">
        <v>28.4</v>
      </c>
      <c r="K8" s="9">
        <v>38.4</v>
      </c>
      <c r="L8" s="9">
        <v>32.799999999999997</v>
      </c>
      <c r="M8" s="9">
        <f>+L8+2</f>
        <v>34.799999999999997</v>
      </c>
      <c r="N8" s="9">
        <f t="shared" ref="N8:N11" si="13">+M8+2</f>
        <v>36.799999999999997</v>
      </c>
      <c r="O8" s="9"/>
      <c r="P8" s="9"/>
      <c r="Q8" s="9"/>
      <c r="R8" s="9"/>
      <c r="Y8" s="8">
        <f t="shared" si="5"/>
        <v>123.19999999999999</v>
      </c>
      <c r="Z8" s="8">
        <f t="shared" si="6"/>
        <v>142.79999999999998</v>
      </c>
      <c r="AA8" s="8">
        <f>+Z8*0.95</f>
        <v>135.65999999999997</v>
      </c>
      <c r="AB8" s="8">
        <f t="shared" ref="AB8:AI8" si="14">+AA8*0.95</f>
        <v>128.87699999999995</v>
      </c>
      <c r="AC8" s="8">
        <f t="shared" si="14"/>
        <v>122.43314999999996</v>
      </c>
      <c r="AD8" s="8">
        <f t="shared" si="14"/>
        <v>116.31149249999996</v>
      </c>
      <c r="AE8" s="8">
        <f t="shared" si="14"/>
        <v>110.49591787499996</v>
      </c>
      <c r="AF8" s="8">
        <f t="shared" si="14"/>
        <v>104.97112198124996</v>
      </c>
      <c r="AG8" s="8">
        <f t="shared" si="14"/>
        <v>99.722565882187467</v>
      </c>
      <c r="AH8" s="8">
        <f t="shared" si="14"/>
        <v>94.73643758807809</v>
      </c>
      <c r="AI8" s="8">
        <f t="shared" si="14"/>
        <v>89.999615708674185</v>
      </c>
    </row>
    <row r="9" spans="1:46" s="8" customFormat="1" x14ac:dyDescent="0.2">
      <c r="B9" s="8" t="s">
        <v>42</v>
      </c>
      <c r="C9" s="9"/>
      <c r="D9" s="9"/>
      <c r="E9" s="9">
        <v>24.3</v>
      </c>
      <c r="F9" s="9">
        <v>34</v>
      </c>
      <c r="G9" s="9">
        <v>66.599999999999994</v>
      </c>
      <c r="H9" s="9">
        <v>37.4</v>
      </c>
      <c r="I9" s="9">
        <v>29.2</v>
      </c>
      <c r="J9" s="9">
        <v>36.700000000000003</v>
      </c>
      <c r="K9" s="9">
        <v>40.799999999999997</v>
      </c>
      <c r="L9" s="9">
        <v>38.200000000000003</v>
      </c>
      <c r="M9" s="9">
        <f t="shared" ref="M9:N9" si="15">+L9+2</f>
        <v>40.200000000000003</v>
      </c>
      <c r="N9" s="9">
        <f t="shared" si="13"/>
        <v>42.2</v>
      </c>
      <c r="O9" s="9"/>
      <c r="P9" s="9"/>
      <c r="Q9" s="9"/>
      <c r="R9" s="9"/>
      <c r="Y9" s="8">
        <f t="shared" si="5"/>
        <v>169.89999999999998</v>
      </c>
      <c r="Z9" s="8">
        <f t="shared" si="6"/>
        <v>161.4</v>
      </c>
      <c r="AA9" s="8">
        <f t="shared" ref="AA9:AI9" si="16">+Z9*1.01</f>
        <v>163.01400000000001</v>
      </c>
      <c r="AB9" s="8">
        <f t="shared" si="16"/>
        <v>164.64414000000002</v>
      </c>
      <c r="AC9" s="8">
        <f t="shared" si="16"/>
        <v>166.29058140000004</v>
      </c>
      <c r="AD9" s="8">
        <f t="shared" si="16"/>
        <v>167.95348721400003</v>
      </c>
      <c r="AE9" s="8">
        <f t="shared" si="16"/>
        <v>169.63302208614004</v>
      </c>
      <c r="AF9" s="8">
        <f t="shared" si="16"/>
        <v>171.32935230700144</v>
      </c>
      <c r="AG9" s="8">
        <f t="shared" si="16"/>
        <v>173.04264583007145</v>
      </c>
      <c r="AH9" s="8">
        <f t="shared" si="16"/>
        <v>174.77307228837216</v>
      </c>
      <c r="AI9" s="8">
        <f t="shared" si="16"/>
        <v>176.52080301125588</v>
      </c>
    </row>
    <row r="10" spans="1:46" s="8" customFormat="1" x14ac:dyDescent="0.2">
      <c r="B10" s="8" t="s">
        <v>43</v>
      </c>
      <c r="C10" s="9"/>
      <c r="D10" s="9"/>
      <c r="E10" s="9">
        <v>53.5</v>
      </c>
      <c r="F10" s="9">
        <v>47</v>
      </c>
      <c r="G10" s="9">
        <v>48.6</v>
      </c>
      <c r="H10" s="9">
        <v>31.6</v>
      </c>
      <c r="I10" s="9">
        <v>27.4</v>
      </c>
      <c r="J10" s="9">
        <v>28.9</v>
      </c>
      <c r="K10" s="9">
        <v>37.9</v>
      </c>
      <c r="L10" s="9">
        <v>30.6</v>
      </c>
      <c r="M10" s="9">
        <f t="shared" ref="M10:N10" si="17">+L10+2</f>
        <v>32.6</v>
      </c>
      <c r="N10" s="9">
        <f t="shared" si="13"/>
        <v>34.6</v>
      </c>
      <c r="O10" s="9"/>
      <c r="P10" s="9"/>
      <c r="Q10" s="9"/>
      <c r="R10" s="9"/>
      <c r="Y10" s="8">
        <f t="shared" si="5"/>
        <v>136.5</v>
      </c>
      <c r="Z10" s="8">
        <f t="shared" si="6"/>
        <v>135.69999999999999</v>
      </c>
      <c r="AA10" s="8">
        <f t="shared" ref="AA10:AI15" si="18">+Z10*1.01</f>
        <v>137.05699999999999</v>
      </c>
      <c r="AB10" s="8">
        <f t="shared" si="18"/>
        <v>138.42757</v>
      </c>
      <c r="AC10" s="8">
        <f t="shared" si="18"/>
        <v>139.81184569999999</v>
      </c>
      <c r="AD10" s="8">
        <f t="shared" si="18"/>
        <v>141.209964157</v>
      </c>
      <c r="AE10" s="8">
        <f t="shared" si="18"/>
        <v>142.62206379857</v>
      </c>
      <c r="AF10" s="8">
        <f t="shared" si="18"/>
        <v>144.04828443655569</v>
      </c>
      <c r="AG10" s="8">
        <f t="shared" si="18"/>
        <v>145.48876728092125</v>
      </c>
      <c r="AH10" s="8">
        <f t="shared" si="18"/>
        <v>146.94365495373046</v>
      </c>
      <c r="AI10" s="8">
        <f t="shared" si="18"/>
        <v>148.41309150326776</v>
      </c>
    </row>
    <row r="11" spans="1:46" s="8" customFormat="1" x14ac:dyDescent="0.2">
      <c r="B11" s="8" t="s">
        <v>44</v>
      </c>
      <c r="C11" s="9"/>
      <c r="D11" s="9"/>
      <c r="E11" s="9">
        <v>55.3</v>
      </c>
      <c r="F11" s="9">
        <v>48.6</v>
      </c>
      <c r="G11" s="9">
        <v>34</v>
      </c>
      <c r="H11" s="9">
        <v>30</v>
      </c>
      <c r="I11" s="9">
        <v>23.9</v>
      </c>
      <c r="J11" s="9">
        <v>31.2</v>
      </c>
      <c r="K11" s="9">
        <v>24.6</v>
      </c>
      <c r="L11" s="9">
        <v>24.3</v>
      </c>
      <c r="M11" s="9">
        <f t="shared" ref="M11:N11" si="19">+L11+2</f>
        <v>26.3</v>
      </c>
      <c r="N11" s="9">
        <f t="shared" si="13"/>
        <v>28.3</v>
      </c>
      <c r="O11" s="9"/>
      <c r="P11" s="9"/>
      <c r="Q11" s="9"/>
      <c r="R11" s="9"/>
      <c r="Y11" s="8">
        <f t="shared" si="5"/>
        <v>119.10000000000001</v>
      </c>
      <c r="Z11" s="8">
        <f t="shared" si="6"/>
        <v>103.5</v>
      </c>
      <c r="AA11" s="8">
        <f>+Z11*0.5</f>
        <v>51.75</v>
      </c>
      <c r="AB11" s="8">
        <f t="shared" ref="AB11:AI11" si="20">+AA11*0.5</f>
        <v>25.875</v>
      </c>
      <c r="AC11" s="8">
        <f t="shared" si="20"/>
        <v>12.9375</v>
      </c>
      <c r="AD11" s="8">
        <f t="shared" si="20"/>
        <v>6.46875</v>
      </c>
      <c r="AE11" s="8">
        <f t="shared" si="20"/>
        <v>3.234375</v>
      </c>
      <c r="AF11" s="8">
        <f t="shared" si="20"/>
        <v>1.6171875</v>
      </c>
      <c r="AG11" s="8">
        <f t="shared" si="20"/>
        <v>0.80859375</v>
      </c>
      <c r="AH11" s="8">
        <f t="shared" si="20"/>
        <v>0.404296875</v>
      </c>
      <c r="AI11" s="8">
        <f t="shared" si="20"/>
        <v>0.2021484375</v>
      </c>
    </row>
    <row r="12" spans="1:46" s="8" customFormat="1" x14ac:dyDescent="0.2">
      <c r="B12" s="8" t="s">
        <v>45</v>
      </c>
      <c r="C12" s="9"/>
      <c r="D12" s="9"/>
      <c r="E12" s="9">
        <v>168.3</v>
      </c>
      <c r="F12" s="9">
        <v>111.9</v>
      </c>
      <c r="G12" s="9">
        <v>145.4</v>
      </c>
      <c r="H12" s="9">
        <v>157.4</v>
      </c>
      <c r="I12" s="9">
        <v>157.5</v>
      </c>
      <c r="J12" s="9">
        <v>109.7</v>
      </c>
      <c r="K12" s="9">
        <v>121.9</v>
      </c>
      <c r="L12" s="9">
        <v>124.7</v>
      </c>
      <c r="M12" s="9">
        <f>+L12</f>
        <v>124.7</v>
      </c>
      <c r="N12" s="9">
        <f t="shared" ref="N12:N15" si="21">+M12</f>
        <v>124.7</v>
      </c>
      <c r="O12" s="9"/>
      <c r="P12" s="9"/>
      <c r="Q12" s="9"/>
      <c r="R12" s="9"/>
      <c r="Y12" s="8">
        <f t="shared" si="5"/>
        <v>570</v>
      </c>
      <c r="Z12" s="8">
        <f t="shared" si="6"/>
        <v>496</v>
      </c>
      <c r="AA12" s="8">
        <f>+Z12*0.95</f>
        <v>471.2</v>
      </c>
      <c r="AB12" s="8">
        <f t="shared" ref="AB12:AI12" si="22">+AA12*0.95</f>
        <v>447.64</v>
      </c>
      <c r="AC12" s="8">
        <f t="shared" si="22"/>
        <v>425.25799999999998</v>
      </c>
      <c r="AD12" s="8">
        <f t="shared" si="22"/>
        <v>403.99509999999998</v>
      </c>
      <c r="AE12" s="8">
        <f t="shared" si="22"/>
        <v>383.79534499999994</v>
      </c>
      <c r="AF12" s="8">
        <f t="shared" si="22"/>
        <v>364.60557774999995</v>
      </c>
      <c r="AG12" s="8">
        <f t="shared" si="22"/>
        <v>346.37529886249996</v>
      </c>
      <c r="AH12" s="8">
        <f t="shared" si="22"/>
        <v>329.05653391937494</v>
      </c>
      <c r="AI12" s="8">
        <f t="shared" si="22"/>
        <v>312.60370722340616</v>
      </c>
    </row>
    <row r="13" spans="1:46" s="8" customFormat="1" x14ac:dyDescent="0.2">
      <c r="B13" s="8" t="s">
        <v>46</v>
      </c>
      <c r="C13" s="9"/>
      <c r="D13" s="9"/>
      <c r="E13" s="9">
        <v>49.5</v>
      </c>
      <c r="F13" s="9">
        <v>42.7</v>
      </c>
      <c r="G13" s="9">
        <v>68.2</v>
      </c>
      <c r="H13" s="9">
        <v>51.5</v>
      </c>
      <c r="I13" s="9">
        <v>58.7</v>
      </c>
      <c r="J13" s="9">
        <v>51.1</v>
      </c>
      <c r="K13" s="9">
        <v>39.200000000000003</v>
      </c>
      <c r="L13" s="9">
        <v>45.6</v>
      </c>
      <c r="M13" s="9">
        <f t="shared" ref="M13:N13" si="23">+L13</f>
        <v>45.6</v>
      </c>
      <c r="N13" s="9">
        <f t="shared" si="21"/>
        <v>45.6</v>
      </c>
      <c r="O13" s="9"/>
      <c r="P13" s="9"/>
      <c r="Q13" s="9"/>
      <c r="R13" s="9"/>
      <c r="Y13" s="8">
        <f t="shared" si="5"/>
        <v>229.5</v>
      </c>
      <c r="Z13" s="8">
        <f t="shared" si="6"/>
        <v>176</v>
      </c>
      <c r="AA13" s="8">
        <f t="shared" ref="AA13:AI13" si="24">+Z13*0.95</f>
        <v>167.2</v>
      </c>
      <c r="AB13" s="8">
        <f t="shared" si="24"/>
        <v>158.83999999999997</v>
      </c>
      <c r="AC13" s="8">
        <f t="shared" si="24"/>
        <v>150.89799999999997</v>
      </c>
      <c r="AD13" s="8">
        <f t="shared" si="24"/>
        <v>143.35309999999996</v>
      </c>
      <c r="AE13" s="8">
        <f t="shared" si="24"/>
        <v>136.18544499999996</v>
      </c>
      <c r="AF13" s="8">
        <f t="shared" si="24"/>
        <v>129.37617274999997</v>
      </c>
      <c r="AG13" s="8">
        <f t="shared" si="24"/>
        <v>122.90736411249996</v>
      </c>
      <c r="AH13" s="8">
        <f t="shared" si="24"/>
        <v>116.76199590687496</v>
      </c>
      <c r="AI13" s="8">
        <f t="shared" si="24"/>
        <v>110.92389611153121</v>
      </c>
    </row>
    <row r="14" spans="1:46" s="8" customFormat="1" x14ac:dyDescent="0.2">
      <c r="B14" s="8" t="s">
        <v>47</v>
      </c>
      <c r="C14" s="9"/>
      <c r="D14" s="9"/>
      <c r="E14" s="9">
        <v>104.5</v>
      </c>
      <c r="F14" s="9">
        <v>101.98</v>
      </c>
      <c r="G14" s="9">
        <v>109.5</v>
      </c>
      <c r="H14" s="9">
        <v>108.8</v>
      </c>
      <c r="I14" s="9">
        <v>103.6</v>
      </c>
      <c r="J14" s="9">
        <v>103.6</v>
      </c>
      <c r="K14" s="9">
        <v>102.2</v>
      </c>
      <c r="L14" s="9">
        <v>104</v>
      </c>
      <c r="M14" s="9">
        <f t="shared" ref="M14:N14" si="25">+L14</f>
        <v>104</v>
      </c>
      <c r="N14" s="9">
        <f t="shared" si="21"/>
        <v>104</v>
      </c>
      <c r="O14" s="9"/>
      <c r="P14" s="9"/>
      <c r="Q14" s="9"/>
      <c r="R14" s="9"/>
      <c r="Y14" s="8">
        <f t="shared" si="5"/>
        <v>425.5</v>
      </c>
      <c r="Z14" s="8">
        <f t="shared" si="6"/>
        <v>414.2</v>
      </c>
      <c r="AA14" s="8">
        <f t="shared" si="18"/>
        <v>418.34199999999998</v>
      </c>
      <c r="AB14" s="8">
        <f t="shared" si="18"/>
        <v>422.52542</v>
      </c>
      <c r="AC14" s="8">
        <f t="shared" si="18"/>
        <v>426.75067419999999</v>
      </c>
      <c r="AD14" s="8">
        <f t="shared" si="18"/>
        <v>431.01818094200001</v>
      </c>
      <c r="AE14" s="8">
        <f t="shared" si="18"/>
        <v>435.32836275142</v>
      </c>
      <c r="AF14" s="8">
        <f t="shared" si="18"/>
        <v>439.6816463789342</v>
      </c>
      <c r="AG14" s="8">
        <f t="shared" si="18"/>
        <v>444.07846284272352</v>
      </c>
      <c r="AH14" s="8">
        <f t="shared" si="18"/>
        <v>448.51924747115078</v>
      </c>
      <c r="AI14" s="8">
        <f t="shared" si="18"/>
        <v>453.00443994586232</v>
      </c>
    </row>
    <row r="15" spans="1:46" s="8" customFormat="1" x14ac:dyDescent="0.2">
      <c r="B15" s="8" t="s">
        <v>40</v>
      </c>
      <c r="C15" s="9"/>
      <c r="D15" s="9"/>
      <c r="E15" s="9"/>
      <c r="F15" s="9"/>
      <c r="G15" s="9"/>
      <c r="H15" s="9">
        <v>14.4</v>
      </c>
      <c r="I15" s="9"/>
      <c r="J15" s="9"/>
      <c r="K15" s="9"/>
      <c r="L15" s="9">
        <v>13.9</v>
      </c>
      <c r="M15" s="9">
        <f t="shared" ref="M15:N15" si="26">+L15</f>
        <v>13.9</v>
      </c>
      <c r="N15" s="9">
        <f t="shared" si="21"/>
        <v>13.9</v>
      </c>
      <c r="O15" s="9"/>
      <c r="P15" s="9"/>
      <c r="Q15" s="9"/>
      <c r="R15" s="9"/>
      <c r="Y15" s="8">
        <f t="shared" si="5"/>
        <v>14.4</v>
      </c>
      <c r="Z15" s="8">
        <f t="shared" si="6"/>
        <v>41.7</v>
      </c>
      <c r="AA15" s="8">
        <f t="shared" si="18"/>
        <v>42.117000000000004</v>
      </c>
      <c r="AB15" s="8">
        <f t="shared" si="18"/>
        <v>42.538170000000008</v>
      </c>
      <c r="AC15" s="8">
        <f t="shared" si="18"/>
        <v>42.963551700000011</v>
      </c>
      <c r="AD15" s="8">
        <f t="shared" si="18"/>
        <v>43.393187217000012</v>
      </c>
      <c r="AE15" s="8">
        <f t="shared" si="18"/>
        <v>43.827119089170012</v>
      </c>
      <c r="AF15" s="8">
        <f t="shared" si="18"/>
        <v>44.265390280061709</v>
      </c>
      <c r="AG15" s="8">
        <f t="shared" si="18"/>
        <v>44.708044182862324</v>
      </c>
      <c r="AH15" s="8">
        <f t="shared" si="18"/>
        <v>45.155124624690949</v>
      </c>
      <c r="AI15" s="8">
        <f t="shared" si="18"/>
        <v>45.606675870937856</v>
      </c>
    </row>
    <row r="16" spans="1:46" s="14" customFormat="1" x14ac:dyDescent="0.2">
      <c r="B16" s="14" t="s">
        <v>10</v>
      </c>
      <c r="C16" s="15"/>
      <c r="D16" s="15"/>
      <c r="E16" s="15">
        <f t="shared" ref="E16" si="27">SUM(E3:E15)</f>
        <v>666.90000000000009</v>
      </c>
      <c r="F16" s="15">
        <f t="shared" ref="F16" si="28">SUM(F3:F15)</f>
        <v>759.78000000000009</v>
      </c>
      <c r="G16" s="15">
        <f>SUM(G3:G15)</f>
        <v>806.6</v>
      </c>
      <c r="H16" s="15">
        <f>SUM(H3:H15)</f>
        <v>877.29999999999984</v>
      </c>
      <c r="I16" s="15">
        <f t="shared" ref="I16" si="29">SUM(I3:I15)</f>
        <v>862.3</v>
      </c>
      <c r="J16" s="15">
        <f t="shared" ref="J16" si="30">SUM(J3:J15)</f>
        <v>904.40000000000009</v>
      </c>
      <c r="K16" s="15">
        <f t="shared" ref="K16" si="31">SUM(K3:K15)</f>
        <v>901.6</v>
      </c>
      <c r="L16" s="15">
        <f>SUM(L3:L15)</f>
        <v>970.59999999999991</v>
      </c>
      <c r="M16" s="15">
        <f t="shared" ref="M16:R16" si="32">SUM(M3:M15)</f>
        <v>963.20500000000004</v>
      </c>
      <c r="N16" s="15">
        <f t="shared" si="32"/>
        <v>998.54500000000007</v>
      </c>
      <c r="O16" s="15">
        <f t="shared" si="32"/>
        <v>0</v>
      </c>
      <c r="P16" s="15">
        <f t="shared" si="32"/>
        <v>0</v>
      </c>
      <c r="Q16" s="15">
        <f t="shared" si="32"/>
        <v>0</v>
      </c>
      <c r="R16" s="15">
        <f t="shared" si="32"/>
        <v>0</v>
      </c>
      <c r="Y16" s="14">
        <f>SUM(Y3:Y15)</f>
        <v>3450.6</v>
      </c>
      <c r="Z16" s="14">
        <f t="shared" ref="Z16" si="33">SUM(Z3:Z15)</f>
        <v>3833.95</v>
      </c>
      <c r="AA16" s="14">
        <f t="shared" ref="AA16" si="34">SUM(AA3:AA15)</f>
        <v>3728.5302499999998</v>
      </c>
      <c r="AB16" s="14">
        <f t="shared" ref="AB16" si="35">SUM(AB3:AB15)</f>
        <v>3733.2611574999996</v>
      </c>
      <c r="AC16" s="14">
        <f t="shared" ref="AC16" si="36">SUM(AC3:AC15)</f>
        <v>3800.8742645750008</v>
      </c>
      <c r="AD16" s="14">
        <f t="shared" ref="AD16" si="37">SUM(AD3:AD15)</f>
        <v>3908.3716602707509</v>
      </c>
      <c r="AE16" s="14">
        <f t="shared" ref="AE16" si="38">SUM(AE3:AE15)</f>
        <v>3895.3183390734584</v>
      </c>
      <c r="AF16" s="14">
        <f t="shared" ref="AF16" si="39">SUM(AF3:AF15)</f>
        <v>3890.2841918666932</v>
      </c>
      <c r="AG16" s="14">
        <f t="shared" ref="AG16" si="40">SUM(AG3:AG15)</f>
        <v>3890.1704973739857</v>
      </c>
      <c r="AH16" s="14">
        <f t="shared" ref="AH16" si="41">SUM(AH3:AH15)</f>
        <v>3893.3922065850434</v>
      </c>
      <c r="AI16" s="14">
        <f t="shared" ref="AI16" si="42">SUM(AI3:AI15)</f>
        <v>3899.1229895904098</v>
      </c>
    </row>
    <row r="17" spans="2:63" x14ac:dyDescent="0.2">
      <c r="B17" t="s">
        <v>22</v>
      </c>
      <c r="E17" s="2">
        <f>310.5-83.7</f>
        <v>226.8</v>
      </c>
      <c r="F17" s="2">
        <f>363.4-123.5</f>
        <v>239.89999999999998</v>
      </c>
      <c r="G17" s="2">
        <f>356.1-121.8</f>
        <v>234.3</v>
      </c>
      <c r="H17" s="2">
        <f>373.5-174.1</f>
        <v>199.4</v>
      </c>
      <c r="I17" s="2">
        <f>400.3-151.7</f>
        <v>248.60000000000002</v>
      </c>
      <c r="J17" s="2">
        <f>423.1-171.6</f>
        <v>251.50000000000003</v>
      </c>
      <c r="K17" s="2">
        <f>438.4-173.2</f>
        <v>265.2</v>
      </c>
      <c r="L17" s="2">
        <f>429.3-174-0.6-2.6</f>
        <v>252.10000000000002</v>
      </c>
      <c r="M17" s="9">
        <f>+M16-M18</f>
        <v>240.80124999999998</v>
      </c>
      <c r="N17" s="9">
        <f t="shared" ref="N17" si="43">+N16-N18</f>
        <v>249.63625000000002</v>
      </c>
      <c r="Y17" s="8">
        <f t="shared" ref="Y17" si="44">SUM(G17:J17)</f>
        <v>933.80000000000007</v>
      </c>
      <c r="Z17" s="8">
        <f t="shared" ref="Z17" si="45">SUM(K17:N17)</f>
        <v>1007.7375</v>
      </c>
      <c r="AA17" s="8">
        <f>+AA16-AA18</f>
        <v>969.41786499999989</v>
      </c>
      <c r="AB17" s="8">
        <f t="shared" ref="AB17:AI17" si="46">+AB16-AB18</f>
        <v>970.64790094999989</v>
      </c>
      <c r="AC17" s="8">
        <f t="shared" si="46"/>
        <v>988.22730878950006</v>
      </c>
      <c r="AD17" s="8">
        <f t="shared" si="46"/>
        <v>1016.1766316703952</v>
      </c>
      <c r="AE17" s="8">
        <f t="shared" si="46"/>
        <v>1012.7827681590993</v>
      </c>
      <c r="AF17" s="8">
        <f t="shared" si="46"/>
        <v>1011.4738898853402</v>
      </c>
      <c r="AG17" s="8">
        <f t="shared" si="46"/>
        <v>1011.4443293172362</v>
      </c>
      <c r="AH17" s="8">
        <f t="shared" si="46"/>
        <v>1012.2819737121113</v>
      </c>
      <c r="AI17" s="8">
        <f t="shared" si="46"/>
        <v>1013.7719772935066</v>
      </c>
    </row>
    <row r="18" spans="2:63" s="8" customFormat="1" x14ac:dyDescent="0.2">
      <c r="B18" s="8" t="s">
        <v>23</v>
      </c>
      <c r="C18" s="9"/>
      <c r="D18" s="9"/>
      <c r="E18" s="9">
        <f t="shared" ref="E18" si="47">+E16-E17</f>
        <v>440.10000000000008</v>
      </c>
      <c r="F18" s="9">
        <f>+F16-F17</f>
        <v>519.88000000000011</v>
      </c>
      <c r="G18" s="9">
        <f>+G16-G17</f>
        <v>572.29999999999995</v>
      </c>
      <c r="H18" s="9">
        <f>+H16-H17</f>
        <v>677.89999999999986</v>
      </c>
      <c r="I18" s="9">
        <f t="shared" ref="I18" si="48">+I16-I17</f>
        <v>613.69999999999993</v>
      </c>
      <c r="J18" s="9">
        <f>+J16-J17</f>
        <v>652.90000000000009</v>
      </c>
      <c r="K18" s="9">
        <f>+K16-K17</f>
        <v>636.40000000000009</v>
      </c>
      <c r="L18" s="9">
        <f>+L16-L17</f>
        <v>718.49999999999989</v>
      </c>
      <c r="M18" s="9">
        <f>+M16*0.75</f>
        <v>722.40375000000006</v>
      </c>
      <c r="N18" s="9">
        <f t="shared" ref="N18" si="49">+N16*0.75</f>
        <v>748.90875000000005</v>
      </c>
      <c r="O18" s="9"/>
      <c r="P18" s="9"/>
      <c r="Q18" s="9"/>
      <c r="R18" s="9"/>
      <c r="Y18" s="8">
        <f>+Y16-Y17</f>
        <v>2516.7999999999997</v>
      </c>
      <c r="Z18" s="8">
        <f t="shared" ref="Z18" si="50">+Z16-Z17</f>
        <v>2826.2124999999996</v>
      </c>
      <c r="AA18" s="8">
        <f>+AA16*0.74</f>
        <v>2759.1123849999999</v>
      </c>
      <c r="AB18" s="8">
        <f t="shared" ref="AB18:AI18" si="51">+AB16*0.74</f>
        <v>2762.6132565499997</v>
      </c>
      <c r="AC18" s="8">
        <f t="shared" si="51"/>
        <v>2812.6469557855007</v>
      </c>
      <c r="AD18" s="8">
        <f t="shared" si="51"/>
        <v>2892.1950286003557</v>
      </c>
      <c r="AE18" s="8">
        <f t="shared" si="51"/>
        <v>2882.5355709143591</v>
      </c>
      <c r="AF18" s="8">
        <f t="shared" si="51"/>
        <v>2878.8103019813529</v>
      </c>
      <c r="AG18" s="8">
        <f t="shared" si="51"/>
        <v>2878.7261680567494</v>
      </c>
      <c r="AH18" s="8">
        <f t="shared" si="51"/>
        <v>2881.1102328729321</v>
      </c>
      <c r="AI18" s="8">
        <f t="shared" si="51"/>
        <v>2885.3510122969033</v>
      </c>
    </row>
    <row r="19" spans="2:63" s="8" customFormat="1" x14ac:dyDescent="0.2">
      <c r="B19" s="8" t="s">
        <v>26</v>
      </c>
      <c r="C19" s="9"/>
      <c r="D19" s="9"/>
      <c r="E19" s="9"/>
      <c r="F19" s="9"/>
      <c r="G19" s="9">
        <v>308.39999999999998</v>
      </c>
      <c r="H19" s="9">
        <v>295</v>
      </c>
      <c r="I19" s="9"/>
      <c r="J19" s="9"/>
      <c r="K19" s="9">
        <v>231.2</v>
      </c>
      <c r="L19" s="9">
        <f>248.4+1.8+0.7-4.3+0.1</f>
        <v>246.7</v>
      </c>
      <c r="M19" s="9">
        <f>+L19</f>
        <v>246.7</v>
      </c>
      <c r="N19" s="9">
        <f t="shared" ref="N19" si="52">+M19</f>
        <v>246.7</v>
      </c>
      <c r="O19" s="9"/>
      <c r="P19" s="9"/>
      <c r="Q19" s="9"/>
      <c r="R19" s="9"/>
      <c r="Y19" s="8">
        <f t="shared" ref="Y19:Y20" si="53">SUM(G19:J19)</f>
        <v>603.4</v>
      </c>
      <c r="Z19" s="8">
        <f t="shared" ref="Z19:Z20" si="54">SUM(K19:N19)</f>
        <v>971.3</v>
      </c>
      <c r="AA19" s="8">
        <f>+AA16*0.25</f>
        <v>932.13256249999995</v>
      </c>
      <c r="AB19" s="8">
        <f t="shared" ref="AB19:AI19" si="55">+AB16*0.25</f>
        <v>933.31528937499991</v>
      </c>
      <c r="AC19" s="8">
        <f t="shared" si="55"/>
        <v>950.21856614375019</v>
      </c>
      <c r="AD19" s="8">
        <f t="shared" si="55"/>
        <v>977.09291506768773</v>
      </c>
      <c r="AE19" s="8">
        <f t="shared" si="55"/>
        <v>973.82958476836461</v>
      </c>
      <c r="AF19" s="8">
        <f t="shared" si="55"/>
        <v>972.57104796667329</v>
      </c>
      <c r="AG19" s="8">
        <f t="shared" si="55"/>
        <v>972.54262434349641</v>
      </c>
      <c r="AH19" s="8">
        <f t="shared" si="55"/>
        <v>973.34805164626084</v>
      </c>
      <c r="AI19" s="8">
        <f t="shared" si="55"/>
        <v>974.78074739760245</v>
      </c>
    </row>
    <row r="20" spans="2:63" s="8" customFormat="1" x14ac:dyDescent="0.2">
      <c r="B20" s="8" t="s">
        <v>27</v>
      </c>
      <c r="C20" s="9"/>
      <c r="D20" s="9"/>
      <c r="E20" s="9"/>
      <c r="F20" s="9"/>
      <c r="G20" s="9">
        <v>58</v>
      </c>
      <c r="H20" s="9">
        <v>59.9</v>
      </c>
      <c r="I20" s="9"/>
      <c r="J20" s="9"/>
      <c r="K20" s="9">
        <v>58.6</v>
      </c>
      <c r="L20" s="9">
        <v>76.099999999999994</v>
      </c>
      <c r="M20" s="9"/>
      <c r="N20" s="9"/>
      <c r="O20" s="9"/>
      <c r="P20" s="9"/>
      <c r="Q20" s="9"/>
      <c r="R20" s="9"/>
      <c r="Y20" s="8">
        <f t="shared" si="53"/>
        <v>117.9</v>
      </c>
      <c r="Z20" s="8">
        <f t="shared" si="54"/>
        <v>134.69999999999999</v>
      </c>
      <c r="AA20" s="8">
        <f>+Z20*0.8</f>
        <v>107.75999999999999</v>
      </c>
      <c r="AB20" s="8">
        <f t="shared" ref="AB20:AI20" si="56">+AA20*0.8</f>
        <v>86.207999999999998</v>
      </c>
      <c r="AC20" s="8">
        <f t="shared" si="56"/>
        <v>68.966400000000007</v>
      </c>
      <c r="AD20" s="8">
        <f t="shared" si="56"/>
        <v>55.173120000000011</v>
      </c>
      <c r="AE20" s="8">
        <f t="shared" si="56"/>
        <v>44.138496000000011</v>
      </c>
      <c r="AF20" s="8">
        <f t="shared" si="56"/>
        <v>35.310796800000013</v>
      </c>
      <c r="AG20" s="8">
        <f t="shared" si="56"/>
        <v>28.24863744000001</v>
      </c>
      <c r="AH20" s="8">
        <f t="shared" si="56"/>
        <v>22.59890995200001</v>
      </c>
      <c r="AI20" s="8">
        <f t="shared" si="56"/>
        <v>18.079127961600008</v>
      </c>
    </row>
    <row r="21" spans="2:63" s="8" customFormat="1" x14ac:dyDescent="0.2">
      <c r="B21" s="8" t="s">
        <v>28</v>
      </c>
      <c r="C21" s="9"/>
      <c r="D21" s="9"/>
      <c r="E21" s="9"/>
      <c r="F21" s="9"/>
      <c r="G21" s="9">
        <f t="shared" ref="G21" si="57">+G20+G19</f>
        <v>366.4</v>
      </c>
      <c r="H21" s="9">
        <f>+H20+H19</f>
        <v>354.9</v>
      </c>
      <c r="I21" s="9"/>
      <c r="J21" s="9"/>
      <c r="K21" s="9">
        <f t="shared" ref="K21" si="58">+K20+K19</f>
        <v>289.8</v>
      </c>
      <c r="L21" s="9">
        <f>+L20+L19</f>
        <v>322.79999999999995</v>
      </c>
      <c r="M21" s="9">
        <f t="shared" ref="M21:N21" si="59">+M20+M19</f>
        <v>246.7</v>
      </c>
      <c r="N21" s="9">
        <f t="shared" si="59"/>
        <v>246.7</v>
      </c>
      <c r="O21" s="9"/>
      <c r="P21" s="9"/>
      <c r="Q21" s="9"/>
      <c r="R21" s="9"/>
      <c r="Y21" s="8">
        <f>+Y20+Y19</f>
        <v>721.3</v>
      </c>
      <c r="Z21" s="8">
        <f t="shared" ref="Z21" si="60">+Z20+Z19</f>
        <v>1106</v>
      </c>
      <c r="AA21" s="8">
        <f t="shared" ref="AA21" si="61">+AA20+AA19</f>
        <v>1039.8925624999999</v>
      </c>
      <c r="AB21" s="8">
        <f t="shared" ref="AB21" si="62">+AB20+AB19</f>
        <v>1019.5232893749999</v>
      </c>
      <c r="AC21" s="8">
        <f t="shared" ref="AC21" si="63">+AC20+AC19</f>
        <v>1019.1849661437502</v>
      </c>
      <c r="AD21" s="8">
        <f t="shared" ref="AD21" si="64">+AD20+AD19</f>
        <v>1032.2660350676877</v>
      </c>
      <c r="AE21" s="8">
        <f t="shared" ref="AE21" si="65">+AE20+AE19</f>
        <v>1017.9680807683646</v>
      </c>
      <c r="AF21" s="8">
        <f t="shared" ref="AF21" si="66">+AF20+AF19</f>
        <v>1007.8818447666733</v>
      </c>
      <c r="AG21" s="8">
        <f t="shared" ref="AG21" si="67">+AG20+AG19</f>
        <v>1000.7912617834965</v>
      </c>
      <c r="AH21" s="8">
        <f t="shared" ref="AH21" si="68">+AH20+AH19</f>
        <v>995.94696159826083</v>
      </c>
      <c r="AI21" s="8">
        <f t="shared" ref="AI21" si="69">+AI20+AI19</f>
        <v>992.85987535920242</v>
      </c>
    </row>
    <row r="22" spans="2:63" s="8" customFormat="1" x14ac:dyDescent="0.2">
      <c r="B22" s="8" t="s">
        <v>29</v>
      </c>
      <c r="C22" s="9"/>
      <c r="D22" s="9"/>
      <c r="E22" s="9"/>
      <c r="F22" s="9"/>
      <c r="G22" s="9">
        <f t="shared" ref="G22" si="70">+G18-G21</f>
        <v>205.89999999999998</v>
      </c>
      <c r="H22" s="9">
        <f>+H18-H21</f>
        <v>322.99999999999989</v>
      </c>
      <c r="I22" s="9"/>
      <c r="J22" s="9"/>
      <c r="K22" s="9">
        <f t="shared" ref="K22" si="71">+K18-K21</f>
        <v>346.60000000000008</v>
      </c>
      <c r="L22" s="9">
        <f>+L18-L21</f>
        <v>395.69999999999993</v>
      </c>
      <c r="M22" s="9">
        <f t="shared" ref="M22:N22" si="72">+M18-M21</f>
        <v>475.70375000000007</v>
      </c>
      <c r="N22" s="9">
        <f t="shared" si="72"/>
        <v>502.20875000000007</v>
      </c>
      <c r="O22" s="9"/>
      <c r="P22" s="9"/>
      <c r="Q22" s="9"/>
      <c r="R22" s="9"/>
      <c r="Y22" s="8">
        <f>+Y18-Y21</f>
        <v>1795.4999999999998</v>
      </c>
      <c r="Z22" s="8">
        <f>+Z18-Z21</f>
        <v>1720.2124999999996</v>
      </c>
      <c r="AA22" s="8">
        <f t="shared" ref="AA22:AI22" si="73">+AA18-AA21</f>
        <v>1719.2198225</v>
      </c>
      <c r="AB22" s="8">
        <f t="shared" si="73"/>
        <v>1743.0899671749999</v>
      </c>
      <c r="AC22" s="8">
        <f t="shared" si="73"/>
        <v>1793.4619896417505</v>
      </c>
      <c r="AD22" s="8">
        <f t="shared" si="73"/>
        <v>1859.9289935326681</v>
      </c>
      <c r="AE22" s="8">
        <f t="shared" si="73"/>
        <v>1864.5674901459945</v>
      </c>
      <c r="AF22" s="8">
        <f t="shared" si="73"/>
        <v>1870.9284572146796</v>
      </c>
      <c r="AG22" s="8">
        <f t="shared" si="73"/>
        <v>1877.9349062732531</v>
      </c>
      <c r="AH22" s="8">
        <f t="shared" si="73"/>
        <v>1885.1632712746714</v>
      </c>
      <c r="AI22" s="8">
        <f t="shared" si="73"/>
        <v>1892.491136937701</v>
      </c>
    </row>
    <row r="23" spans="2:63" x14ac:dyDescent="0.2">
      <c r="B23" s="8" t="s">
        <v>30</v>
      </c>
      <c r="G23" s="2">
        <v>-57.4</v>
      </c>
      <c r="H23" s="2">
        <v>-72.5</v>
      </c>
      <c r="K23" s="2">
        <v>-97.2</v>
      </c>
      <c r="L23" s="2">
        <v>-95.6</v>
      </c>
      <c r="M23" s="2">
        <f>+L23</f>
        <v>-95.6</v>
      </c>
      <c r="N23" s="2">
        <f t="shared" ref="N23" si="74">+M23</f>
        <v>-95.6</v>
      </c>
      <c r="Y23" s="8">
        <f t="shared" ref="Y23" si="75">SUM(G23:J23)</f>
        <v>-129.9</v>
      </c>
      <c r="Z23" s="8">
        <f t="shared" ref="Z23" si="76">SUM(K23:N23)</f>
        <v>-384</v>
      </c>
      <c r="AA23" s="8">
        <f>+Z35*0.06</f>
        <v>-299.52524999999997</v>
      </c>
      <c r="AB23" s="8">
        <f t="shared" ref="AB23:AE23" si="77">+AA35*0.06</f>
        <v>-218.60265936749997</v>
      </c>
      <c r="AC23" s="8">
        <f t="shared" si="77"/>
        <v>-131.70688282247247</v>
      </c>
      <c r="AD23" s="8">
        <f t="shared" si="77"/>
        <v>-36.986841733773623</v>
      </c>
      <c r="AE23" s="8">
        <f>+AD35*$AM$29</f>
        <v>55.767384098969472</v>
      </c>
      <c r="AF23" s="8">
        <f t="shared" ref="AF23:AI23" si="78">+AE35*$AM$29</f>
        <v>146.98329062560524</v>
      </c>
      <c r="AG23" s="8">
        <f t="shared" si="78"/>
        <v>242.8340986480188</v>
      </c>
      <c r="AH23" s="8">
        <f t="shared" si="78"/>
        <v>343.57062638177922</v>
      </c>
      <c r="AI23" s="8">
        <f t="shared" si="78"/>
        <v>449.4354865204607</v>
      </c>
    </row>
    <row r="24" spans="2:63" x14ac:dyDescent="0.2">
      <c r="B24" s="8" t="s">
        <v>31</v>
      </c>
      <c r="G24" s="9">
        <f t="shared" ref="G24" si="79">+G22+G23</f>
        <v>148.49999999999997</v>
      </c>
      <c r="H24" s="9">
        <f>+H22+H23</f>
        <v>250.49999999999989</v>
      </c>
      <c r="K24" s="9">
        <f t="shared" ref="K24" si="80">+K22+K23</f>
        <v>249.40000000000009</v>
      </c>
      <c r="L24" s="9">
        <f>+L22+L23</f>
        <v>300.09999999999991</v>
      </c>
      <c r="M24" s="9">
        <f t="shared" ref="M24:N24" si="81">+M22+M23</f>
        <v>380.1037500000001</v>
      </c>
      <c r="N24" s="9">
        <f t="shared" si="81"/>
        <v>406.6087500000001</v>
      </c>
      <c r="Y24" s="8">
        <f>+Y22+Y23</f>
        <v>1665.5999999999997</v>
      </c>
      <c r="Z24" s="8">
        <f t="shared" ref="Z24" si="82">+Z22+Z23</f>
        <v>1336.2124999999996</v>
      </c>
      <c r="AA24" s="8">
        <f t="shared" ref="AA24" si="83">+AA22+AA23</f>
        <v>1419.6945725</v>
      </c>
      <c r="AB24" s="8">
        <f t="shared" ref="AB24" si="84">+AB22+AB23</f>
        <v>1524.4873078075</v>
      </c>
      <c r="AC24" s="8">
        <f t="shared" ref="AC24" si="85">+AC22+AC23</f>
        <v>1661.7551068192781</v>
      </c>
      <c r="AD24" s="8">
        <f t="shared" ref="AD24" si="86">+AD22+AD23</f>
        <v>1822.9421517988944</v>
      </c>
      <c r="AE24" s="8">
        <f t="shared" ref="AE24" si="87">+AE22+AE23</f>
        <v>1920.3348742449639</v>
      </c>
      <c r="AF24" s="8">
        <f t="shared" ref="AF24" si="88">+AF22+AF23</f>
        <v>2017.9117478402848</v>
      </c>
      <c r="AG24" s="8">
        <f t="shared" ref="AG24" si="89">+AG22+AG23</f>
        <v>2120.769004921272</v>
      </c>
      <c r="AH24" s="8">
        <f t="shared" ref="AH24" si="90">+AH22+AH23</f>
        <v>2228.7338976564506</v>
      </c>
      <c r="AI24" s="8">
        <f t="shared" ref="AI24" si="91">+AI22+AI23</f>
        <v>2341.9266234581619</v>
      </c>
    </row>
    <row r="25" spans="2:63" x14ac:dyDescent="0.2">
      <c r="B25" s="8" t="s">
        <v>32</v>
      </c>
      <c r="G25" s="2">
        <v>-34.1</v>
      </c>
      <c r="H25" s="2">
        <v>1.2</v>
      </c>
      <c r="K25" s="2">
        <v>-53.6</v>
      </c>
      <c r="L25" s="2">
        <v>-89.3</v>
      </c>
      <c r="M25" s="9"/>
      <c r="N25" s="9"/>
      <c r="Y25" s="8">
        <f t="shared" ref="Y25" si="92">SUM(G25:J25)</f>
        <v>-32.9</v>
      </c>
      <c r="Z25" s="8">
        <f t="shared" ref="Z25" si="93">SUM(K25:N25)</f>
        <v>-142.9</v>
      </c>
      <c r="AA25" s="8">
        <f>+AA24*0.05</f>
        <v>70.984728625000002</v>
      </c>
      <c r="AB25" s="8">
        <f t="shared" ref="AB25:AI25" si="94">+AB24*0.05</f>
        <v>76.224365390374999</v>
      </c>
      <c r="AC25" s="8">
        <f t="shared" si="94"/>
        <v>83.087755340963909</v>
      </c>
      <c r="AD25" s="8">
        <f t="shared" si="94"/>
        <v>91.147107589944724</v>
      </c>
      <c r="AE25" s="8">
        <f t="shared" si="94"/>
        <v>96.0167437122482</v>
      </c>
      <c r="AF25" s="8">
        <f t="shared" si="94"/>
        <v>100.89558739201425</v>
      </c>
      <c r="AG25" s="8">
        <f t="shared" si="94"/>
        <v>106.0384502460636</v>
      </c>
      <c r="AH25" s="8">
        <f t="shared" si="94"/>
        <v>111.43669488282254</v>
      </c>
      <c r="AI25" s="8">
        <f t="shared" si="94"/>
        <v>117.09633117290809</v>
      </c>
    </row>
    <row r="26" spans="2:63" x14ac:dyDescent="0.2">
      <c r="B26" s="8" t="s">
        <v>33</v>
      </c>
      <c r="G26" s="9">
        <f t="shared" ref="G26" si="95">+G24-G25</f>
        <v>182.59999999999997</v>
      </c>
      <c r="H26" s="9">
        <f>+H24-H25</f>
        <v>249.2999999999999</v>
      </c>
      <c r="K26" s="9">
        <f t="shared" ref="K26" si="96">+K24-K25</f>
        <v>303.00000000000011</v>
      </c>
      <c r="L26" s="9">
        <f>+L24-L25</f>
        <v>389.39999999999992</v>
      </c>
      <c r="M26" s="9">
        <f t="shared" ref="M26:N26" si="97">+M24-M25</f>
        <v>380.1037500000001</v>
      </c>
      <c r="N26" s="9">
        <f t="shared" si="97"/>
        <v>406.6087500000001</v>
      </c>
      <c r="Y26" s="8">
        <f>+Y24-Y25</f>
        <v>1698.4999999999998</v>
      </c>
      <c r="Z26" s="8">
        <f t="shared" ref="Z26" si="98">+Z24-Z25</f>
        <v>1479.1124999999997</v>
      </c>
      <c r="AA26" s="8">
        <f t="shared" ref="AA26" si="99">+AA24-AA25</f>
        <v>1348.7098438749999</v>
      </c>
      <c r="AB26" s="8">
        <f t="shared" ref="AB26" si="100">+AB24-AB25</f>
        <v>1448.262942417125</v>
      </c>
      <c r="AC26" s="8">
        <f t="shared" ref="AC26" si="101">+AC24-AC25</f>
        <v>1578.6673514783142</v>
      </c>
      <c r="AD26" s="8">
        <f t="shared" ref="AD26" si="102">+AD24-AD25</f>
        <v>1731.7950442089498</v>
      </c>
      <c r="AE26" s="8">
        <f t="shared" ref="AE26" si="103">+AE24-AE25</f>
        <v>1824.3181305327157</v>
      </c>
      <c r="AF26" s="8">
        <f t="shared" ref="AF26" si="104">+AF24-AF25</f>
        <v>1917.0161604482705</v>
      </c>
      <c r="AG26" s="8">
        <f t="shared" ref="AG26" si="105">+AG24-AG25</f>
        <v>2014.7305546752084</v>
      </c>
      <c r="AH26" s="8">
        <f t="shared" ref="AH26" si="106">+AH24-AH25</f>
        <v>2117.2972027736282</v>
      </c>
      <c r="AI26" s="8">
        <f t="shared" ref="AI26" si="107">+AI24-AI25</f>
        <v>2224.8302922852536</v>
      </c>
      <c r="AJ26" s="8">
        <f>+AI26*(1+$AM$30)</f>
        <v>2202.5819893624011</v>
      </c>
      <c r="AK26" s="8">
        <f t="shared" ref="AK26:BK26" si="108">+AJ26*(1+$AM$30)</f>
        <v>2180.5561694687772</v>
      </c>
      <c r="AL26" s="8">
        <f t="shared" si="108"/>
        <v>2158.7506077740895</v>
      </c>
      <c r="AM26" s="8">
        <f t="shared" si="108"/>
        <v>2137.1631016963488</v>
      </c>
      <c r="AN26" s="8">
        <f t="shared" si="108"/>
        <v>2115.7914706793854</v>
      </c>
      <c r="AO26" s="8">
        <f t="shared" si="108"/>
        <v>2094.6335559725917</v>
      </c>
      <c r="AP26" s="8">
        <f t="shared" si="108"/>
        <v>2073.6872204128658</v>
      </c>
      <c r="AQ26" s="8">
        <f t="shared" si="108"/>
        <v>2052.9503482087371</v>
      </c>
      <c r="AR26" s="8">
        <f t="shared" si="108"/>
        <v>2032.4208447266496</v>
      </c>
      <c r="AS26" s="8">
        <f t="shared" si="108"/>
        <v>2012.0966362793831</v>
      </c>
      <c r="AT26" s="8">
        <f t="shared" si="108"/>
        <v>1991.9756699165894</v>
      </c>
      <c r="AU26" s="8">
        <f t="shared" si="108"/>
        <v>1972.0559132174235</v>
      </c>
      <c r="AV26" s="8">
        <f t="shared" si="108"/>
        <v>1952.3353540852493</v>
      </c>
      <c r="AW26" s="8">
        <f t="shared" si="108"/>
        <v>1932.8120005443968</v>
      </c>
      <c r="AX26" s="8">
        <f t="shared" si="108"/>
        <v>1913.4838805389529</v>
      </c>
      <c r="AY26" s="8">
        <f t="shared" si="108"/>
        <v>1894.3490417335634</v>
      </c>
      <c r="AZ26" s="8">
        <f t="shared" si="108"/>
        <v>1875.4055513162277</v>
      </c>
      <c r="BA26" s="8">
        <f t="shared" si="108"/>
        <v>1856.6514958030655</v>
      </c>
      <c r="BB26" s="8">
        <f t="shared" si="108"/>
        <v>1838.0849808450348</v>
      </c>
      <c r="BC26" s="8">
        <f t="shared" si="108"/>
        <v>1819.7041310365844</v>
      </c>
      <c r="BD26" s="8">
        <f t="shared" si="108"/>
        <v>1801.5070897262185</v>
      </c>
      <c r="BE26" s="8">
        <f t="shared" si="108"/>
        <v>1783.4920188289564</v>
      </c>
      <c r="BF26" s="8">
        <f t="shared" si="108"/>
        <v>1765.6570986406668</v>
      </c>
      <c r="BG26" s="8">
        <f t="shared" si="108"/>
        <v>1748.0005276542602</v>
      </c>
      <c r="BH26" s="8">
        <f t="shared" si="108"/>
        <v>1730.5205223777175</v>
      </c>
      <c r="BI26" s="8">
        <f t="shared" si="108"/>
        <v>1713.2153171539403</v>
      </c>
      <c r="BJ26" s="8">
        <f t="shared" si="108"/>
        <v>1696.0831639824009</v>
      </c>
      <c r="BK26" s="8">
        <f t="shared" si="108"/>
        <v>1679.122332342577</v>
      </c>
    </row>
    <row r="27" spans="2:63" x14ac:dyDescent="0.2">
      <c r="B27" s="8" t="s">
        <v>52</v>
      </c>
      <c r="G27" s="16">
        <f t="shared" ref="G27" si="109">+G26/G28</f>
        <v>1.5580204778156994</v>
      </c>
      <c r="H27" s="16">
        <f>+H26/H28</f>
        <v>2.2787934186471652</v>
      </c>
      <c r="K27" s="16">
        <f t="shared" ref="K27" si="110">+K26/K28</f>
        <v>2.7053571428571437</v>
      </c>
      <c r="L27" s="16">
        <f>+L26/L28</f>
        <v>3.3056027164685902</v>
      </c>
      <c r="M27" s="16">
        <f t="shared" ref="M27:N27" si="111">+M26/M28</f>
        <v>3.2266871816638378</v>
      </c>
      <c r="N27" s="16">
        <f t="shared" si="111"/>
        <v>3.4516871816638379</v>
      </c>
      <c r="Y27" s="1">
        <f>Y26/Y28</f>
        <v>14.991173874669016</v>
      </c>
      <c r="Z27" s="1">
        <f>Z26/Z28</f>
        <v>12.712612806188222</v>
      </c>
      <c r="AA27" s="1">
        <f>AA26/AA28</f>
        <v>11.591833638805328</v>
      </c>
      <c r="AB27" s="1">
        <f t="shared" ref="AB27:AI27" si="112">AB26/AB28</f>
        <v>12.447468349094327</v>
      </c>
      <c r="AC27" s="1">
        <f t="shared" si="112"/>
        <v>13.568262582538154</v>
      </c>
      <c r="AD27" s="1">
        <f t="shared" si="112"/>
        <v>14.884357921864629</v>
      </c>
      <c r="AE27" s="1">
        <f t="shared" si="112"/>
        <v>15.679571384037091</v>
      </c>
      <c r="AF27" s="1">
        <f t="shared" si="112"/>
        <v>16.476288443904345</v>
      </c>
      <c r="AG27" s="1">
        <f t="shared" si="112"/>
        <v>17.316119937045194</v>
      </c>
      <c r="AH27" s="1">
        <f t="shared" si="112"/>
        <v>18.197655374075016</v>
      </c>
      <c r="AI27" s="1">
        <f t="shared" si="112"/>
        <v>19.121876169189974</v>
      </c>
    </row>
    <row r="28" spans="2:63" s="8" customFormat="1" x14ac:dyDescent="0.2">
      <c r="B28" s="8" t="s">
        <v>1</v>
      </c>
      <c r="C28" s="9"/>
      <c r="D28" s="9"/>
      <c r="E28" s="9"/>
      <c r="F28" s="9"/>
      <c r="G28" s="9">
        <v>117.2</v>
      </c>
      <c r="H28" s="9">
        <v>109.4</v>
      </c>
      <c r="I28" s="9"/>
      <c r="J28" s="9"/>
      <c r="K28" s="9">
        <v>112</v>
      </c>
      <c r="L28" s="9">
        <v>117.8</v>
      </c>
      <c r="M28" s="9">
        <f>+L28</f>
        <v>117.8</v>
      </c>
      <c r="N28" s="9">
        <f t="shared" ref="N28" si="113">+M28</f>
        <v>117.8</v>
      </c>
      <c r="O28" s="9"/>
      <c r="P28" s="9"/>
      <c r="Q28" s="9"/>
      <c r="R28" s="9"/>
      <c r="Y28" s="8">
        <f>AVERAGE(G28:J28)</f>
        <v>113.30000000000001</v>
      </c>
      <c r="Z28" s="8">
        <f>AVERAGE(K28:N28)</f>
        <v>116.35000000000001</v>
      </c>
      <c r="AA28" s="8">
        <f>+Z28</f>
        <v>116.35000000000001</v>
      </c>
      <c r="AB28" s="8">
        <f t="shared" ref="AB28:AI28" si="114">+AA28</f>
        <v>116.35000000000001</v>
      </c>
      <c r="AC28" s="8">
        <f t="shared" si="114"/>
        <v>116.35000000000001</v>
      </c>
      <c r="AD28" s="8">
        <f t="shared" si="114"/>
        <v>116.35000000000001</v>
      </c>
      <c r="AE28" s="8">
        <f t="shared" si="114"/>
        <v>116.35000000000001</v>
      </c>
      <c r="AF28" s="8">
        <f t="shared" si="114"/>
        <v>116.35000000000001</v>
      </c>
      <c r="AG28" s="8">
        <f t="shared" si="114"/>
        <v>116.35000000000001</v>
      </c>
      <c r="AH28" s="8">
        <f t="shared" si="114"/>
        <v>116.35000000000001</v>
      </c>
      <c r="AI28" s="8">
        <f t="shared" si="114"/>
        <v>116.35000000000001</v>
      </c>
    </row>
    <row r="29" spans="2:63" x14ac:dyDescent="0.2">
      <c r="AL29" t="s">
        <v>65</v>
      </c>
      <c r="AM29" s="24">
        <v>0.05</v>
      </c>
    </row>
    <row r="30" spans="2:63" x14ac:dyDescent="0.2">
      <c r="B30" t="s">
        <v>53</v>
      </c>
      <c r="J30" s="6">
        <f>J3/F3-1</f>
        <v>7.6201201201201219E-2</v>
      </c>
      <c r="K30" s="6">
        <f>K3/G3-1</f>
        <v>8.9473684210526372E-2</v>
      </c>
      <c r="L30" s="6">
        <f>L3/H3-1</f>
        <v>0.11016002977298101</v>
      </c>
      <c r="M30" s="6">
        <f t="shared" ref="M30:N31" si="115">M3/I3-1</f>
        <v>5.0000000000000044E-2</v>
      </c>
      <c r="N30" s="6">
        <f t="shared" si="115"/>
        <v>5.0000000000000044E-2</v>
      </c>
      <c r="Y30" s="24" t="e">
        <f t="shared" ref="Y30:Z30" si="116">Y3/X3-1</f>
        <v>#DIV/0!</v>
      </c>
      <c r="Z30" s="24">
        <f>Z3/Y3-1</f>
        <v>7.3794440242057835E-2</v>
      </c>
      <c r="AA30" s="24">
        <f t="shared" ref="AA30:AI30" si="117">AA3/Z3-1</f>
        <v>0.10000000000000009</v>
      </c>
      <c r="AB30" s="24">
        <f t="shared" si="117"/>
        <v>0.10000000000000009</v>
      </c>
      <c r="AC30" s="24">
        <f t="shared" si="117"/>
        <v>0.10000000000000009</v>
      </c>
      <c r="AD30" s="24">
        <f t="shared" si="117"/>
        <v>0.10000000000000009</v>
      </c>
      <c r="AE30" s="24">
        <f t="shared" si="117"/>
        <v>1.0000000000000009E-2</v>
      </c>
      <c r="AF30" s="24">
        <f t="shared" si="117"/>
        <v>1.0000000000000009E-2</v>
      </c>
      <c r="AG30" s="24">
        <f t="shared" si="117"/>
        <v>1.0000000000000009E-2</v>
      </c>
      <c r="AH30" s="24">
        <f t="shared" si="117"/>
        <v>1.0000000000000009E-2</v>
      </c>
      <c r="AI30" s="24">
        <f t="shared" si="117"/>
        <v>1.0000000000000009E-2</v>
      </c>
      <c r="AL30" t="s">
        <v>58</v>
      </c>
      <c r="AM30" s="24">
        <v>-0.01</v>
      </c>
    </row>
    <row r="31" spans="2:63" x14ac:dyDescent="0.2">
      <c r="B31" t="s">
        <v>54</v>
      </c>
      <c r="J31" s="6"/>
      <c r="K31" s="6"/>
      <c r="L31" s="6">
        <f t="shared" ref="L31" si="118">L4/H4-1</f>
        <v>0.4858895705521471</v>
      </c>
      <c r="M31" s="6">
        <f t="shared" si="115"/>
        <v>0.14999999999999991</v>
      </c>
      <c r="N31" s="6">
        <f t="shared" si="115"/>
        <v>0.14999999999999991</v>
      </c>
      <c r="AL31" t="s">
        <v>59</v>
      </c>
      <c r="AM31" s="27">
        <v>6.5000000000000002E-2</v>
      </c>
    </row>
    <row r="32" spans="2:63" s="4" customFormat="1" x14ac:dyDescent="0.2">
      <c r="B32" s="4" t="s">
        <v>24</v>
      </c>
      <c r="C32" s="5"/>
      <c r="D32" s="5"/>
      <c r="E32" s="5"/>
      <c r="F32" s="5"/>
      <c r="G32" s="5"/>
      <c r="H32" s="5"/>
      <c r="I32" s="5"/>
      <c r="J32" s="5"/>
      <c r="K32" s="17">
        <f t="shared" ref="K32" si="119">K16/G16-1</f>
        <v>0.11777832878750316</v>
      </c>
      <c r="L32" s="17">
        <f>L16/H16-1</f>
        <v>0.10634902541889901</v>
      </c>
      <c r="M32" s="17">
        <f t="shared" ref="M32:N32" si="120">M16/I16-1</f>
        <v>0.11701843905833242</v>
      </c>
      <c r="N32" s="17">
        <f t="shared" si="120"/>
        <v>0.10409663865546226</v>
      </c>
      <c r="O32" s="5"/>
      <c r="P32" s="5"/>
      <c r="Q32" s="5"/>
      <c r="R32" s="5"/>
      <c r="Z32" s="26">
        <f>Z16/Y16-1</f>
        <v>0.11109662087752858</v>
      </c>
      <c r="AA32" s="26">
        <f t="shared" ref="AA32:AI32" si="121">AA16/Z16-1</f>
        <v>-2.7496381016966831E-2</v>
      </c>
      <c r="AB32" s="26">
        <f t="shared" si="121"/>
        <v>1.2688397794278217E-3</v>
      </c>
      <c r="AC32" s="26">
        <f t="shared" si="121"/>
        <v>1.8111003817444793E-2</v>
      </c>
      <c r="AD32" s="26">
        <f t="shared" si="121"/>
        <v>2.828228144710021E-2</v>
      </c>
      <c r="AE32" s="26">
        <f t="shared" si="121"/>
        <v>-3.3398362110701463E-3</v>
      </c>
      <c r="AF32" s="26">
        <f t="shared" si="121"/>
        <v>-1.2923583565092045E-3</v>
      </c>
      <c r="AG32" s="26">
        <f t="shared" si="121"/>
        <v>-2.922524090787082E-5</v>
      </c>
      <c r="AH32" s="26">
        <f t="shared" si="121"/>
        <v>8.2816658376083652E-4</v>
      </c>
      <c r="AI32" s="26">
        <f t="shared" si="121"/>
        <v>1.4719254319339736E-3</v>
      </c>
      <c r="AL32" s="4" t="s">
        <v>60</v>
      </c>
      <c r="AM32" s="25">
        <f>NPV(AM31,AA26:BK26)</f>
        <v>26185.291766859296</v>
      </c>
    </row>
    <row r="33" spans="2:39" x14ac:dyDescent="0.2">
      <c r="B33" t="s">
        <v>25</v>
      </c>
      <c r="F33" s="6">
        <f t="shared" ref="F33:H33" si="122">F18/F16</f>
        <v>0.68425070415120171</v>
      </c>
      <c r="G33" s="6">
        <f t="shared" si="122"/>
        <v>0.7095214480535581</v>
      </c>
      <c r="H33" s="6">
        <f>H18/H16</f>
        <v>0.77271172916904141</v>
      </c>
      <c r="K33" s="6">
        <f t="shared" ref="K33:L33" si="123">K18/K16</f>
        <v>0.70585625554569664</v>
      </c>
      <c r="L33" s="6">
        <f>L18/L16</f>
        <v>0.74026375437873471</v>
      </c>
      <c r="M33" s="6">
        <f t="shared" ref="M33:N33" si="124">M18/M16</f>
        <v>0.75</v>
      </c>
      <c r="N33" s="6">
        <f t="shared" si="124"/>
        <v>0.75</v>
      </c>
      <c r="Y33" s="6">
        <f t="shared" ref="Y33:Z33" si="125">Y18/Y16</f>
        <v>0.72938039761200946</v>
      </c>
      <c r="Z33" s="6">
        <f t="shared" si="125"/>
        <v>0.73715424040480437</v>
      </c>
      <c r="AL33" t="s">
        <v>62</v>
      </c>
      <c r="AM33" s="3">
        <f>AM32-Main!P6+Main!P5</f>
        <v>20406.491766859297</v>
      </c>
    </row>
    <row r="34" spans="2:39" x14ac:dyDescent="0.2">
      <c r="AL34" t="s">
        <v>61</v>
      </c>
      <c r="AM34" s="1">
        <f>AM33/Main!P3</f>
        <v>189.45245018576495</v>
      </c>
    </row>
    <row r="35" spans="2:39" x14ac:dyDescent="0.2">
      <c r="B35" t="s">
        <v>57</v>
      </c>
      <c r="L35" s="7">
        <f>+Main!P5-Main!P6</f>
        <v>-5778.8</v>
      </c>
      <c r="M35" s="7">
        <f>+L35+M26</f>
        <v>-5398.69625</v>
      </c>
      <c r="N35" s="7">
        <f t="shared" ref="N35" si="126">+M35+N26</f>
        <v>-4992.0874999999996</v>
      </c>
      <c r="Z35" s="3">
        <f>+N35</f>
        <v>-4992.0874999999996</v>
      </c>
      <c r="AA35" s="3">
        <f>+Z35+AA26</f>
        <v>-3643.3776561249997</v>
      </c>
      <c r="AB35" s="3">
        <f t="shared" ref="AB35:AI35" si="127">+AA35+AB26</f>
        <v>-2195.1147137078747</v>
      </c>
      <c r="AC35" s="3">
        <f t="shared" si="127"/>
        <v>-616.44736222956044</v>
      </c>
      <c r="AD35" s="3">
        <f t="shared" si="127"/>
        <v>1115.3476819793893</v>
      </c>
      <c r="AE35" s="3">
        <f t="shared" si="127"/>
        <v>2939.6658125121048</v>
      </c>
      <c r="AF35" s="3">
        <f t="shared" si="127"/>
        <v>4856.6819729603758</v>
      </c>
      <c r="AG35" s="3">
        <f t="shared" si="127"/>
        <v>6871.4125276355844</v>
      </c>
      <c r="AH35" s="3">
        <f t="shared" si="127"/>
        <v>8988.7097304092131</v>
      </c>
      <c r="AI35" s="3">
        <f t="shared" si="127"/>
        <v>11213.540022694466</v>
      </c>
    </row>
    <row r="36" spans="2:39" x14ac:dyDescent="0.2">
      <c r="AL36" t="s">
        <v>64</v>
      </c>
    </row>
  </sheetData>
  <hyperlinks>
    <hyperlink ref="A1" location="Main!A1" display="Main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2016-08-16T02:12:11Z</dcterms:created>
  <dcterms:modified xsi:type="dcterms:W3CDTF">2016-08-16T03:56:27Z</dcterms:modified>
</cp:coreProperties>
</file>