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9800" windowHeight="12225" activeTab="1"/>
  </bookViews>
  <sheets>
    <sheet name="Main" sheetId="1" r:id="rId1"/>
    <sheet name="Model" sheetId="2" r:id="rId2"/>
    <sheet name="Keytrud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F43" i="2"/>
  <c r="E43" i="2"/>
  <c r="D43" i="2"/>
  <c r="C43" i="2"/>
  <c r="F44" i="2"/>
  <c r="E44" i="2"/>
  <c r="D44" i="2"/>
  <c r="J44" i="2"/>
  <c r="J58" i="2" s="1"/>
  <c r="I44" i="2"/>
  <c r="I58" i="2" s="1"/>
  <c r="H44" i="2"/>
  <c r="H58" i="2" s="1"/>
  <c r="G44" i="2"/>
  <c r="K58" i="2" s="1"/>
  <c r="J43" i="2"/>
  <c r="I43" i="2"/>
  <c r="H43" i="2"/>
  <c r="G43" i="2"/>
  <c r="P61" i="2"/>
  <c r="P78" i="2"/>
  <c r="P74" i="2"/>
  <c r="P71" i="2"/>
  <c r="P69" i="2"/>
  <c r="P67" i="2"/>
  <c r="P62" i="2"/>
  <c r="P53" i="2"/>
  <c r="P46" i="2"/>
  <c r="L6" i="1"/>
  <c r="L5" i="1"/>
  <c r="L3" i="1"/>
  <c r="G58" i="2" l="1"/>
  <c r="AH56" i="2"/>
  <c r="AH49" i="2"/>
  <c r="AH53" i="2"/>
  <c r="AH51" i="2"/>
  <c r="AI48" i="2"/>
  <c r="AH48" i="2"/>
  <c r="AI47" i="2"/>
  <c r="AJ47" i="2" s="1"/>
  <c r="AH47" i="2"/>
  <c r="AH45" i="2"/>
  <c r="Q56" i="2"/>
  <c r="R56" i="2" s="1"/>
  <c r="Q51" i="2"/>
  <c r="R51" i="2" s="1"/>
  <c r="R49" i="2"/>
  <c r="Q49" i="2"/>
  <c r="P49" i="2"/>
  <c r="R48" i="2"/>
  <c r="Q48" i="2"/>
  <c r="R47" i="2"/>
  <c r="Q47" i="2"/>
  <c r="K53" i="2"/>
  <c r="O53" i="2"/>
  <c r="M53" i="2"/>
  <c r="L53" i="2"/>
  <c r="N53" i="2"/>
  <c r="O49" i="2"/>
  <c r="N49" i="2"/>
  <c r="M49" i="2"/>
  <c r="L49" i="2"/>
  <c r="K49" i="2"/>
  <c r="K46" i="2"/>
  <c r="K59" i="2" s="1"/>
  <c r="AI43" i="2"/>
  <c r="AJ43" i="2" s="1"/>
  <c r="AK43" i="2" s="1"/>
  <c r="AL43" i="2" s="1"/>
  <c r="AM43" i="2" s="1"/>
  <c r="AN43" i="2" s="1"/>
  <c r="AO43" i="2" s="1"/>
  <c r="AP43" i="2" s="1"/>
  <c r="AQ43" i="2" s="1"/>
  <c r="AH43" i="2"/>
  <c r="AI42" i="2"/>
  <c r="AJ42" i="2" s="1"/>
  <c r="AK42" i="2" s="1"/>
  <c r="AL42" i="2" s="1"/>
  <c r="AM42" i="2" s="1"/>
  <c r="AN42" i="2" s="1"/>
  <c r="AO42" i="2" s="1"/>
  <c r="AP42" i="2" s="1"/>
  <c r="AQ42" i="2" s="1"/>
  <c r="AH42" i="2"/>
  <c r="AH41" i="2"/>
  <c r="AH40" i="2"/>
  <c r="AH39" i="2"/>
  <c r="AH38" i="2"/>
  <c r="AH37" i="2"/>
  <c r="AH36" i="2"/>
  <c r="AH33" i="2"/>
  <c r="AI32" i="2"/>
  <c r="AJ32" i="2" s="1"/>
  <c r="AK32" i="2" s="1"/>
  <c r="AL32" i="2" s="1"/>
  <c r="AM32" i="2" s="1"/>
  <c r="AN32" i="2" s="1"/>
  <c r="AO32" i="2" s="1"/>
  <c r="AP32" i="2" s="1"/>
  <c r="AQ32" i="2" s="1"/>
  <c r="AH32" i="2"/>
  <c r="AI31" i="2"/>
  <c r="AJ31" i="2" s="1"/>
  <c r="AK31" i="2" s="1"/>
  <c r="AL31" i="2" s="1"/>
  <c r="AM31" i="2" s="1"/>
  <c r="AN31" i="2" s="1"/>
  <c r="AO31" i="2" s="1"/>
  <c r="AP31" i="2" s="1"/>
  <c r="AQ31" i="2" s="1"/>
  <c r="AH31" i="2"/>
  <c r="AH30" i="2"/>
  <c r="AH28" i="2"/>
  <c r="AH27" i="2"/>
  <c r="AH26" i="2"/>
  <c r="AH25" i="2"/>
  <c r="AH24" i="2"/>
  <c r="AH22" i="2"/>
  <c r="AH21" i="2"/>
  <c r="AH20" i="2"/>
  <c r="AH19" i="2"/>
  <c r="AH18" i="2"/>
  <c r="AH17" i="2"/>
  <c r="AH16" i="2"/>
  <c r="AH15" i="2"/>
  <c r="AH14" i="2"/>
  <c r="AH11" i="2"/>
  <c r="AH10" i="2"/>
  <c r="AH9" i="2"/>
  <c r="AH8" i="2"/>
  <c r="AH7" i="2"/>
  <c r="AI6" i="2"/>
  <c r="AJ6" i="2" s="1"/>
  <c r="AK6" i="2" s="1"/>
  <c r="AL6" i="2" s="1"/>
  <c r="AM6" i="2" s="1"/>
  <c r="AN6" i="2" s="1"/>
  <c r="AO6" i="2" s="1"/>
  <c r="AP6" i="2" s="1"/>
  <c r="AQ6" i="2" s="1"/>
  <c r="AH6" i="2"/>
  <c r="AH5" i="2"/>
  <c r="AH4" i="2"/>
  <c r="AH3" i="2"/>
  <c r="P44" i="2"/>
  <c r="R43" i="2"/>
  <c r="Q43" i="2"/>
  <c r="R42" i="2"/>
  <c r="Q42" i="2"/>
  <c r="R41" i="2"/>
  <c r="Q41" i="2"/>
  <c r="AI41" i="2" s="1"/>
  <c r="AJ41" i="2" s="1"/>
  <c r="AK41" i="2" s="1"/>
  <c r="AL41" i="2" s="1"/>
  <c r="AM41" i="2" s="1"/>
  <c r="AN41" i="2" s="1"/>
  <c r="AO41" i="2" s="1"/>
  <c r="AP41" i="2" s="1"/>
  <c r="AQ41" i="2" s="1"/>
  <c r="R40" i="2"/>
  <c r="Q40" i="2"/>
  <c r="R39" i="2"/>
  <c r="Q39" i="2"/>
  <c r="R38" i="2"/>
  <c r="Q38" i="2"/>
  <c r="AI38" i="2" s="1"/>
  <c r="AJ38" i="2" s="1"/>
  <c r="AK38" i="2" s="1"/>
  <c r="AL38" i="2" s="1"/>
  <c r="AM38" i="2" s="1"/>
  <c r="AN38" i="2" s="1"/>
  <c r="AO38" i="2" s="1"/>
  <c r="AP38" i="2" s="1"/>
  <c r="AQ38" i="2" s="1"/>
  <c r="R37" i="2"/>
  <c r="Q37" i="2"/>
  <c r="AI37" i="2" s="1"/>
  <c r="AJ37" i="2" s="1"/>
  <c r="AK37" i="2" s="1"/>
  <c r="AL37" i="2" s="1"/>
  <c r="AM37" i="2" s="1"/>
  <c r="AN37" i="2" s="1"/>
  <c r="AO37" i="2" s="1"/>
  <c r="AP37" i="2" s="1"/>
  <c r="AQ37" i="2" s="1"/>
  <c r="R36" i="2"/>
  <c r="Q36" i="2"/>
  <c r="AI36" i="2" s="1"/>
  <c r="AJ36" i="2" s="1"/>
  <c r="AK36" i="2" s="1"/>
  <c r="AL36" i="2" s="1"/>
  <c r="AM36" i="2" s="1"/>
  <c r="AN36" i="2" s="1"/>
  <c r="AO36" i="2" s="1"/>
  <c r="AP36" i="2" s="1"/>
  <c r="AQ36" i="2" s="1"/>
  <c r="R33" i="2"/>
  <c r="Q33" i="2"/>
  <c r="R32" i="2"/>
  <c r="Q32" i="2"/>
  <c r="R31" i="2"/>
  <c r="Q31" i="2"/>
  <c r="R30" i="2"/>
  <c r="Q30" i="2"/>
  <c r="R28" i="2"/>
  <c r="Q28" i="2"/>
  <c r="R27" i="2"/>
  <c r="Q27" i="2"/>
  <c r="AI27" i="2" s="1"/>
  <c r="AJ27" i="2" s="1"/>
  <c r="AK27" i="2" s="1"/>
  <c r="AL27" i="2" s="1"/>
  <c r="AM27" i="2" s="1"/>
  <c r="AN27" i="2" s="1"/>
  <c r="AO27" i="2" s="1"/>
  <c r="AP27" i="2" s="1"/>
  <c r="AQ27" i="2" s="1"/>
  <c r="R26" i="2"/>
  <c r="Q26" i="2"/>
  <c r="R25" i="2"/>
  <c r="Q25" i="2"/>
  <c r="Q24" i="2"/>
  <c r="R24" i="2" s="1"/>
  <c r="Q22" i="2"/>
  <c r="R4" i="2"/>
  <c r="Q4" i="2"/>
  <c r="R3" i="2"/>
  <c r="Q3" i="2"/>
  <c r="R5" i="2"/>
  <c r="Q5" i="2"/>
  <c r="AI5" i="2" s="1"/>
  <c r="AJ5" i="2" s="1"/>
  <c r="AK5" i="2" s="1"/>
  <c r="AL5" i="2" s="1"/>
  <c r="AM5" i="2" s="1"/>
  <c r="AN5" i="2" s="1"/>
  <c r="AO5" i="2" s="1"/>
  <c r="AP5" i="2" s="1"/>
  <c r="AQ5" i="2" s="1"/>
  <c r="R6" i="2"/>
  <c r="Q6" i="2"/>
  <c r="R7" i="2"/>
  <c r="Q7" i="2"/>
  <c r="AI7" i="2" s="1"/>
  <c r="AJ7" i="2" s="1"/>
  <c r="AK7" i="2" s="1"/>
  <c r="AL7" i="2" s="1"/>
  <c r="AM7" i="2" s="1"/>
  <c r="AN7" i="2" s="1"/>
  <c r="AO7" i="2" s="1"/>
  <c r="AP7" i="2" s="1"/>
  <c r="AQ7" i="2" s="1"/>
  <c r="R10" i="2"/>
  <c r="Q10" i="2"/>
  <c r="R9" i="2"/>
  <c r="Q9" i="2"/>
  <c r="R8" i="2"/>
  <c r="Q8" i="2"/>
  <c r="Q11" i="2"/>
  <c r="R11" i="2" s="1"/>
  <c r="R14" i="2"/>
  <c r="Q14" i="2"/>
  <c r="AI14" i="2" s="1"/>
  <c r="AJ14" i="2" s="1"/>
  <c r="AK14" i="2" s="1"/>
  <c r="AL14" i="2" s="1"/>
  <c r="AM14" i="2" s="1"/>
  <c r="AN14" i="2" s="1"/>
  <c r="AO14" i="2" s="1"/>
  <c r="AP14" i="2" s="1"/>
  <c r="AQ14" i="2" s="1"/>
  <c r="R15" i="2"/>
  <c r="Q15" i="2"/>
  <c r="AI15" i="2" s="1"/>
  <c r="AJ15" i="2" s="1"/>
  <c r="AK15" i="2" s="1"/>
  <c r="AL15" i="2" s="1"/>
  <c r="AM15" i="2" s="1"/>
  <c r="AN15" i="2" s="1"/>
  <c r="AO15" i="2" s="1"/>
  <c r="AP15" i="2" s="1"/>
  <c r="AQ15" i="2" s="1"/>
  <c r="Q18" i="2"/>
  <c r="R18" i="2" s="1"/>
  <c r="Q17" i="2"/>
  <c r="R17" i="2" s="1"/>
  <c r="Q16" i="2"/>
  <c r="R16" i="2" s="1"/>
  <c r="Q19" i="2"/>
  <c r="R19" i="2" s="1"/>
  <c r="R20" i="2"/>
  <c r="Q20" i="2"/>
  <c r="Q21" i="2"/>
  <c r="R21" i="2" s="1"/>
  <c r="O44" i="2"/>
  <c r="O58" i="2" s="1"/>
  <c r="N44" i="2"/>
  <c r="N58" i="2" s="1"/>
  <c r="M44" i="2"/>
  <c r="M58" i="2" s="1"/>
  <c r="L44" i="2"/>
  <c r="K44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Y2" i="2"/>
  <c r="L4" i="1"/>
  <c r="L7" i="1" s="1"/>
  <c r="AI28" i="2" l="1"/>
  <c r="AJ28" i="2" s="1"/>
  <c r="AK28" i="2" s="1"/>
  <c r="AL28" i="2" s="1"/>
  <c r="AM28" i="2" s="1"/>
  <c r="AN28" i="2" s="1"/>
  <c r="AO28" i="2" s="1"/>
  <c r="AP28" i="2" s="1"/>
  <c r="AQ28" i="2" s="1"/>
  <c r="AI39" i="2"/>
  <c r="AJ39" i="2" s="1"/>
  <c r="AK39" i="2" s="1"/>
  <c r="AL39" i="2" s="1"/>
  <c r="AM39" i="2" s="1"/>
  <c r="AN39" i="2" s="1"/>
  <c r="AO39" i="2" s="1"/>
  <c r="AP39" i="2" s="1"/>
  <c r="AQ39" i="2" s="1"/>
  <c r="AI20" i="2"/>
  <c r="AJ20" i="2" s="1"/>
  <c r="AK20" i="2" s="1"/>
  <c r="AL20" i="2" s="1"/>
  <c r="AM20" i="2" s="1"/>
  <c r="AN20" i="2" s="1"/>
  <c r="AO20" i="2" s="1"/>
  <c r="AP20" i="2" s="1"/>
  <c r="AQ20" i="2" s="1"/>
  <c r="AI30" i="2"/>
  <c r="AJ30" i="2" s="1"/>
  <c r="AK30" i="2" s="1"/>
  <c r="AL30" i="2" s="1"/>
  <c r="AM30" i="2" s="1"/>
  <c r="AN30" i="2" s="1"/>
  <c r="AO30" i="2" s="1"/>
  <c r="AP30" i="2" s="1"/>
  <c r="AQ30" i="2" s="1"/>
  <c r="AI40" i="2"/>
  <c r="AJ40" i="2" s="1"/>
  <c r="AK40" i="2" s="1"/>
  <c r="AL40" i="2" s="1"/>
  <c r="AM40" i="2" s="1"/>
  <c r="AN40" i="2" s="1"/>
  <c r="AO40" i="2" s="1"/>
  <c r="AP40" i="2" s="1"/>
  <c r="AQ40" i="2" s="1"/>
  <c r="AI51" i="2"/>
  <c r="L58" i="2"/>
  <c r="P58" i="2"/>
  <c r="L46" i="2"/>
  <c r="L50" i="2" s="1"/>
  <c r="L52" i="2" s="1"/>
  <c r="L54" i="2" s="1"/>
  <c r="L55" i="2" s="1"/>
  <c r="M46" i="2"/>
  <c r="M50" i="2" s="1"/>
  <c r="M52" i="2" s="1"/>
  <c r="M54" i="2" s="1"/>
  <c r="M55" i="2" s="1"/>
  <c r="AI24" i="2"/>
  <c r="AJ24" i="2" s="1"/>
  <c r="AK24" i="2" s="1"/>
  <c r="AL24" i="2" s="1"/>
  <c r="AM24" i="2" s="1"/>
  <c r="AN24" i="2" s="1"/>
  <c r="AO24" i="2" s="1"/>
  <c r="AP24" i="2" s="1"/>
  <c r="AQ24" i="2" s="1"/>
  <c r="N46" i="2"/>
  <c r="O46" i="2"/>
  <c r="AI56" i="2"/>
  <c r="N50" i="2"/>
  <c r="N52" i="2" s="1"/>
  <c r="N54" i="2" s="1"/>
  <c r="N55" i="2" s="1"/>
  <c r="AI11" i="2"/>
  <c r="AJ11" i="2" s="1"/>
  <c r="AK11" i="2" s="1"/>
  <c r="AL11" i="2" s="1"/>
  <c r="AM11" i="2" s="1"/>
  <c r="AI25" i="2"/>
  <c r="AJ25" i="2" s="1"/>
  <c r="AK25" i="2" s="1"/>
  <c r="AL25" i="2" s="1"/>
  <c r="AM25" i="2" s="1"/>
  <c r="AN25" i="2" s="1"/>
  <c r="AO25" i="2" s="1"/>
  <c r="AP25" i="2" s="1"/>
  <c r="AQ25" i="2" s="1"/>
  <c r="AI26" i="2"/>
  <c r="AJ26" i="2" s="1"/>
  <c r="AK26" i="2" s="1"/>
  <c r="AL26" i="2" s="1"/>
  <c r="AM26" i="2" s="1"/>
  <c r="AN26" i="2" s="1"/>
  <c r="AO26" i="2" s="1"/>
  <c r="AP26" i="2" s="1"/>
  <c r="AQ26" i="2" s="1"/>
  <c r="AI33" i="2"/>
  <c r="AJ33" i="2" s="1"/>
  <c r="AK33" i="2" s="1"/>
  <c r="AL33" i="2" s="1"/>
  <c r="AM33" i="2" s="1"/>
  <c r="AN33" i="2" s="1"/>
  <c r="AO33" i="2" s="1"/>
  <c r="AP33" i="2" s="1"/>
  <c r="AQ33" i="2" s="1"/>
  <c r="AI3" i="2"/>
  <c r="AI4" i="2"/>
  <c r="AJ4" i="2" s="1"/>
  <c r="AK4" i="2" s="1"/>
  <c r="AL4" i="2" s="1"/>
  <c r="AM4" i="2" s="1"/>
  <c r="AN4" i="2" s="1"/>
  <c r="AO4" i="2" s="1"/>
  <c r="AP4" i="2" s="1"/>
  <c r="AQ4" i="2" s="1"/>
  <c r="AI8" i="2"/>
  <c r="AJ8" i="2" s="1"/>
  <c r="AK8" i="2" s="1"/>
  <c r="AL8" i="2" s="1"/>
  <c r="AM8" i="2" s="1"/>
  <c r="AN8" i="2" s="1"/>
  <c r="AO8" i="2" s="1"/>
  <c r="AP8" i="2" s="1"/>
  <c r="AQ8" i="2" s="1"/>
  <c r="AI9" i="2"/>
  <c r="AJ9" i="2" s="1"/>
  <c r="AK9" i="2" s="1"/>
  <c r="AL9" i="2" s="1"/>
  <c r="AM9" i="2" s="1"/>
  <c r="AN9" i="2" s="1"/>
  <c r="AO9" i="2" s="1"/>
  <c r="AP9" i="2" s="1"/>
  <c r="AQ9" i="2" s="1"/>
  <c r="AH44" i="2"/>
  <c r="AH46" i="2" s="1"/>
  <c r="AH59" i="2" s="1"/>
  <c r="AI10" i="2"/>
  <c r="AJ10" i="2" s="1"/>
  <c r="AK10" i="2" s="1"/>
  <c r="AL10" i="2" s="1"/>
  <c r="AM10" i="2" s="1"/>
  <c r="AN10" i="2" s="1"/>
  <c r="AO10" i="2" s="1"/>
  <c r="AP10" i="2" s="1"/>
  <c r="AQ10" i="2" s="1"/>
  <c r="AI17" i="2"/>
  <c r="AJ17" i="2" s="1"/>
  <c r="AK17" i="2" s="1"/>
  <c r="AL17" i="2" s="1"/>
  <c r="AM17" i="2" s="1"/>
  <c r="AN17" i="2" s="1"/>
  <c r="AO17" i="2" s="1"/>
  <c r="AP17" i="2" s="1"/>
  <c r="AQ17" i="2" s="1"/>
  <c r="AI16" i="2"/>
  <c r="AJ16" i="2" s="1"/>
  <c r="AK16" i="2" s="1"/>
  <c r="AL16" i="2" s="1"/>
  <c r="AM16" i="2" s="1"/>
  <c r="AN16" i="2" s="1"/>
  <c r="AO16" i="2" s="1"/>
  <c r="AP16" i="2" s="1"/>
  <c r="AQ16" i="2" s="1"/>
  <c r="AJ49" i="2"/>
  <c r="AK47" i="2"/>
  <c r="AI49" i="2"/>
  <c r="R22" i="2"/>
  <c r="AI22" i="2" s="1"/>
  <c r="AI21" i="2"/>
  <c r="AJ21" i="2" s="1"/>
  <c r="AK21" i="2" s="1"/>
  <c r="AL21" i="2" s="1"/>
  <c r="AM21" i="2" s="1"/>
  <c r="AN21" i="2" s="1"/>
  <c r="AO21" i="2" s="1"/>
  <c r="AP21" i="2" s="1"/>
  <c r="AQ21" i="2" s="1"/>
  <c r="AI19" i="2"/>
  <c r="AJ19" i="2" s="1"/>
  <c r="AK19" i="2" s="1"/>
  <c r="AL19" i="2" s="1"/>
  <c r="AM19" i="2" s="1"/>
  <c r="AN19" i="2" s="1"/>
  <c r="AO19" i="2" s="1"/>
  <c r="AP19" i="2" s="1"/>
  <c r="AQ19" i="2" s="1"/>
  <c r="AI18" i="2"/>
  <c r="AJ18" i="2" s="1"/>
  <c r="AK18" i="2" s="1"/>
  <c r="AL18" i="2" s="1"/>
  <c r="AM18" i="2" s="1"/>
  <c r="AN18" i="2" s="1"/>
  <c r="AO18" i="2" s="1"/>
  <c r="AP18" i="2" s="1"/>
  <c r="AQ18" i="2" s="1"/>
  <c r="Q44" i="2"/>
  <c r="P59" i="2"/>
  <c r="AJ3" i="2"/>
  <c r="AK3" i="2" s="1"/>
  <c r="AL3" i="2" s="1"/>
  <c r="AM3" i="2" s="1"/>
  <c r="AN3" i="2" s="1"/>
  <c r="AO3" i="2" s="1"/>
  <c r="AP3" i="2" s="1"/>
  <c r="AQ3" i="2" s="1"/>
  <c r="K50" i="2"/>
  <c r="R44" i="2" l="1"/>
  <c r="R46" i="2" s="1"/>
  <c r="R59" i="2" s="1"/>
  <c r="O59" i="2"/>
  <c r="O50" i="2"/>
  <c r="O52" i="2" s="1"/>
  <c r="O54" i="2" s="1"/>
  <c r="O55" i="2" s="1"/>
  <c r="AH50" i="2"/>
  <c r="AH52" i="2" s="1"/>
  <c r="AH54" i="2" s="1"/>
  <c r="AH55" i="2" s="1"/>
  <c r="AK49" i="2"/>
  <c r="AL47" i="2"/>
  <c r="AJ22" i="2"/>
  <c r="AI44" i="2"/>
  <c r="AI58" i="2" s="1"/>
  <c r="R58" i="2"/>
  <c r="R45" i="2"/>
  <c r="R50" i="2"/>
  <c r="R52" i="2" s="1"/>
  <c r="R53" i="2" s="1"/>
  <c r="R54" i="2" s="1"/>
  <c r="R55" i="2" s="1"/>
  <c r="AN11" i="2"/>
  <c r="AO11" i="2" s="1"/>
  <c r="Q46" i="2"/>
  <c r="Q45" i="2" s="1"/>
  <c r="AI45" i="2" s="1"/>
  <c r="Q58" i="2"/>
  <c r="P50" i="2"/>
  <c r="P52" i="2" s="1"/>
  <c r="K52" i="2"/>
  <c r="K54" i="2" s="1"/>
  <c r="K55" i="2" s="1"/>
  <c r="AM47" i="2" l="1"/>
  <c r="AL49" i="2"/>
  <c r="AI46" i="2"/>
  <c r="AK22" i="2"/>
  <c r="AJ44" i="2"/>
  <c r="Q59" i="2"/>
  <c r="Q50" i="2"/>
  <c r="Q52" i="2" s="1"/>
  <c r="AP11" i="2"/>
  <c r="AI59" i="2"/>
  <c r="AI50" i="2"/>
  <c r="AI52" i="2" s="1"/>
  <c r="AN47" i="2" l="1"/>
  <c r="AM49" i="2"/>
  <c r="AJ46" i="2"/>
  <c r="AJ50" i="2" s="1"/>
  <c r="AL22" i="2"/>
  <c r="AK44" i="2"/>
  <c r="AQ11" i="2"/>
  <c r="Q53" i="2"/>
  <c r="AI53" i="2" s="1"/>
  <c r="AI54" i="2" s="1"/>
  <c r="AI55" i="2" s="1"/>
  <c r="P54" i="2"/>
  <c r="P55" i="2" s="1"/>
  <c r="AO47" i="2" l="1"/>
  <c r="AN49" i="2"/>
  <c r="AJ45" i="2"/>
  <c r="Q54" i="2"/>
  <c r="AK46" i="2"/>
  <c r="AK50" i="2" s="1"/>
  <c r="AM22" i="2"/>
  <c r="AL44" i="2"/>
  <c r="AL46" i="2" s="1"/>
  <c r="Q55" i="2" l="1"/>
  <c r="Q61" i="2"/>
  <c r="R61" i="2" s="1"/>
  <c r="AI61" i="2" s="1"/>
  <c r="AP47" i="2"/>
  <c r="AO49" i="2"/>
  <c r="AL45" i="2"/>
  <c r="AL50" i="2"/>
  <c r="AN22" i="2"/>
  <c r="AM44" i="2"/>
  <c r="AK45" i="2"/>
  <c r="AQ47" i="2" l="1"/>
  <c r="AQ49" i="2" s="1"/>
  <c r="AP49" i="2"/>
  <c r="AM46" i="2"/>
  <c r="AM50" i="2" s="1"/>
  <c r="AO22" i="2"/>
  <c r="AN44" i="2"/>
  <c r="AN46" i="2" s="1"/>
  <c r="AM45" i="2" l="1"/>
  <c r="AP22" i="2"/>
  <c r="AO44" i="2"/>
  <c r="AN45" i="2"/>
  <c r="AN50" i="2"/>
  <c r="AO46" i="2" l="1"/>
  <c r="AO50" i="2" s="1"/>
  <c r="AQ22" i="2"/>
  <c r="AQ44" i="2" s="1"/>
  <c r="AP44" i="2"/>
  <c r="AO45" i="2" l="1"/>
  <c r="AP46" i="2"/>
  <c r="AP50" i="2" s="1"/>
  <c r="AQ46" i="2"/>
  <c r="AQ50" i="2" s="1"/>
  <c r="AP45" i="2" l="1"/>
  <c r="AQ45" i="2"/>
</calcChain>
</file>

<file path=xl/sharedStrings.xml><?xml version="1.0" encoding="utf-8"?>
<sst xmlns="http://schemas.openxmlformats.org/spreadsheetml/2006/main" count="152" uniqueCount="131">
  <si>
    <t>Price</t>
  </si>
  <si>
    <t>Shares</t>
  </si>
  <si>
    <t>MC</t>
  </si>
  <si>
    <t>Cash</t>
  </si>
  <si>
    <t>Debt</t>
  </si>
  <si>
    <t>EV</t>
  </si>
  <si>
    <t>Q116</t>
  </si>
  <si>
    <t>Main</t>
  </si>
  <si>
    <t>Vytorin</t>
  </si>
  <si>
    <t>Q114</t>
  </si>
  <si>
    <t>Q214</t>
  </si>
  <si>
    <t>Q314</t>
  </si>
  <si>
    <t>Q414</t>
  </si>
  <si>
    <t>Q115</t>
  </si>
  <si>
    <t>Q215</t>
  </si>
  <si>
    <t>Q315</t>
  </si>
  <si>
    <t>Q415</t>
  </si>
  <si>
    <t>Q316</t>
  </si>
  <si>
    <t>Q216</t>
  </si>
  <si>
    <t>Q416</t>
  </si>
  <si>
    <t>Januvia</t>
  </si>
  <si>
    <t>Janumet</t>
  </si>
  <si>
    <t>Zetia</t>
  </si>
  <si>
    <t>NuvaRing</t>
  </si>
  <si>
    <t>Implanon/Nexplanon</t>
  </si>
  <si>
    <t>Dulera</t>
  </si>
  <si>
    <t>Follistim AQ</t>
  </si>
  <si>
    <t>Zepatier</t>
  </si>
  <si>
    <t>Isentress</t>
  </si>
  <si>
    <t>Cubicin</t>
  </si>
  <si>
    <t>Noxafil</t>
  </si>
  <si>
    <t>Cancidas</t>
  </si>
  <si>
    <t>Invanz</t>
  </si>
  <si>
    <t>Bridion</t>
  </si>
  <si>
    <t>Primaxin</t>
  </si>
  <si>
    <t>Remicade</t>
  </si>
  <si>
    <t>Simponi</t>
  </si>
  <si>
    <t>Keytruda</t>
  </si>
  <si>
    <t>Emend</t>
  </si>
  <si>
    <t>Temodar</t>
  </si>
  <si>
    <t>Singulair</t>
  </si>
  <si>
    <t>Nasonex</t>
  </si>
  <si>
    <t>Cozaar</t>
  </si>
  <si>
    <t>Arcoxia</t>
  </si>
  <si>
    <t>Fosamax</t>
  </si>
  <si>
    <t>Zocor</t>
  </si>
  <si>
    <t>Gardasil</t>
  </si>
  <si>
    <t>ProQuad</t>
  </si>
  <si>
    <t>RotaTeq</t>
  </si>
  <si>
    <t>Zostavax</t>
  </si>
  <si>
    <t>Pneumovax 23</t>
  </si>
  <si>
    <t>Other</t>
  </si>
  <si>
    <t>Animal</t>
  </si>
  <si>
    <t>Alliance</t>
  </si>
  <si>
    <t>Revenue</t>
  </si>
  <si>
    <t>Brand</t>
  </si>
  <si>
    <t>Generic</t>
  </si>
  <si>
    <t>sitagliptin</t>
  </si>
  <si>
    <t>ezetimibe</t>
  </si>
  <si>
    <t>Indication</t>
  </si>
  <si>
    <t>Approval</t>
  </si>
  <si>
    <t>T2D</t>
  </si>
  <si>
    <t>Dyslipidemia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</si>
  <si>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</si>
  <si>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</si>
  <si>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</si>
  <si>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</si>
  <si>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</si>
  <si>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</si>
  <si>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</si>
  <si>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</si>
  <si>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</si>
  <si>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</si>
  <si>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</si>
  <si>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</si>
  <si>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Revenue Growth</t>
  </si>
  <si>
    <t>pembrolizumab</t>
  </si>
  <si>
    <t>Melanoma, NSCLC</t>
  </si>
  <si>
    <t>MOA</t>
  </si>
  <si>
    <t>PD-1 mab</t>
  </si>
  <si>
    <t>Clinical Trials</t>
  </si>
  <si>
    <t>n=834 "Trial 6" in ipilimumab-naïve melanoma Keytruda q3w, q2w vs ipilimumab</t>
  </si>
  <si>
    <t>HR=0.63 vs. ipilimumab for q2w and HR=0.69 for q3w.</t>
  </si>
  <si>
    <t xml:space="preserve">  70% alive for q2w vs. 67% alive for q2w vs. 60% alive for ipi.</t>
  </si>
  <si>
    <t>Trial 2</t>
  </si>
  <si>
    <t>Trial 1</t>
  </si>
  <si>
    <t>Metastatic Melanoma, NSCLC</t>
  </si>
  <si>
    <t>verubecestat</t>
  </si>
  <si>
    <t>Alzheimer's</t>
  </si>
  <si>
    <t>III</t>
  </si>
  <si>
    <t>Phase</t>
  </si>
  <si>
    <t>II</t>
  </si>
  <si>
    <t>MK-7662</t>
  </si>
  <si>
    <t>Osteoporosis</t>
  </si>
  <si>
    <t>doravirine</t>
  </si>
  <si>
    <t>HIV</t>
  </si>
  <si>
    <t>omarigliptin</t>
  </si>
  <si>
    <t>DPP4</t>
  </si>
  <si>
    <t>MK-3102</t>
  </si>
  <si>
    <t>MK-1439</t>
  </si>
  <si>
    <t>MK-8931</t>
  </si>
  <si>
    <t>odanacatib</t>
  </si>
  <si>
    <t>MK-0822</t>
  </si>
  <si>
    <t>Assets</t>
  </si>
  <si>
    <t>OA</t>
  </si>
  <si>
    <t>Goodwill</t>
  </si>
  <si>
    <t>PP&amp;E</t>
  </si>
  <si>
    <t>OCA</t>
  </si>
  <si>
    <t>Inventories</t>
  </si>
  <si>
    <t>AR</t>
  </si>
  <si>
    <t>SE</t>
  </si>
  <si>
    <t>L+SE</t>
  </si>
  <si>
    <t>ONCL</t>
  </si>
  <si>
    <t>Dividends</t>
  </si>
  <si>
    <t>AL</t>
  </si>
  <si>
    <t>AP</t>
  </si>
  <si>
    <t>Net Cash</t>
  </si>
  <si>
    <t>Q113</t>
  </si>
  <si>
    <t>Q213</t>
  </si>
  <si>
    <t>Q313</t>
  </si>
  <si>
    <t>Q413</t>
  </si>
  <si>
    <t>PegIntron</t>
  </si>
  <si>
    <t>Victrelis</t>
  </si>
  <si>
    <t>Cosopt/Trusopt</t>
  </si>
  <si>
    <t>Clarinex</t>
  </si>
  <si>
    <t>Propecia</t>
  </si>
  <si>
    <t>Remeron</t>
  </si>
  <si>
    <t>Q117</t>
  </si>
  <si>
    <t>Q217</t>
  </si>
  <si>
    <t>Q317</t>
  </si>
  <si>
    <t>Q417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</si>
</sst>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Fill="1" applyBorder="1"/>
    <xf numFmtId="0" fontId="2" fillId="0" borderId="0" xfId="0" applyFont="1"/>
    <xf numFmtId="0" fontId="3" fillId="0" borderId="0" xfId="1"/>
    <xf numFmtId="0" fontId="3" fillId="0" borderId="4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0</xdr:row>
      <xdr:rowOff>0</xdr:rowOff>
    </xdr:from>
    <xdr:to>
      <xdr:col>16</xdr:col>
      <xdr:colOff>66675</xdr:colOff>
      <xdr:row>88</xdr:row>
      <xdr:rowOff>28575</xdr:rowOff>
    </xdr:to>
    <xdr:cxnSp macro="">
      <xdr:nvCxnSpPr>
        <xdr:cNvPr id="3" name="Straight Connector 2"/>
        <xdr:cNvCxnSpPr/>
      </xdr:nvCxnSpPr>
      <xdr:spPr>
        <a:xfrm>
          <a:off x="7715250" y="0"/>
          <a:ext cx="0" cy="1314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47625</xdr:colOff>
      <xdr:row>0</xdr:row>
      <xdr:rowOff>0</xdr:rowOff>
    </xdr:from>
    <xdr:to>
      <xdr:col>34</xdr:col>
      <xdr:colOff>47625</xdr:colOff>
      <xdr:row>88</xdr:row>
      <xdr:rowOff>142875</xdr:rowOff>
    </xdr:to>
    <xdr:cxnSp macro="">
      <xdr:nvCxnSpPr>
        <xdr:cNvPr id="4" name="Straight Connector 3"/>
        <xdr:cNvCxnSpPr/>
      </xdr:nvCxnSpPr>
      <xdr:spPr>
        <a:xfrm>
          <a:off x="16230600" y="0"/>
          <a:ext cx="0" cy="13420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16</xdr:row>
      <xdr:rowOff>19051</xdr:rowOff>
    </xdr:from>
    <xdr:to>
      <xdr:col>10</xdr:col>
      <xdr:colOff>285750</xdr:colOff>
      <xdr:row>34</xdr:row>
      <xdr:rowOff>1601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609851"/>
          <a:ext cx="4848225" cy="289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/>
  </sheetViews>
  <sheetFormatPr defaultRowHeight="12.75" x14ac:dyDescent="0.2"/>
  <cols>
    <col min="2" max="2" width="11.28515625" customWidth="1"/>
    <col min="3" max="3" width="15.85546875" customWidth="1"/>
    <col min="4" max="4" width="17" bestFit="1" customWidth="1"/>
    <col min="5" max="5" width="8.7109375" customWidth="1"/>
    <col min="6" max="6" width="10.7109375" customWidth="1"/>
  </cols>
  <sheetData>
    <row r="2" spans="2:13" x14ac:dyDescent="0.2">
      <c r="B2" s="3" t="s">
        <v>55</v>
      </c>
      <c r="C2" s="4" t="s">
        <v>56</v>
      </c>
      <c r="D2" s="18" t="s">
        <v>59</v>
      </c>
      <c r="E2" s="18" t="s">
        <v>60</v>
      </c>
      <c r="F2" s="18" t="s">
        <v>78</v>
      </c>
      <c r="G2" s="18"/>
      <c r="H2" s="19"/>
      <c r="K2" t="s">
        <v>0</v>
      </c>
      <c r="L2">
        <v>62.44</v>
      </c>
      <c r="M2" s="2"/>
    </row>
    <row r="3" spans="2:13" x14ac:dyDescent="0.2">
      <c r="B3" s="5" t="s">
        <v>20</v>
      </c>
      <c r="C3" s="6" t="s">
        <v>57</v>
      </c>
      <c r="D3" s="20" t="s">
        <v>61</v>
      </c>
      <c r="E3" s="20"/>
      <c r="F3" s="20"/>
      <c r="G3" s="20"/>
      <c r="H3" s="21"/>
      <c r="K3" t="s">
        <v>1</v>
      </c>
      <c r="L3" s="1">
        <f>3577.103522-811.476036</f>
        <v>2765.6274859999999</v>
      </c>
      <c r="M3" s="2" t="s">
        <v>18</v>
      </c>
    </row>
    <row r="4" spans="2:13" x14ac:dyDescent="0.2">
      <c r="B4" s="5" t="s">
        <v>22</v>
      </c>
      <c r="C4" s="6" t="s">
        <v>58</v>
      </c>
      <c r="D4" s="20" t="s">
        <v>62</v>
      </c>
      <c r="E4" s="20"/>
      <c r="F4" s="20"/>
      <c r="G4" s="20"/>
      <c r="H4" s="21"/>
      <c r="K4" t="s">
        <v>2</v>
      </c>
      <c r="L4" s="1">
        <f>+L3*L2</f>
        <v>172685.78022583999</v>
      </c>
      <c r="M4" s="2"/>
    </row>
    <row r="5" spans="2:13" x14ac:dyDescent="0.2">
      <c r="B5" s="17" t="s">
        <v>37</v>
      </c>
      <c r="C5" s="14" t="s">
        <v>76</v>
      </c>
      <c r="D5" s="22" t="s">
        <v>77</v>
      </c>
      <c r="E5" s="20">
        <v>2014</v>
      </c>
      <c r="F5" s="22" t="s">
        <v>79</v>
      </c>
      <c r="G5" s="20"/>
      <c r="H5" s="21"/>
      <c r="K5" t="s">
        <v>3</v>
      </c>
      <c r="L5" s="1">
        <f>6608+5226+11879</f>
        <v>23713</v>
      </c>
      <c r="M5" s="2" t="s">
        <v>18</v>
      </c>
    </row>
    <row r="6" spans="2:13" x14ac:dyDescent="0.2">
      <c r="B6" s="5"/>
      <c r="C6" s="6"/>
      <c r="D6" s="20"/>
      <c r="E6" s="20"/>
      <c r="F6" s="20"/>
      <c r="G6" s="20"/>
      <c r="H6" s="21"/>
      <c r="K6" t="s">
        <v>4</v>
      </c>
      <c r="L6" s="1">
        <f>23642+644</f>
        <v>24286</v>
      </c>
      <c r="M6" s="2" t="s">
        <v>18</v>
      </c>
    </row>
    <row r="7" spans="2:13" x14ac:dyDescent="0.2">
      <c r="B7" s="5"/>
      <c r="C7" s="6"/>
      <c r="D7" s="20"/>
      <c r="E7" s="20"/>
      <c r="F7" s="20"/>
      <c r="G7" s="20"/>
      <c r="H7" s="21"/>
      <c r="K7" t="s">
        <v>5</v>
      </c>
      <c r="L7" s="1">
        <f>+L4-L5+L6</f>
        <v>173258.78022583999</v>
      </c>
    </row>
    <row r="8" spans="2:13" x14ac:dyDescent="0.2">
      <c r="B8" s="5"/>
      <c r="C8" s="6"/>
      <c r="D8" s="20"/>
      <c r="E8" s="20"/>
      <c r="F8" s="20"/>
      <c r="G8" s="20"/>
      <c r="H8" s="21"/>
    </row>
    <row r="9" spans="2:13" x14ac:dyDescent="0.2">
      <c r="B9" s="5"/>
      <c r="C9" s="6"/>
      <c r="D9" s="20"/>
      <c r="E9" s="20"/>
      <c r="F9" s="20"/>
      <c r="G9" s="20"/>
      <c r="H9" s="21"/>
    </row>
    <row r="10" spans="2:13" x14ac:dyDescent="0.2">
      <c r="B10" s="5"/>
      <c r="C10" s="6"/>
      <c r="D10" s="20"/>
      <c r="E10" s="20"/>
      <c r="F10" s="20"/>
      <c r="G10" s="20"/>
      <c r="H10" s="21"/>
    </row>
    <row r="11" spans="2:13" x14ac:dyDescent="0.2">
      <c r="B11" s="5"/>
      <c r="C11" s="6"/>
      <c r="D11" s="20"/>
      <c r="E11" s="20"/>
      <c r="F11" s="20"/>
      <c r="G11" s="20"/>
      <c r="H11" s="21"/>
    </row>
    <row r="12" spans="2:13" x14ac:dyDescent="0.2">
      <c r="B12" s="5"/>
      <c r="C12" s="6"/>
      <c r="D12" s="20"/>
      <c r="E12" s="20"/>
      <c r="F12" s="20"/>
      <c r="G12" s="20"/>
      <c r="H12" s="21"/>
    </row>
    <row r="13" spans="2:13" x14ac:dyDescent="0.2">
      <c r="B13" s="5"/>
      <c r="C13" s="6"/>
      <c r="D13" s="20"/>
      <c r="E13" s="20"/>
      <c r="F13" s="20"/>
      <c r="G13" s="20"/>
      <c r="H13" s="21"/>
    </row>
    <row r="14" spans="2:13" x14ac:dyDescent="0.2">
      <c r="B14" s="5"/>
      <c r="C14" s="6"/>
      <c r="D14" s="20"/>
      <c r="E14" s="20"/>
      <c r="F14" s="20"/>
      <c r="G14" s="20"/>
      <c r="H14" s="21"/>
    </row>
    <row r="15" spans="2:13" x14ac:dyDescent="0.2">
      <c r="B15" s="5"/>
      <c r="C15" s="6"/>
      <c r="D15" s="20"/>
      <c r="E15" s="20"/>
      <c r="F15" s="20"/>
      <c r="G15" s="20"/>
      <c r="H15" s="21"/>
    </row>
    <row r="16" spans="2:13" x14ac:dyDescent="0.2">
      <c r="B16" s="5"/>
      <c r="C16" s="6"/>
      <c r="D16" s="20"/>
      <c r="E16" s="20"/>
      <c r="F16" s="20"/>
      <c r="G16" s="20"/>
      <c r="H16" s="21"/>
    </row>
    <row r="17" spans="2:8" x14ac:dyDescent="0.2">
      <c r="B17" s="3"/>
      <c r="C17" s="4"/>
      <c r="D17" s="18"/>
      <c r="E17" s="18" t="s">
        <v>90</v>
      </c>
      <c r="F17" s="18"/>
      <c r="G17" s="18"/>
      <c r="H17" s="19"/>
    </row>
    <row r="18" spans="2:8" x14ac:dyDescent="0.2">
      <c r="B18" s="5" t="s">
        <v>100</v>
      </c>
      <c r="C18" s="6" t="s">
        <v>87</v>
      </c>
      <c r="D18" s="20" t="s">
        <v>88</v>
      </c>
      <c r="E18" s="20" t="s">
        <v>89</v>
      </c>
      <c r="F18" s="20"/>
      <c r="G18" s="20"/>
      <c r="H18" s="21"/>
    </row>
    <row r="19" spans="2:8" x14ac:dyDescent="0.2">
      <c r="B19" s="5" t="s">
        <v>102</v>
      </c>
      <c r="C19" s="6" t="s">
        <v>101</v>
      </c>
      <c r="D19" s="20" t="s">
        <v>93</v>
      </c>
      <c r="E19" s="20" t="s">
        <v>89</v>
      </c>
      <c r="F19" s="20"/>
      <c r="G19" s="20"/>
      <c r="H19" s="21"/>
    </row>
    <row r="20" spans="2:8" x14ac:dyDescent="0.2">
      <c r="B20" s="5" t="s">
        <v>99</v>
      </c>
      <c r="C20" s="6" t="s">
        <v>94</v>
      </c>
      <c r="D20" s="20" t="s">
        <v>95</v>
      </c>
      <c r="E20" s="20" t="s">
        <v>89</v>
      </c>
      <c r="F20" s="20"/>
      <c r="G20" s="20"/>
      <c r="H20" s="21"/>
    </row>
    <row r="21" spans="2:8" x14ac:dyDescent="0.2">
      <c r="B21" s="5" t="s">
        <v>98</v>
      </c>
      <c r="C21" s="14" t="s">
        <v>96</v>
      </c>
      <c r="D21" s="20" t="s">
        <v>61</v>
      </c>
      <c r="E21" s="20" t="s">
        <v>89</v>
      </c>
      <c r="F21" s="20" t="s">
        <v>97</v>
      </c>
      <c r="G21" s="20"/>
      <c r="H21" s="21"/>
    </row>
    <row r="22" spans="2:8" x14ac:dyDescent="0.2">
      <c r="B22" s="5" t="s">
        <v>92</v>
      </c>
      <c r="C22" s="6"/>
      <c r="D22" s="20" t="s">
        <v>88</v>
      </c>
      <c r="E22" s="20" t="s">
        <v>91</v>
      </c>
      <c r="F22" s="20"/>
      <c r="G22" s="20"/>
      <c r="H22" s="21"/>
    </row>
    <row r="23" spans="2:8" x14ac:dyDescent="0.2">
      <c r="B23" s="5"/>
      <c r="C23" s="6"/>
      <c r="D23" s="20"/>
      <c r="E23" s="20"/>
      <c r="F23" s="20"/>
      <c r="G23" s="20"/>
      <c r="H23" s="21"/>
    </row>
    <row r="24" spans="2:8" x14ac:dyDescent="0.2">
      <c r="B24" s="5"/>
      <c r="C24" s="6"/>
      <c r="D24" s="20"/>
      <c r="E24" s="20"/>
      <c r="F24" s="20"/>
      <c r="G24" s="20"/>
      <c r="H24" s="21"/>
    </row>
    <row r="25" spans="2:8" x14ac:dyDescent="0.2">
      <c r="B25" s="5"/>
      <c r="C25" s="6"/>
      <c r="D25" s="20"/>
      <c r="E25" s="20"/>
      <c r="F25" s="20"/>
      <c r="G25" s="20"/>
      <c r="H25" s="21"/>
    </row>
    <row r="26" spans="2:8" x14ac:dyDescent="0.2">
      <c r="B26" s="5"/>
      <c r="C26" s="6"/>
      <c r="D26" s="20"/>
      <c r="E26" s="20"/>
      <c r="F26" s="20"/>
      <c r="G26" s="20"/>
      <c r="H26" s="21"/>
    </row>
    <row r="27" spans="2:8" x14ac:dyDescent="0.2">
      <c r="B27" s="5"/>
      <c r="C27" s="6"/>
      <c r="D27" s="20"/>
      <c r="E27" s="20"/>
      <c r="F27" s="20"/>
      <c r="G27" s="20"/>
      <c r="H27" s="21"/>
    </row>
    <row r="28" spans="2:8" x14ac:dyDescent="0.2">
      <c r="B28" s="5"/>
      <c r="C28" s="6"/>
      <c r="D28" s="20"/>
      <c r="E28" s="20"/>
      <c r="F28" s="20"/>
      <c r="G28" s="20"/>
      <c r="H28" s="21"/>
    </row>
    <row r="29" spans="2:8" x14ac:dyDescent="0.2">
      <c r="B29" s="7"/>
      <c r="C29" s="8"/>
      <c r="D29" s="23"/>
      <c r="E29" s="23"/>
      <c r="F29" s="23"/>
      <c r="G29" s="23"/>
      <c r="H29" s="24"/>
    </row>
  </sheetData>
  <hyperlinks>
    <hyperlink ref="B5" location="Keytruda!A1" display="Keytruda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8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5" bestFit="1" customWidth="1"/>
    <col min="2" max="2" width="18" bestFit="1" customWidth="1"/>
    <col min="3" max="14" width="9.140625" style="2"/>
    <col min="15" max="15" width="9.42578125" style="2" customWidth="1"/>
    <col min="16" max="68" width="9.140625" style="2"/>
  </cols>
  <sheetData>
    <row r="1" spans="1:68" x14ac:dyDescent="0.2">
      <c r="A1" s="16" t="s">
        <v>7</v>
      </c>
    </row>
    <row r="2" spans="1:68" x14ac:dyDescent="0.2">
      <c r="C2" s="2" t="s">
        <v>117</v>
      </c>
      <c r="D2" s="2" t="s">
        <v>118</v>
      </c>
      <c r="E2" s="2" t="s">
        <v>119</v>
      </c>
      <c r="F2" s="2" t="s">
        <v>120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18</v>
      </c>
      <c r="Q2" s="2" t="s">
        <v>17</v>
      </c>
      <c r="R2" s="2" t="s">
        <v>19</v>
      </c>
      <c r="S2" s="2" t="s">
        <v>127</v>
      </c>
      <c r="T2" s="2" t="s">
        <v>128</v>
      </c>
      <c r="U2" s="2" t="s">
        <v>129</v>
      </c>
      <c r="V2" s="2" t="s">
        <v>130</v>
      </c>
      <c r="X2" s="2">
        <v>2005</v>
      </c>
      <c r="Y2" s="2">
        <f>+X2+1</f>
        <v>2006</v>
      </c>
      <c r="Z2" s="2">
        <f t="shared" ref="Z2:BM2" si="0">+Y2+1</f>
        <v>2007</v>
      </c>
      <c r="AA2" s="2">
        <f t="shared" si="0"/>
        <v>2008</v>
      </c>
      <c r="AB2" s="2">
        <f t="shared" si="0"/>
        <v>2009</v>
      </c>
      <c r="AC2" s="2">
        <f t="shared" si="0"/>
        <v>2010</v>
      </c>
      <c r="AD2" s="2">
        <f t="shared" si="0"/>
        <v>2011</v>
      </c>
      <c r="AE2" s="2">
        <f t="shared" si="0"/>
        <v>2012</v>
      </c>
      <c r="AF2" s="2">
        <f t="shared" si="0"/>
        <v>2013</v>
      </c>
      <c r="AG2" s="2">
        <f t="shared" si="0"/>
        <v>2014</v>
      </c>
      <c r="AH2" s="2">
        <f t="shared" si="0"/>
        <v>2015</v>
      </c>
      <c r="AI2" s="2">
        <f t="shared" si="0"/>
        <v>2016</v>
      </c>
      <c r="AJ2" s="2">
        <f t="shared" si="0"/>
        <v>2017</v>
      </c>
      <c r="AK2" s="2">
        <f t="shared" si="0"/>
        <v>2018</v>
      </c>
      <c r="AL2" s="2">
        <f t="shared" si="0"/>
        <v>2019</v>
      </c>
      <c r="AM2" s="2">
        <f t="shared" si="0"/>
        <v>2020</v>
      </c>
      <c r="AN2" s="2">
        <f t="shared" si="0"/>
        <v>2021</v>
      </c>
      <c r="AO2" s="2">
        <f t="shared" si="0"/>
        <v>2022</v>
      </c>
      <c r="AP2" s="2">
        <f t="shared" si="0"/>
        <v>2023</v>
      </c>
      <c r="AQ2" s="2">
        <f t="shared" si="0"/>
        <v>2024</v>
      </c>
      <c r="AR2" s="2">
        <f t="shared" si="0"/>
        <v>2025</v>
      </c>
      <c r="AS2" s="2">
        <f t="shared" si="0"/>
        <v>2026</v>
      </c>
      <c r="AT2" s="2">
        <f t="shared" si="0"/>
        <v>2027</v>
      </c>
      <c r="AU2" s="2">
        <f t="shared" si="0"/>
        <v>2028</v>
      </c>
      <c r="AV2" s="2">
        <f t="shared" si="0"/>
        <v>2029</v>
      </c>
      <c r="AW2" s="2">
        <f t="shared" si="0"/>
        <v>2030</v>
      </c>
      <c r="AX2" s="2">
        <f t="shared" si="0"/>
        <v>2031</v>
      </c>
      <c r="AY2" s="2">
        <f t="shared" si="0"/>
        <v>2032</v>
      </c>
      <c r="AZ2" s="2">
        <f t="shared" si="0"/>
        <v>2033</v>
      </c>
      <c r="BA2" s="2">
        <f t="shared" si="0"/>
        <v>2034</v>
      </c>
      <c r="BB2" s="2">
        <f t="shared" si="0"/>
        <v>2035</v>
      </c>
      <c r="BC2" s="2">
        <f t="shared" si="0"/>
        <v>2036</v>
      </c>
      <c r="BD2" s="2">
        <f t="shared" si="0"/>
        <v>2037</v>
      </c>
      <c r="BE2" s="2">
        <f t="shared" si="0"/>
        <v>2038</v>
      </c>
      <c r="BF2" s="2">
        <f t="shared" si="0"/>
        <v>2039</v>
      </c>
      <c r="BG2" s="2">
        <f t="shared" si="0"/>
        <v>2040</v>
      </c>
      <c r="BH2" s="2">
        <f t="shared" si="0"/>
        <v>2041</v>
      </c>
      <c r="BI2" s="2">
        <f t="shared" si="0"/>
        <v>2042</v>
      </c>
      <c r="BJ2" s="2">
        <f t="shared" si="0"/>
        <v>2043</v>
      </c>
      <c r="BK2" s="2">
        <f t="shared" si="0"/>
        <v>2044</v>
      </c>
      <c r="BL2" s="2">
        <f t="shared" si="0"/>
        <v>2045</v>
      </c>
      <c r="BM2" s="2">
        <f t="shared" si="0"/>
        <v>2046</v>
      </c>
    </row>
    <row r="3" spans="1:68" s="1" customFormat="1" x14ac:dyDescent="0.2">
      <c r="B3" s="1" t="s">
        <v>20</v>
      </c>
      <c r="C3" s="9">
        <v>884</v>
      </c>
      <c r="D3" s="9">
        <v>1072</v>
      </c>
      <c r="E3" s="9">
        <v>927</v>
      </c>
      <c r="F3" s="9">
        <v>1121</v>
      </c>
      <c r="G3" s="9">
        <v>858</v>
      </c>
      <c r="H3" s="9">
        <v>1058</v>
      </c>
      <c r="I3" s="9">
        <v>933</v>
      </c>
      <c r="J3" s="9">
        <v>1082</v>
      </c>
      <c r="K3" s="9">
        <v>884</v>
      </c>
      <c r="L3" s="9">
        <v>1044</v>
      </c>
      <c r="M3" s="9">
        <v>1014</v>
      </c>
      <c r="N3" s="9">
        <v>921</v>
      </c>
      <c r="O3" s="9">
        <v>906</v>
      </c>
      <c r="P3" s="9">
        <v>1064</v>
      </c>
      <c r="Q3" s="9">
        <f t="shared" ref="Q3:Q4" si="1">+M3*0.95</f>
        <v>963.3</v>
      </c>
      <c r="R3" s="9">
        <f t="shared" ref="R3:R4" si="2">+N3*0.95</f>
        <v>874.94999999999993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>
        <f>SUM(K3:N3)</f>
        <v>3863</v>
      </c>
      <c r="AI3" s="9">
        <f>SUM(O3:R3)</f>
        <v>3808.25</v>
      </c>
      <c r="AJ3" s="9">
        <f>+AI3*0.95</f>
        <v>3617.8374999999996</v>
      </c>
      <c r="AK3" s="9">
        <f t="shared" ref="AK3:AN3" si="3">+AJ3*0.95</f>
        <v>3436.9456249999994</v>
      </c>
      <c r="AL3" s="9">
        <f t="shared" si="3"/>
        <v>3265.0983437499995</v>
      </c>
      <c r="AM3" s="9">
        <f t="shared" si="3"/>
        <v>3101.8434265624992</v>
      </c>
      <c r="AN3" s="9">
        <f t="shared" si="3"/>
        <v>2946.7512552343742</v>
      </c>
      <c r="AO3" s="9">
        <f t="shared" ref="AO3:AP3" si="4">+AN3*0.95</f>
        <v>2799.4136924726554</v>
      </c>
      <c r="AP3" s="9">
        <f t="shared" si="4"/>
        <v>2659.4430078490227</v>
      </c>
      <c r="AQ3" s="9">
        <f>+AP3*0.1</f>
        <v>265.94430078490228</v>
      </c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s="1" customFormat="1" x14ac:dyDescent="0.2">
      <c r="B4" s="1" t="s">
        <v>21</v>
      </c>
      <c r="C4" s="9">
        <v>409</v>
      </c>
      <c r="D4" s="9">
        <v>474</v>
      </c>
      <c r="E4" s="9">
        <v>442</v>
      </c>
      <c r="F4" s="9">
        <v>503</v>
      </c>
      <c r="G4" s="9">
        <v>476</v>
      </c>
      <c r="H4" s="9">
        <v>519</v>
      </c>
      <c r="I4" s="9">
        <v>505</v>
      </c>
      <c r="J4" s="9">
        <v>570</v>
      </c>
      <c r="K4" s="9">
        <v>509</v>
      </c>
      <c r="L4" s="9">
        <v>554</v>
      </c>
      <c r="M4" s="9">
        <v>562</v>
      </c>
      <c r="N4" s="9">
        <v>526</v>
      </c>
      <c r="O4" s="9">
        <v>506</v>
      </c>
      <c r="P4" s="9">
        <v>569</v>
      </c>
      <c r="Q4" s="9">
        <f t="shared" si="1"/>
        <v>533.9</v>
      </c>
      <c r="R4" s="9">
        <f t="shared" si="2"/>
        <v>499.7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>
        <f t="shared" ref="AH4:AH43" si="5">SUM(K4:N4)</f>
        <v>2151</v>
      </c>
      <c r="AI4" s="9">
        <f t="shared" ref="AI4:AI43" si="6">SUM(O4:R4)</f>
        <v>2108.6</v>
      </c>
      <c r="AJ4" s="9">
        <f t="shared" ref="AJ4:AN6" si="7">+AI4*0.95</f>
        <v>2003.1699999999998</v>
      </c>
      <c r="AK4" s="9">
        <f t="shared" si="7"/>
        <v>1903.0114999999998</v>
      </c>
      <c r="AL4" s="9">
        <f t="shared" si="7"/>
        <v>1807.8609249999997</v>
      </c>
      <c r="AM4" s="9">
        <f t="shared" si="7"/>
        <v>1717.4678787499997</v>
      </c>
      <c r="AN4" s="9">
        <f t="shared" si="7"/>
        <v>1631.5944848124996</v>
      </c>
      <c r="AO4" s="9">
        <f t="shared" ref="AO4:AP4" si="8">+AN4*0.95</f>
        <v>1550.0147605718746</v>
      </c>
      <c r="AP4" s="9">
        <f t="shared" si="8"/>
        <v>1472.5140225432808</v>
      </c>
      <c r="AQ4" s="9">
        <f t="shared" ref="AQ4:AQ6" si="9">+AP4*0.1</f>
        <v>147.2514022543281</v>
      </c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</row>
    <row r="5" spans="1:68" s="1" customFormat="1" x14ac:dyDescent="0.2">
      <c r="B5" s="1" t="s">
        <v>8</v>
      </c>
      <c r="C5" s="9">
        <v>394</v>
      </c>
      <c r="D5" s="9">
        <v>417</v>
      </c>
      <c r="E5" s="9">
        <v>396</v>
      </c>
      <c r="F5" s="9">
        <v>436</v>
      </c>
      <c r="G5" s="9">
        <v>361</v>
      </c>
      <c r="H5" s="9">
        <v>417</v>
      </c>
      <c r="I5" s="9">
        <v>369</v>
      </c>
      <c r="J5" s="9">
        <v>370</v>
      </c>
      <c r="K5" s="9">
        <v>320</v>
      </c>
      <c r="L5" s="9">
        <v>320</v>
      </c>
      <c r="M5" s="9">
        <v>302</v>
      </c>
      <c r="N5" s="9">
        <v>308</v>
      </c>
      <c r="O5" s="9">
        <v>277</v>
      </c>
      <c r="P5" s="9">
        <v>293</v>
      </c>
      <c r="Q5" s="9">
        <f t="shared" ref="Q5:R5" si="10">+M5</f>
        <v>302</v>
      </c>
      <c r="R5" s="9">
        <f t="shared" si="10"/>
        <v>308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>
        <f t="shared" si="5"/>
        <v>1250</v>
      </c>
      <c r="AI5" s="9">
        <f t="shared" si="6"/>
        <v>1180</v>
      </c>
      <c r="AJ5" s="9">
        <f t="shared" si="7"/>
        <v>1121</v>
      </c>
      <c r="AK5" s="9">
        <f t="shared" si="7"/>
        <v>1064.95</v>
      </c>
      <c r="AL5" s="9">
        <f t="shared" si="7"/>
        <v>1011.7025</v>
      </c>
      <c r="AM5" s="9">
        <f t="shared" si="7"/>
        <v>961.11737499999992</v>
      </c>
      <c r="AN5" s="9">
        <f t="shared" si="7"/>
        <v>913.06150624999987</v>
      </c>
      <c r="AO5" s="9">
        <f t="shared" ref="AO5:AP5" si="11">+AN5*0.95</f>
        <v>867.40843093749982</v>
      </c>
      <c r="AP5" s="9">
        <f t="shared" si="11"/>
        <v>824.03800939062478</v>
      </c>
      <c r="AQ5" s="9">
        <f t="shared" si="9"/>
        <v>82.403800939062478</v>
      </c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s="1" customFormat="1" x14ac:dyDescent="0.2">
      <c r="B6" s="1" t="s">
        <v>22</v>
      </c>
      <c r="C6" s="9">
        <v>629</v>
      </c>
      <c r="D6" s="9">
        <v>650</v>
      </c>
      <c r="E6" s="9">
        <v>662</v>
      </c>
      <c r="F6" s="9">
        <v>716</v>
      </c>
      <c r="G6" s="9">
        <v>611</v>
      </c>
      <c r="H6" s="9">
        <v>717</v>
      </c>
      <c r="I6" s="9">
        <v>660</v>
      </c>
      <c r="J6" s="9">
        <v>662</v>
      </c>
      <c r="K6" s="9">
        <v>568</v>
      </c>
      <c r="L6" s="9">
        <v>635</v>
      </c>
      <c r="M6" s="9">
        <v>633</v>
      </c>
      <c r="N6" s="9">
        <v>691</v>
      </c>
      <c r="O6" s="9">
        <v>612</v>
      </c>
      <c r="P6" s="9">
        <v>702</v>
      </c>
      <c r="Q6" s="9">
        <f t="shared" ref="Q6" si="12">+M6*1.05</f>
        <v>664.65</v>
      </c>
      <c r="R6" s="9">
        <f t="shared" ref="R6" si="13">+N6*1.05</f>
        <v>725.55000000000007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>
        <f t="shared" si="5"/>
        <v>2527</v>
      </c>
      <c r="AI6" s="9">
        <f t="shared" si="6"/>
        <v>2704.2000000000003</v>
      </c>
      <c r="AJ6" s="9">
        <f t="shared" si="7"/>
        <v>2568.9900000000002</v>
      </c>
      <c r="AK6" s="9">
        <f t="shared" si="7"/>
        <v>2440.5405000000001</v>
      </c>
      <c r="AL6" s="9">
        <f t="shared" si="7"/>
        <v>2318.5134749999997</v>
      </c>
      <c r="AM6" s="9">
        <f t="shared" si="7"/>
        <v>2202.5878012499998</v>
      </c>
      <c r="AN6" s="9">
        <f t="shared" si="7"/>
        <v>2092.4584111874997</v>
      </c>
      <c r="AO6" s="9">
        <f t="shared" ref="AO6:AP6" si="14">+AN6*0.95</f>
        <v>1987.8354906281245</v>
      </c>
      <c r="AP6" s="9">
        <f t="shared" si="14"/>
        <v>1888.4437160967182</v>
      </c>
      <c r="AQ6" s="9">
        <f t="shared" si="9"/>
        <v>188.84437160967184</v>
      </c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spans="1:68" s="1" customFormat="1" x14ac:dyDescent="0.2">
      <c r="B7" s="1" t="s">
        <v>23</v>
      </c>
      <c r="C7" s="9">
        <v>151</v>
      </c>
      <c r="D7" s="9">
        <v>171</v>
      </c>
      <c r="E7" s="9">
        <v>170</v>
      </c>
      <c r="F7" s="9">
        <v>193</v>
      </c>
      <c r="G7" s="9">
        <v>168</v>
      </c>
      <c r="H7" s="9">
        <v>178</v>
      </c>
      <c r="I7" s="9">
        <v>186</v>
      </c>
      <c r="J7" s="9">
        <v>191</v>
      </c>
      <c r="K7" s="9">
        <v>166</v>
      </c>
      <c r="L7" s="9">
        <v>182</v>
      </c>
      <c r="M7" s="9">
        <v>190</v>
      </c>
      <c r="N7" s="9">
        <v>193</v>
      </c>
      <c r="O7" s="9">
        <v>175</v>
      </c>
      <c r="P7" s="9">
        <v>200</v>
      </c>
      <c r="Q7" s="9">
        <f t="shared" ref="Q7:R7" si="15">+M7*1.05</f>
        <v>199.5</v>
      </c>
      <c r="R7" s="9">
        <f t="shared" si="15"/>
        <v>202.65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>
        <f t="shared" si="5"/>
        <v>731</v>
      </c>
      <c r="AI7" s="9">
        <f t="shared" si="6"/>
        <v>777.15</v>
      </c>
      <c r="AJ7" s="9">
        <f t="shared" ref="AJ7:AQ7" si="16">+AI7*0.9</f>
        <v>699.43499999999995</v>
      </c>
      <c r="AK7" s="9">
        <f t="shared" si="16"/>
        <v>629.49149999999997</v>
      </c>
      <c r="AL7" s="9">
        <f t="shared" si="16"/>
        <v>566.54234999999994</v>
      </c>
      <c r="AM7" s="9">
        <f t="shared" si="16"/>
        <v>509.88811499999997</v>
      </c>
      <c r="AN7" s="9">
        <f t="shared" si="16"/>
        <v>458.89930349999997</v>
      </c>
      <c r="AO7" s="9">
        <f t="shared" si="16"/>
        <v>413.00937314999999</v>
      </c>
      <c r="AP7" s="9">
        <f t="shared" si="16"/>
        <v>371.70843583499999</v>
      </c>
      <c r="AQ7" s="9">
        <f t="shared" si="16"/>
        <v>334.53759225149997</v>
      </c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</row>
    <row r="8" spans="1:68" s="1" customFormat="1" x14ac:dyDescent="0.2">
      <c r="B8" s="1" t="s">
        <v>24</v>
      </c>
      <c r="C8" s="9">
        <v>84</v>
      </c>
      <c r="D8" s="9">
        <v>102</v>
      </c>
      <c r="E8" s="9">
        <v>96</v>
      </c>
      <c r="F8" s="9">
        <v>120</v>
      </c>
      <c r="G8" s="9">
        <v>102</v>
      </c>
      <c r="H8" s="9">
        <v>119</v>
      </c>
      <c r="I8" s="9">
        <v>158</v>
      </c>
      <c r="J8" s="9">
        <v>123</v>
      </c>
      <c r="K8" s="9">
        <v>137</v>
      </c>
      <c r="L8" s="9">
        <v>124</v>
      </c>
      <c r="M8" s="9">
        <v>176</v>
      </c>
      <c r="N8" s="9">
        <v>151</v>
      </c>
      <c r="O8" s="9">
        <v>134</v>
      </c>
      <c r="P8" s="9">
        <v>164</v>
      </c>
      <c r="Q8" s="9">
        <f t="shared" ref="Q8:Q10" si="17">+M8</f>
        <v>176</v>
      </c>
      <c r="R8" s="9">
        <f t="shared" ref="R8:R10" si="18">+N8</f>
        <v>151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>
        <f t="shared" si="5"/>
        <v>588</v>
      </c>
      <c r="AI8" s="9">
        <f t="shared" si="6"/>
        <v>625</v>
      </c>
      <c r="AJ8" s="9">
        <f t="shared" ref="AJ8:AQ8" si="19">+AI8*0.9</f>
        <v>562.5</v>
      </c>
      <c r="AK8" s="9">
        <f t="shared" si="19"/>
        <v>506.25</v>
      </c>
      <c r="AL8" s="9">
        <f t="shared" si="19"/>
        <v>455.625</v>
      </c>
      <c r="AM8" s="9">
        <f t="shared" si="19"/>
        <v>410.0625</v>
      </c>
      <c r="AN8" s="9">
        <f t="shared" si="19"/>
        <v>369.05625000000003</v>
      </c>
      <c r="AO8" s="9">
        <f t="shared" si="19"/>
        <v>332.15062500000005</v>
      </c>
      <c r="AP8" s="9">
        <f t="shared" si="19"/>
        <v>298.93556250000006</v>
      </c>
      <c r="AQ8" s="9">
        <f t="shared" si="19"/>
        <v>269.04200625000004</v>
      </c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</row>
    <row r="9" spans="1:68" s="1" customFormat="1" x14ac:dyDescent="0.2">
      <c r="B9" s="1" t="s">
        <v>25</v>
      </c>
      <c r="C9" s="9">
        <v>68</v>
      </c>
      <c r="D9" s="9">
        <v>79</v>
      </c>
      <c r="E9" s="9">
        <v>82</v>
      </c>
      <c r="F9" s="9">
        <v>95</v>
      </c>
      <c r="G9" s="9">
        <v>102</v>
      </c>
      <c r="H9" s="9">
        <v>103</v>
      </c>
      <c r="I9" s="9">
        <v>124</v>
      </c>
      <c r="J9" s="9">
        <v>132</v>
      </c>
      <c r="K9" s="9">
        <v>130</v>
      </c>
      <c r="L9" s="9">
        <v>120</v>
      </c>
      <c r="M9" s="9">
        <v>133</v>
      </c>
      <c r="N9" s="9">
        <v>153</v>
      </c>
      <c r="O9" s="9">
        <v>113</v>
      </c>
      <c r="P9" s="9">
        <v>121</v>
      </c>
      <c r="Q9" s="9">
        <f t="shared" si="17"/>
        <v>133</v>
      </c>
      <c r="R9" s="9">
        <f t="shared" si="18"/>
        <v>153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>
        <f t="shared" si="5"/>
        <v>536</v>
      </c>
      <c r="AI9" s="9">
        <f t="shared" si="6"/>
        <v>520</v>
      </c>
      <c r="AJ9" s="9">
        <f t="shared" ref="AJ9:AQ9" si="20">+AI9*0.9</f>
        <v>468</v>
      </c>
      <c r="AK9" s="9">
        <f t="shared" si="20"/>
        <v>421.2</v>
      </c>
      <c r="AL9" s="9">
        <f t="shared" si="20"/>
        <v>379.08</v>
      </c>
      <c r="AM9" s="9">
        <f t="shared" si="20"/>
        <v>341.17199999999997</v>
      </c>
      <c r="AN9" s="9">
        <f t="shared" si="20"/>
        <v>307.0548</v>
      </c>
      <c r="AO9" s="9">
        <f t="shared" si="20"/>
        <v>276.34932000000003</v>
      </c>
      <c r="AP9" s="9">
        <f t="shared" si="20"/>
        <v>248.71438800000004</v>
      </c>
      <c r="AQ9" s="9">
        <f t="shared" si="20"/>
        <v>223.84294920000005</v>
      </c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</row>
    <row r="10" spans="1:68" s="1" customFormat="1" x14ac:dyDescent="0.2">
      <c r="B10" s="1" t="s">
        <v>26</v>
      </c>
      <c r="C10" s="9">
        <v>122</v>
      </c>
      <c r="D10" s="9">
        <v>134</v>
      </c>
      <c r="E10" s="9">
        <v>124</v>
      </c>
      <c r="F10" s="9">
        <v>101</v>
      </c>
      <c r="G10" s="9">
        <v>110</v>
      </c>
      <c r="H10" s="9">
        <v>102</v>
      </c>
      <c r="I10" s="9">
        <v>97</v>
      </c>
      <c r="J10" s="9">
        <v>102</v>
      </c>
      <c r="K10" s="9">
        <v>82</v>
      </c>
      <c r="L10" s="9">
        <v>111</v>
      </c>
      <c r="M10" s="9">
        <v>95</v>
      </c>
      <c r="N10" s="9">
        <v>95</v>
      </c>
      <c r="O10" s="9">
        <v>94</v>
      </c>
      <c r="P10" s="9">
        <v>73</v>
      </c>
      <c r="Q10" s="9">
        <f t="shared" si="17"/>
        <v>95</v>
      </c>
      <c r="R10" s="9">
        <f t="shared" si="18"/>
        <v>95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>
        <f t="shared" si="5"/>
        <v>383</v>
      </c>
      <c r="AI10" s="9">
        <f t="shared" si="6"/>
        <v>357</v>
      </c>
      <c r="AJ10" s="9">
        <f t="shared" ref="AJ10:AQ10" si="21">+AI10*0.9</f>
        <v>321.3</v>
      </c>
      <c r="AK10" s="9">
        <f t="shared" si="21"/>
        <v>289.17</v>
      </c>
      <c r="AL10" s="9">
        <f t="shared" si="21"/>
        <v>260.25300000000004</v>
      </c>
      <c r="AM10" s="9">
        <f t="shared" si="21"/>
        <v>234.22770000000006</v>
      </c>
      <c r="AN10" s="9">
        <f t="shared" si="21"/>
        <v>210.80493000000004</v>
      </c>
      <c r="AO10" s="9">
        <f t="shared" si="21"/>
        <v>189.72443700000005</v>
      </c>
      <c r="AP10" s="9">
        <f t="shared" si="21"/>
        <v>170.75199330000004</v>
      </c>
      <c r="AQ10" s="9">
        <f t="shared" si="21"/>
        <v>153.67679397000003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</row>
    <row r="11" spans="1:68" s="1" customFormat="1" x14ac:dyDescent="0.2">
      <c r="B11" s="1" t="s">
        <v>27</v>
      </c>
      <c r="C11" s="9"/>
      <c r="D11" s="9"/>
      <c r="E11" s="9"/>
      <c r="F11" s="9"/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50</v>
      </c>
      <c r="P11" s="9">
        <v>112</v>
      </c>
      <c r="Q11" s="9">
        <f t="shared" ref="Q11:R11" si="22">+P11+50</f>
        <v>162</v>
      </c>
      <c r="R11" s="9">
        <f t="shared" si="22"/>
        <v>212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>
        <f t="shared" si="5"/>
        <v>0</v>
      </c>
      <c r="AI11" s="9">
        <f t="shared" si="6"/>
        <v>536</v>
      </c>
      <c r="AJ11" s="9">
        <f>+AI11*1.3</f>
        <v>696.80000000000007</v>
      </c>
      <c r="AK11" s="9">
        <f>+AJ11*1.3</f>
        <v>905.84000000000015</v>
      </c>
      <c r="AL11" s="9">
        <f>+AK11*1.3</f>
        <v>1177.5920000000003</v>
      </c>
      <c r="AM11" s="9">
        <f t="shared" ref="AM11:AQ11" si="23">+AL11*0.9</f>
        <v>1059.8328000000004</v>
      </c>
      <c r="AN11" s="9">
        <f t="shared" si="23"/>
        <v>953.84952000000033</v>
      </c>
      <c r="AO11" s="9">
        <f t="shared" si="23"/>
        <v>858.46456800000033</v>
      </c>
      <c r="AP11" s="9">
        <f t="shared" si="23"/>
        <v>772.61811120000027</v>
      </c>
      <c r="AQ11" s="9">
        <f t="shared" si="23"/>
        <v>695.35630008000021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1:68" s="1" customFormat="1" x14ac:dyDescent="0.2">
      <c r="B12" s="1" t="s">
        <v>121</v>
      </c>
      <c r="C12" s="9">
        <v>126</v>
      </c>
      <c r="D12" s="9">
        <v>142</v>
      </c>
      <c r="E12" s="9">
        <v>104</v>
      </c>
      <c r="F12" s="9">
        <v>124</v>
      </c>
      <c r="G12" s="9">
        <v>112</v>
      </c>
      <c r="H12" s="9">
        <v>103</v>
      </c>
      <c r="I12" s="9">
        <v>84</v>
      </c>
      <c r="J12" s="9">
        <v>81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</row>
    <row r="13" spans="1:68" s="1" customFormat="1" x14ac:dyDescent="0.2">
      <c r="B13" s="1" t="s">
        <v>122</v>
      </c>
      <c r="C13" s="9">
        <v>110</v>
      </c>
      <c r="D13" s="9">
        <v>116</v>
      </c>
      <c r="E13" s="9">
        <v>121</v>
      </c>
      <c r="F13" s="9">
        <v>81</v>
      </c>
      <c r="G13" s="9">
        <v>59</v>
      </c>
      <c r="H13" s="9">
        <v>46</v>
      </c>
      <c r="I13" s="9">
        <v>27</v>
      </c>
      <c r="J13" s="9">
        <v>21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spans="1:68" s="1" customFormat="1" x14ac:dyDescent="0.2">
      <c r="B14" s="1" t="s">
        <v>28</v>
      </c>
      <c r="C14" s="9">
        <v>362</v>
      </c>
      <c r="D14" s="9">
        <v>412</v>
      </c>
      <c r="E14" s="9">
        <v>427</v>
      </c>
      <c r="F14" s="9">
        <v>442</v>
      </c>
      <c r="G14" s="9">
        <v>390</v>
      </c>
      <c r="H14" s="9">
        <v>453</v>
      </c>
      <c r="I14" s="9">
        <v>412</v>
      </c>
      <c r="J14" s="9">
        <v>418</v>
      </c>
      <c r="K14" s="9">
        <v>385</v>
      </c>
      <c r="L14" s="9">
        <v>375</v>
      </c>
      <c r="M14" s="9">
        <v>377</v>
      </c>
      <c r="N14" s="9">
        <v>374</v>
      </c>
      <c r="O14" s="9">
        <v>340</v>
      </c>
      <c r="P14" s="9">
        <v>338</v>
      </c>
      <c r="Q14" s="9">
        <f t="shared" ref="Q14:R14" si="24">+M14</f>
        <v>377</v>
      </c>
      <c r="R14" s="9">
        <f t="shared" si="24"/>
        <v>374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>
        <f t="shared" si="5"/>
        <v>1511</v>
      </c>
      <c r="AI14" s="9">
        <f t="shared" si="6"/>
        <v>1429</v>
      </c>
      <c r="AJ14" s="9">
        <f>+AI14*0.95</f>
        <v>1357.55</v>
      </c>
      <c r="AK14" s="9">
        <f t="shared" ref="AK14:AO14" si="25">+AJ14*0.95</f>
        <v>1289.6724999999999</v>
      </c>
      <c r="AL14" s="9">
        <f t="shared" si="25"/>
        <v>1225.1888749999998</v>
      </c>
      <c r="AM14" s="9">
        <f t="shared" si="25"/>
        <v>1163.9294312499999</v>
      </c>
      <c r="AN14" s="9">
        <f t="shared" si="25"/>
        <v>1105.7329596874999</v>
      </c>
      <c r="AO14" s="9">
        <f t="shared" si="25"/>
        <v>1050.4463117031248</v>
      </c>
      <c r="AP14" s="9">
        <f>+AO14*0.1</f>
        <v>105.04463117031248</v>
      </c>
      <c r="AQ14" s="9">
        <f t="shared" ref="AQ14" si="26">+AP14*0.1</f>
        <v>10.50446311703125</v>
      </c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</row>
    <row r="15" spans="1:68" s="1" customFormat="1" x14ac:dyDescent="0.2">
      <c r="B15" s="1" t="s">
        <v>29</v>
      </c>
      <c r="C15" s="9"/>
      <c r="D15" s="9"/>
      <c r="E15" s="9"/>
      <c r="F15" s="9"/>
      <c r="G15" s="9"/>
      <c r="H15" s="9"/>
      <c r="I15" s="9"/>
      <c r="J15" s="9"/>
      <c r="K15" s="9">
        <v>187</v>
      </c>
      <c r="L15" s="9">
        <v>293</v>
      </c>
      <c r="M15" s="9">
        <v>325</v>
      </c>
      <c r="N15" s="9">
        <v>322</v>
      </c>
      <c r="O15" s="9">
        <v>292</v>
      </c>
      <c r="P15" s="9">
        <v>357</v>
      </c>
      <c r="Q15" s="9">
        <f t="shared" ref="Q15:R15" si="27">+M15</f>
        <v>325</v>
      </c>
      <c r="R15" s="9">
        <f t="shared" si="27"/>
        <v>322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>
        <f t="shared" si="5"/>
        <v>1127</v>
      </c>
      <c r="AI15" s="9">
        <f t="shared" si="6"/>
        <v>1296</v>
      </c>
      <c r="AJ15" s="9">
        <f>+AI15*0.5</f>
        <v>648</v>
      </c>
      <c r="AK15" s="9">
        <f t="shared" ref="AK15:AQ15" si="28">+AJ15*0.5</f>
        <v>324</v>
      </c>
      <c r="AL15" s="9">
        <f t="shared" si="28"/>
        <v>162</v>
      </c>
      <c r="AM15" s="9">
        <f t="shared" si="28"/>
        <v>81</v>
      </c>
      <c r="AN15" s="9">
        <f t="shared" si="28"/>
        <v>40.5</v>
      </c>
      <c r="AO15" s="9">
        <f t="shared" si="28"/>
        <v>20.25</v>
      </c>
      <c r="AP15" s="9">
        <f t="shared" si="28"/>
        <v>10.125</v>
      </c>
      <c r="AQ15" s="9">
        <f t="shared" si="28"/>
        <v>5.0625</v>
      </c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</row>
    <row r="16" spans="1:68" s="1" customFormat="1" x14ac:dyDescent="0.2">
      <c r="B16" s="1" t="s">
        <v>30</v>
      </c>
      <c r="C16" s="9">
        <v>65</v>
      </c>
      <c r="D16" s="9">
        <v>71</v>
      </c>
      <c r="E16" s="9">
        <v>75</v>
      </c>
      <c r="F16" s="9">
        <v>98</v>
      </c>
      <c r="G16" s="9">
        <v>74</v>
      </c>
      <c r="H16" s="9">
        <v>98</v>
      </c>
      <c r="I16" s="9">
        <v>107</v>
      </c>
      <c r="J16" s="9">
        <v>122</v>
      </c>
      <c r="K16" s="9">
        <v>111</v>
      </c>
      <c r="L16" s="9">
        <v>117</v>
      </c>
      <c r="M16" s="9">
        <v>132</v>
      </c>
      <c r="N16" s="9">
        <v>128</v>
      </c>
      <c r="O16" s="9">
        <v>145</v>
      </c>
      <c r="P16" s="9">
        <v>143</v>
      </c>
      <c r="Q16" s="9">
        <f t="shared" ref="Q16:R16" si="29">+P16-1</f>
        <v>142</v>
      </c>
      <c r="R16" s="9">
        <f t="shared" si="29"/>
        <v>141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>
        <f t="shared" si="5"/>
        <v>488</v>
      </c>
      <c r="AI16" s="9">
        <f t="shared" si="6"/>
        <v>571</v>
      </c>
      <c r="AJ16" s="9">
        <f>+AI16*0.9</f>
        <v>513.9</v>
      </c>
      <c r="AK16" s="9">
        <f t="shared" ref="AK16:AQ16" si="30">+AJ16*0.9</f>
        <v>462.51</v>
      </c>
      <c r="AL16" s="9">
        <f t="shared" si="30"/>
        <v>416.25900000000001</v>
      </c>
      <c r="AM16" s="9">
        <f t="shared" si="30"/>
        <v>374.63310000000001</v>
      </c>
      <c r="AN16" s="9">
        <f t="shared" si="30"/>
        <v>337.16979000000003</v>
      </c>
      <c r="AO16" s="9">
        <f t="shared" si="30"/>
        <v>303.45281100000005</v>
      </c>
      <c r="AP16" s="9">
        <f t="shared" si="30"/>
        <v>273.10752990000003</v>
      </c>
      <c r="AQ16" s="9">
        <f t="shared" si="30"/>
        <v>245.79677691000003</v>
      </c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</row>
    <row r="17" spans="2:68" s="1" customFormat="1" x14ac:dyDescent="0.2">
      <c r="B17" s="1" t="s">
        <v>31</v>
      </c>
      <c r="C17" s="9">
        <v>162</v>
      </c>
      <c r="D17" s="9">
        <v>163</v>
      </c>
      <c r="E17" s="9">
        <v>151</v>
      </c>
      <c r="F17" s="9">
        <v>183</v>
      </c>
      <c r="G17" s="9">
        <v>166</v>
      </c>
      <c r="H17" s="9">
        <v>156</v>
      </c>
      <c r="I17" s="9">
        <v>183</v>
      </c>
      <c r="J17" s="9">
        <v>175</v>
      </c>
      <c r="K17" s="9">
        <v>163</v>
      </c>
      <c r="L17" s="9">
        <v>134</v>
      </c>
      <c r="M17" s="9">
        <v>139</v>
      </c>
      <c r="N17" s="9">
        <v>137</v>
      </c>
      <c r="O17" s="9">
        <v>133</v>
      </c>
      <c r="P17" s="9">
        <v>131</v>
      </c>
      <c r="Q17" s="9">
        <f t="shared" ref="Q17:R17" si="31">+P17-1</f>
        <v>130</v>
      </c>
      <c r="R17" s="9">
        <f t="shared" si="31"/>
        <v>129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>
        <f t="shared" si="5"/>
        <v>573</v>
      </c>
      <c r="AI17" s="9">
        <f t="shared" si="6"/>
        <v>523</v>
      </c>
      <c r="AJ17" s="9">
        <f t="shared" ref="AJ17:AQ17" si="32">+AI17*0.9</f>
        <v>470.7</v>
      </c>
      <c r="AK17" s="9">
        <f t="shared" si="32"/>
        <v>423.63</v>
      </c>
      <c r="AL17" s="9">
        <f t="shared" si="32"/>
        <v>381.267</v>
      </c>
      <c r="AM17" s="9">
        <f t="shared" si="32"/>
        <v>343.14030000000002</v>
      </c>
      <c r="AN17" s="9">
        <f t="shared" si="32"/>
        <v>308.82627000000002</v>
      </c>
      <c r="AO17" s="9">
        <f t="shared" si="32"/>
        <v>277.94364300000001</v>
      </c>
      <c r="AP17" s="9">
        <f t="shared" si="32"/>
        <v>250.14927870000002</v>
      </c>
      <c r="AQ17" s="9">
        <f t="shared" si="32"/>
        <v>225.13435083000002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</row>
    <row r="18" spans="2:68" s="1" customFormat="1" x14ac:dyDescent="0.2">
      <c r="B18" s="1" t="s">
        <v>32</v>
      </c>
      <c r="C18" s="9">
        <v>110</v>
      </c>
      <c r="D18" s="9">
        <v>120</v>
      </c>
      <c r="E18" s="9">
        <v>130</v>
      </c>
      <c r="F18" s="9">
        <v>128</v>
      </c>
      <c r="G18" s="9">
        <v>114</v>
      </c>
      <c r="H18" s="9">
        <v>134</v>
      </c>
      <c r="I18" s="9">
        <v>141</v>
      </c>
      <c r="J18" s="9">
        <v>139</v>
      </c>
      <c r="K18" s="9">
        <v>132</v>
      </c>
      <c r="L18" s="9">
        <v>139</v>
      </c>
      <c r="M18" s="9">
        <v>153</v>
      </c>
      <c r="N18" s="9">
        <v>144</v>
      </c>
      <c r="O18" s="9">
        <v>114</v>
      </c>
      <c r="P18" s="9">
        <v>143</v>
      </c>
      <c r="Q18" s="9">
        <f t="shared" ref="Q18:R18" si="33">+P18-1</f>
        <v>142</v>
      </c>
      <c r="R18" s="9">
        <f t="shared" si="33"/>
        <v>141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>
        <f t="shared" si="5"/>
        <v>568</v>
      </c>
      <c r="AI18" s="9">
        <f t="shared" si="6"/>
        <v>540</v>
      </c>
      <c r="AJ18" s="9">
        <f t="shared" ref="AJ18:AQ18" si="34">+AI18*0.9</f>
        <v>486</v>
      </c>
      <c r="AK18" s="9">
        <f t="shared" si="34"/>
        <v>437.40000000000003</v>
      </c>
      <c r="AL18" s="9">
        <f t="shared" si="34"/>
        <v>393.66</v>
      </c>
      <c r="AM18" s="9">
        <f t="shared" si="34"/>
        <v>354.29400000000004</v>
      </c>
      <c r="AN18" s="9">
        <f t="shared" si="34"/>
        <v>318.86460000000005</v>
      </c>
      <c r="AO18" s="9">
        <f t="shared" si="34"/>
        <v>286.97814000000005</v>
      </c>
      <c r="AP18" s="9">
        <f t="shared" si="34"/>
        <v>258.28032600000006</v>
      </c>
      <c r="AQ18" s="9">
        <f t="shared" si="34"/>
        <v>232.45229340000006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</row>
    <row r="19" spans="2:68" s="1" customFormat="1" x14ac:dyDescent="0.2">
      <c r="B19" s="1" t="s">
        <v>33</v>
      </c>
      <c r="C19" s="9">
        <v>63</v>
      </c>
      <c r="D19" s="9">
        <v>69</v>
      </c>
      <c r="E19" s="9">
        <v>75</v>
      </c>
      <c r="F19" s="9">
        <v>82</v>
      </c>
      <c r="G19" s="9">
        <v>73</v>
      </c>
      <c r="H19" s="9">
        <v>82</v>
      </c>
      <c r="I19" s="9">
        <v>90</v>
      </c>
      <c r="J19" s="9">
        <v>95</v>
      </c>
      <c r="K19" s="9">
        <v>85</v>
      </c>
      <c r="L19" s="9">
        <v>87</v>
      </c>
      <c r="M19" s="9">
        <v>89</v>
      </c>
      <c r="N19" s="9">
        <v>92</v>
      </c>
      <c r="O19" s="9">
        <v>90</v>
      </c>
      <c r="P19" s="9">
        <v>113</v>
      </c>
      <c r="Q19" s="9">
        <f t="shared" ref="Q19:R19" si="35">+P19+5</f>
        <v>118</v>
      </c>
      <c r="R19" s="9">
        <f t="shared" si="35"/>
        <v>123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f t="shared" si="5"/>
        <v>353</v>
      </c>
      <c r="AI19" s="9">
        <f t="shared" si="6"/>
        <v>444</v>
      </c>
      <c r="AJ19" s="9">
        <f>+AI19*1.2</f>
        <v>532.79999999999995</v>
      </c>
      <c r="AK19" s="9">
        <f>+AJ19*1.2</f>
        <v>639.3599999999999</v>
      </c>
      <c r="AL19" s="9">
        <f>+AK19*1.1</f>
        <v>703.29599999999994</v>
      </c>
      <c r="AM19" s="9">
        <f t="shared" ref="AM19:AQ19" si="36">+AL19*1.1</f>
        <v>773.62559999999996</v>
      </c>
      <c r="AN19" s="9">
        <f t="shared" si="36"/>
        <v>850.98815999999999</v>
      </c>
      <c r="AO19" s="9">
        <f t="shared" si="36"/>
        <v>936.08697600000005</v>
      </c>
      <c r="AP19" s="9">
        <f t="shared" si="36"/>
        <v>1029.6956736000002</v>
      </c>
      <c r="AQ19" s="9">
        <f t="shared" si="36"/>
        <v>1132.6652409600003</v>
      </c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2:68" s="1" customFormat="1" x14ac:dyDescent="0.2">
      <c r="B20" s="1" t="s">
        <v>34</v>
      </c>
      <c r="C20" s="9">
        <v>84</v>
      </c>
      <c r="D20" s="9">
        <v>85</v>
      </c>
      <c r="E20" s="9">
        <v>88</v>
      </c>
      <c r="F20" s="9">
        <v>79</v>
      </c>
      <c r="G20" s="9">
        <v>71</v>
      </c>
      <c r="H20" s="9">
        <v>81</v>
      </c>
      <c r="I20" s="9">
        <v>91</v>
      </c>
      <c r="J20" s="9">
        <v>86</v>
      </c>
      <c r="K20" s="9">
        <v>65</v>
      </c>
      <c r="L20" s="9">
        <v>88</v>
      </c>
      <c r="M20" s="9">
        <v>75</v>
      </c>
      <c r="N20" s="9">
        <v>86</v>
      </c>
      <c r="O20" s="9">
        <v>73</v>
      </c>
      <c r="P20" s="9">
        <v>81</v>
      </c>
      <c r="Q20" s="9">
        <f t="shared" ref="Q20:R20" si="37">+M20</f>
        <v>75</v>
      </c>
      <c r="R20" s="9">
        <f t="shared" si="37"/>
        <v>86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>
        <f t="shared" si="5"/>
        <v>314</v>
      </c>
      <c r="AI20" s="9">
        <f t="shared" si="6"/>
        <v>315</v>
      </c>
      <c r="AJ20" s="9">
        <f t="shared" ref="AJ20:AQ20" si="38">+AI20*0.9</f>
        <v>283.5</v>
      </c>
      <c r="AK20" s="9">
        <f t="shared" si="38"/>
        <v>255.15</v>
      </c>
      <c r="AL20" s="9">
        <f t="shared" si="38"/>
        <v>229.63500000000002</v>
      </c>
      <c r="AM20" s="9">
        <f t="shared" si="38"/>
        <v>206.67150000000001</v>
      </c>
      <c r="AN20" s="9">
        <f t="shared" si="38"/>
        <v>186.00435000000002</v>
      </c>
      <c r="AO20" s="9">
        <f t="shared" si="38"/>
        <v>167.40391500000001</v>
      </c>
      <c r="AP20" s="9">
        <f t="shared" si="38"/>
        <v>150.66352350000003</v>
      </c>
      <c r="AQ20" s="9">
        <f t="shared" si="38"/>
        <v>135.59717115000004</v>
      </c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2:68" s="1" customFormat="1" x14ac:dyDescent="0.2">
      <c r="B21" s="1" t="s">
        <v>35</v>
      </c>
      <c r="C21" s="9">
        <v>549</v>
      </c>
      <c r="D21" s="9">
        <v>527</v>
      </c>
      <c r="E21" s="9">
        <v>574</v>
      </c>
      <c r="F21" s="9">
        <v>620</v>
      </c>
      <c r="G21" s="9">
        <v>604</v>
      </c>
      <c r="H21" s="9">
        <v>607</v>
      </c>
      <c r="I21" s="9">
        <v>604</v>
      </c>
      <c r="J21" s="9">
        <v>557</v>
      </c>
      <c r="K21" s="9">
        <v>501</v>
      </c>
      <c r="L21" s="9">
        <v>455</v>
      </c>
      <c r="M21" s="9">
        <v>442</v>
      </c>
      <c r="N21" s="9">
        <v>396</v>
      </c>
      <c r="O21" s="9">
        <v>349</v>
      </c>
      <c r="P21" s="9">
        <v>339</v>
      </c>
      <c r="Q21" s="9">
        <f t="shared" ref="Q21:R21" si="39">+P21-10</f>
        <v>329</v>
      </c>
      <c r="R21" s="9">
        <f t="shared" si="39"/>
        <v>319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f t="shared" si="5"/>
        <v>1794</v>
      </c>
      <c r="AI21" s="9">
        <f t="shared" si="6"/>
        <v>1336</v>
      </c>
      <c r="AJ21" s="9">
        <f>+AI21*0.9</f>
        <v>1202.4000000000001</v>
      </c>
      <c r="AK21" s="9">
        <f t="shared" ref="AK21:AQ21" si="40">+AJ21*0.9</f>
        <v>1082.1600000000001</v>
      </c>
      <c r="AL21" s="9">
        <f t="shared" si="40"/>
        <v>973.94400000000007</v>
      </c>
      <c r="AM21" s="9">
        <f t="shared" si="40"/>
        <v>876.54960000000005</v>
      </c>
      <c r="AN21" s="9">
        <f t="shared" si="40"/>
        <v>788.89464000000009</v>
      </c>
      <c r="AO21" s="9">
        <f t="shared" si="40"/>
        <v>710.00517600000012</v>
      </c>
      <c r="AP21" s="9">
        <f t="shared" si="40"/>
        <v>639.00465840000015</v>
      </c>
      <c r="AQ21" s="9">
        <f t="shared" si="40"/>
        <v>575.10419256000012</v>
      </c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2:68" s="1" customFormat="1" x14ac:dyDescent="0.2">
      <c r="B22" s="1" t="s">
        <v>36</v>
      </c>
      <c r="C22" s="9">
        <v>108</v>
      </c>
      <c r="D22" s="9">
        <v>120</v>
      </c>
      <c r="E22" s="9">
        <v>126</v>
      </c>
      <c r="F22" s="9">
        <v>146</v>
      </c>
      <c r="G22" s="9">
        <v>157</v>
      </c>
      <c r="H22" s="9">
        <v>174</v>
      </c>
      <c r="I22" s="9">
        <v>170</v>
      </c>
      <c r="J22" s="9">
        <v>188</v>
      </c>
      <c r="K22" s="9">
        <v>158</v>
      </c>
      <c r="L22" s="9">
        <v>169</v>
      </c>
      <c r="M22" s="9">
        <v>178</v>
      </c>
      <c r="N22" s="9">
        <v>185</v>
      </c>
      <c r="O22" s="9">
        <v>188</v>
      </c>
      <c r="P22" s="9">
        <v>199</v>
      </c>
      <c r="Q22" s="9">
        <f t="shared" ref="Q22:R22" si="41">+P22+10</f>
        <v>209</v>
      </c>
      <c r="R22" s="9">
        <f t="shared" si="41"/>
        <v>219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>
        <f t="shared" si="5"/>
        <v>690</v>
      </c>
      <c r="AI22" s="9">
        <f t="shared" si="6"/>
        <v>815</v>
      </c>
      <c r="AJ22" s="9">
        <f>+AI22*1.2</f>
        <v>978</v>
      </c>
      <c r="AK22" s="9">
        <f t="shared" ref="AK22:AL24" si="42">+AJ22*1.2</f>
        <v>1173.5999999999999</v>
      </c>
      <c r="AL22" s="9">
        <f t="shared" si="42"/>
        <v>1408.32</v>
      </c>
      <c r="AM22" s="9">
        <f>+AL22*1.1</f>
        <v>1549.152</v>
      </c>
      <c r="AN22" s="9">
        <f t="shared" ref="AN22" si="43">+AM22*1.1</f>
        <v>1704.0672000000002</v>
      </c>
      <c r="AO22" s="9">
        <f t="shared" ref="AO22:AQ22" si="44">+AN22*1.01</f>
        <v>1721.1078720000003</v>
      </c>
      <c r="AP22" s="9">
        <f t="shared" si="44"/>
        <v>1738.3189507200002</v>
      </c>
      <c r="AQ22" s="9">
        <f t="shared" si="44"/>
        <v>1755.7021402272003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2:68" s="1" customFormat="1" x14ac:dyDescent="0.2">
      <c r="B23" s="1" t="s">
        <v>123</v>
      </c>
      <c r="C23" s="9">
        <v>103</v>
      </c>
      <c r="D23" s="9">
        <v>103</v>
      </c>
      <c r="E23" s="9">
        <v>104</v>
      </c>
      <c r="F23" s="9">
        <v>103</v>
      </c>
      <c r="G23" s="9">
        <v>99</v>
      </c>
      <c r="H23" s="9">
        <v>100</v>
      </c>
      <c r="I23" s="9">
        <v>34</v>
      </c>
      <c r="J23" s="9">
        <v>25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2:68" s="1" customFormat="1" x14ac:dyDescent="0.2">
      <c r="B24" s="1" t="s">
        <v>37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</v>
      </c>
      <c r="J24" s="9">
        <v>50</v>
      </c>
      <c r="K24" s="9">
        <v>83</v>
      </c>
      <c r="L24" s="9">
        <v>110</v>
      </c>
      <c r="M24" s="9">
        <v>159</v>
      </c>
      <c r="N24" s="9">
        <v>214</v>
      </c>
      <c r="O24" s="9">
        <v>249</v>
      </c>
      <c r="P24" s="9">
        <v>314</v>
      </c>
      <c r="Q24" s="9">
        <f t="shared" ref="Q24:R24" si="45">+P24+50</f>
        <v>364</v>
      </c>
      <c r="R24" s="9">
        <f t="shared" si="45"/>
        <v>414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>
        <f t="shared" si="5"/>
        <v>566</v>
      </c>
      <c r="AI24" s="9">
        <f t="shared" si="6"/>
        <v>1341</v>
      </c>
      <c r="AJ24" s="9">
        <f>+AI24*1.5</f>
        <v>2011.5</v>
      </c>
      <c r="AK24" s="9">
        <f t="shared" ref="AK24" si="46">+AJ24*1.5</f>
        <v>3017.25</v>
      </c>
      <c r="AL24" s="9">
        <f t="shared" si="42"/>
        <v>3620.7</v>
      </c>
      <c r="AM24" s="9">
        <f t="shared" ref="AM24:AN24" si="47">+AL24*1.2</f>
        <v>4344.8399999999992</v>
      </c>
      <c r="AN24" s="9">
        <f t="shared" si="47"/>
        <v>5213.8079999999991</v>
      </c>
      <c r="AO24" s="9">
        <f>+AN24*1.01</f>
        <v>5265.9460799999988</v>
      </c>
      <c r="AP24" s="9">
        <f t="shared" ref="AP24:AQ24" si="48">+AO24*1.01</f>
        <v>5318.6055407999993</v>
      </c>
      <c r="AQ24" s="9">
        <f t="shared" si="48"/>
        <v>5371.7915962079996</v>
      </c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2:68" s="1" customFormat="1" x14ac:dyDescent="0.2">
      <c r="B25" s="1" t="s">
        <v>38</v>
      </c>
      <c r="C25" s="9">
        <v>116</v>
      </c>
      <c r="D25" s="9">
        <v>135</v>
      </c>
      <c r="E25" s="9">
        <v>123</v>
      </c>
      <c r="F25" s="9">
        <v>134</v>
      </c>
      <c r="G25" s="9">
        <v>122</v>
      </c>
      <c r="H25" s="9">
        <v>144</v>
      </c>
      <c r="I25" s="9">
        <v>136</v>
      </c>
      <c r="J25" s="9">
        <v>151</v>
      </c>
      <c r="K25" s="9">
        <v>122</v>
      </c>
      <c r="L25" s="9">
        <v>134</v>
      </c>
      <c r="M25" s="9">
        <v>141</v>
      </c>
      <c r="N25" s="9">
        <v>139</v>
      </c>
      <c r="O25" s="9">
        <v>126</v>
      </c>
      <c r="P25" s="9">
        <v>143</v>
      </c>
      <c r="Q25" s="9">
        <f t="shared" ref="Q25:R28" si="49">+M25</f>
        <v>141</v>
      </c>
      <c r="R25" s="9">
        <f t="shared" si="49"/>
        <v>139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>
        <f t="shared" si="5"/>
        <v>536</v>
      </c>
      <c r="AI25" s="9">
        <f t="shared" si="6"/>
        <v>549</v>
      </c>
      <c r="AJ25" s="9">
        <f>+AI25*0.8</f>
        <v>439.20000000000005</v>
      </c>
      <c r="AK25" s="9">
        <f t="shared" ref="AK25:AP25" si="50">+AJ25*0.8</f>
        <v>351.36000000000007</v>
      </c>
      <c r="AL25" s="9">
        <f t="shared" si="50"/>
        <v>281.08800000000008</v>
      </c>
      <c r="AM25" s="9">
        <f t="shared" si="50"/>
        <v>224.87040000000007</v>
      </c>
      <c r="AN25" s="9">
        <f t="shared" si="50"/>
        <v>179.89632000000006</v>
      </c>
      <c r="AO25" s="9">
        <f t="shared" si="50"/>
        <v>143.91705600000006</v>
      </c>
      <c r="AP25" s="9">
        <f t="shared" si="50"/>
        <v>115.13364480000006</v>
      </c>
      <c r="AQ25" s="9">
        <f t="shared" ref="AQ25" si="51">+AP25*0.8</f>
        <v>92.106915840000056</v>
      </c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2:68" s="1" customFormat="1" x14ac:dyDescent="0.2">
      <c r="B26" s="1" t="s">
        <v>39</v>
      </c>
      <c r="C26" s="9">
        <v>216</v>
      </c>
      <c r="D26" s="9">
        <v>219</v>
      </c>
      <c r="E26" s="9">
        <v>162</v>
      </c>
      <c r="F26" s="9">
        <v>111</v>
      </c>
      <c r="G26" s="9">
        <v>83</v>
      </c>
      <c r="H26" s="9">
        <v>93</v>
      </c>
      <c r="I26" s="9">
        <v>88</v>
      </c>
      <c r="J26" s="9">
        <v>86</v>
      </c>
      <c r="K26" s="9">
        <v>74</v>
      </c>
      <c r="L26" s="9">
        <v>80</v>
      </c>
      <c r="M26" s="9">
        <v>83</v>
      </c>
      <c r="N26" s="9">
        <v>75</v>
      </c>
      <c r="O26" s="9">
        <v>66</v>
      </c>
      <c r="P26" s="9">
        <v>73</v>
      </c>
      <c r="Q26" s="9">
        <f t="shared" si="49"/>
        <v>83</v>
      </c>
      <c r="R26" s="9">
        <f t="shared" si="49"/>
        <v>75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>
        <f t="shared" si="5"/>
        <v>312</v>
      </c>
      <c r="AI26" s="9">
        <f t="shared" si="6"/>
        <v>297</v>
      </c>
      <c r="AJ26" s="9">
        <f t="shared" ref="AJ26:AP26" si="52">+AI26*0.8</f>
        <v>237.60000000000002</v>
      </c>
      <c r="AK26" s="9">
        <f t="shared" si="52"/>
        <v>190.08000000000004</v>
      </c>
      <c r="AL26" s="9">
        <f t="shared" si="52"/>
        <v>152.06400000000005</v>
      </c>
      <c r="AM26" s="9">
        <f t="shared" si="52"/>
        <v>121.65120000000005</v>
      </c>
      <c r="AN26" s="9">
        <f t="shared" si="52"/>
        <v>97.320960000000042</v>
      </c>
      <c r="AO26" s="9">
        <f t="shared" si="52"/>
        <v>77.856768000000045</v>
      </c>
      <c r="AP26" s="9">
        <f t="shared" si="52"/>
        <v>62.285414400000036</v>
      </c>
      <c r="AQ26" s="9">
        <f t="shared" ref="AQ26" si="53">+AP26*0.8</f>
        <v>49.828331520000035</v>
      </c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spans="2:68" s="1" customFormat="1" x14ac:dyDescent="0.2">
      <c r="B27" s="1" t="s">
        <v>40</v>
      </c>
      <c r="C27" s="9">
        <v>337</v>
      </c>
      <c r="D27" s="9">
        <v>281</v>
      </c>
      <c r="E27" s="9">
        <v>280</v>
      </c>
      <c r="F27" s="9">
        <v>298</v>
      </c>
      <c r="G27" s="9">
        <v>271</v>
      </c>
      <c r="H27" s="9">
        <v>284</v>
      </c>
      <c r="I27" s="9">
        <v>218</v>
      </c>
      <c r="J27" s="9">
        <v>319</v>
      </c>
      <c r="K27" s="9">
        <v>245</v>
      </c>
      <c r="L27" s="9">
        <v>212</v>
      </c>
      <c r="M27" s="9">
        <v>201</v>
      </c>
      <c r="N27" s="9">
        <v>273</v>
      </c>
      <c r="O27" s="9">
        <v>237</v>
      </c>
      <c r="P27" s="9">
        <v>229</v>
      </c>
      <c r="Q27" s="9">
        <f t="shared" si="49"/>
        <v>201</v>
      </c>
      <c r="R27" s="9">
        <f t="shared" si="49"/>
        <v>273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>
        <f t="shared" si="5"/>
        <v>931</v>
      </c>
      <c r="AI27" s="9">
        <f t="shared" si="6"/>
        <v>940</v>
      </c>
      <c r="AJ27" s="9">
        <f t="shared" ref="AJ27:AP27" si="54">+AI27*0.8</f>
        <v>752</v>
      </c>
      <c r="AK27" s="9">
        <f t="shared" si="54"/>
        <v>601.6</v>
      </c>
      <c r="AL27" s="9">
        <f t="shared" si="54"/>
        <v>481.28000000000003</v>
      </c>
      <c r="AM27" s="9">
        <f t="shared" si="54"/>
        <v>385.02400000000006</v>
      </c>
      <c r="AN27" s="9">
        <f t="shared" si="54"/>
        <v>308.01920000000007</v>
      </c>
      <c r="AO27" s="9">
        <f t="shared" si="54"/>
        <v>246.41536000000008</v>
      </c>
      <c r="AP27" s="9">
        <f t="shared" si="54"/>
        <v>197.13228800000007</v>
      </c>
      <c r="AQ27" s="9">
        <f t="shared" ref="AQ27" si="55">+AP27*0.8</f>
        <v>157.70583040000008</v>
      </c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2:68" s="1" customFormat="1" x14ac:dyDescent="0.2">
      <c r="B28" s="1" t="s">
        <v>41</v>
      </c>
      <c r="C28" s="9">
        <v>385</v>
      </c>
      <c r="D28" s="9">
        <v>325</v>
      </c>
      <c r="E28" s="9">
        <v>297</v>
      </c>
      <c r="F28" s="9">
        <v>327</v>
      </c>
      <c r="G28" s="9">
        <v>312</v>
      </c>
      <c r="H28" s="9">
        <v>258</v>
      </c>
      <c r="I28" s="9">
        <v>261</v>
      </c>
      <c r="J28" s="9">
        <v>268</v>
      </c>
      <c r="K28" s="9">
        <v>289</v>
      </c>
      <c r="L28" s="9">
        <v>215</v>
      </c>
      <c r="M28" s="9">
        <v>121</v>
      </c>
      <c r="N28" s="9">
        <v>231</v>
      </c>
      <c r="O28" s="9">
        <v>229</v>
      </c>
      <c r="P28" s="9">
        <v>101</v>
      </c>
      <c r="Q28" s="9">
        <f t="shared" si="49"/>
        <v>121</v>
      </c>
      <c r="R28" s="9">
        <f t="shared" si="49"/>
        <v>231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>
        <f t="shared" si="5"/>
        <v>856</v>
      </c>
      <c r="AI28" s="9">
        <f t="shared" si="6"/>
        <v>682</v>
      </c>
      <c r="AJ28" s="9">
        <f>+AI28*1.01</f>
        <v>688.82</v>
      </c>
      <c r="AK28" s="9">
        <f t="shared" ref="AK28:AP28" si="56">+AJ28*1.01</f>
        <v>695.70820000000003</v>
      </c>
      <c r="AL28" s="9">
        <f t="shared" si="56"/>
        <v>702.66528200000005</v>
      </c>
      <c r="AM28" s="9">
        <f t="shared" si="56"/>
        <v>709.69193482000003</v>
      </c>
      <c r="AN28" s="9">
        <f t="shared" si="56"/>
        <v>716.78885416820003</v>
      </c>
      <c r="AO28" s="9">
        <f t="shared" si="56"/>
        <v>723.95674270988206</v>
      </c>
      <c r="AP28" s="9">
        <f t="shared" si="56"/>
        <v>731.19631013698086</v>
      </c>
      <c r="AQ28" s="9">
        <f t="shared" ref="AQ28" si="57">+AP28*1.01</f>
        <v>738.50827323835063</v>
      </c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2:68" s="1" customFormat="1" x14ac:dyDescent="0.2">
      <c r="B29" s="1" t="s">
        <v>124</v>
      </c>
      <c r="C29" s="9">
        <v>61</v>
      </c>
      <c r="D29" s="9">
        <v>64</v>
      </c>
      <c r="E29" s="9">
        <v>54</v>
      </c>
      <c r="F29" s="9">
        <v>55</v>
      </c>
      <c r="G29" s="9">
        <v>62</v>
      </c>
      <c r="H29" s="9">
        <v>69</v>
      </c>
      <c r="I29" s="9">
        <v>49</v>
      </c>
      <c r="J29" s="9">
        <v>52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2:68" s="1" customFormat="1" x14ac:dyDescent="0.2">
      <c r="B30" s="1" t="s">
        <v>42</v>
      </c>
      <c r="C30" s="9">
        <v>267</v>
      </c>
      <c r="D30" s="9">
        <v>255</v>
      </c>
      <c r="E30" s="9">
        <v>238</v>
      </c>
      <c r="F30" s="9">
        <v>246</v>
      </c>
      <c r="G30" s="9">
        <v>205</v>
      </c>
      <c r="H30" s="9">
        <v>214</v>
      </c>
      <c r="I30" s="9">
        <v>195</v>
      </c>
      <c r="J30" s="9">
        <v>192</v>
      </c>
      <c r="K30" s="9">
        <v>185</v>
      </c>
      <c r="L30" s="9">
        <v>189</v>
      </c>
      <c r="M30" s="9">
        <v>150</v>
      </c>
      <c r="N30" s="9">
        <v>143</v>
      </c>
      <c r="O30" s="9">
        <v>126</v>
      </c>
      <c r="P30" s="9">
        <v>132</v>
      </c>
      <c r="Q30" s="9">
        <f t="shared" ref="Q30:R30" si="58">+M30*0.8</f>
        <v>120</v>
      </c>
      <c r="R30" s="9">
        <f t="shared" si="58"/>
        <v>114.4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>
        <f t="shared" si="5"/>
        <v>667</v>
      </c>
      <c r="AI30" s="9">
        <f t="shared" si="6"/>
        <v>492.4</v>
      </c>
      <c r="AJ30" s="9">
        <f>+AI30*0.9</f>
        <v>443.15999999999997</v>
      </c>
      <c r="AK30" s="9">
        <f t="shared" ref="AK30:AP30" si="59">+AJ30*0.9</f>
        <v>398.84399999999999</v>
      </c>
      <c r="AL30" s="9">
        <f t="shared" si="59"/>
        <v>358.95960000000002</v>
      </c>
      <c r="AM30" s="9">
        <f t="shared" si="59"/>
        <v>323.06364000000002</v>
      </c>
      <c r="AN30" s="9">
        <f t="shared" si="59"/>
        <v>290.75727600000005</v>
      </c>
      <c r="AO30" s="9">
        <f t="shared" si="59"/>
        <v>261.68154840000005</v>
      </c>
      <c r="AP30" s="9">
        <f t="shared" si="59"/>
        <v>235.51339356000005</v>
      </c>
      <c r="AQ30" s="9">
        <f t="shared" ref="AQ30" si="60">+AP30*0.9</f>
        <v>211.96205420400005</v>
      </c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2:68" s="1" customFormat="1" x14ac:dyDescent="0.2">
      <c r="B31" s="1" t="s">
        <v>43</v>
      </c>
      <c r="C31" s="9">
        <v>121</v>
      </c>
      <c r="D31" s="9">
        <v>121</v>
      </c>
      <c r="E31" s="9">
        <v>112</v>
      </c>
      <c r="F31" s="9">
        <v>131</v>
      </c>
      <c r="G31" s="9">
        <v>128</v>
      </c>
      <c r="H31" s="9">
        <v>141</v>
      </c>
      <c r="I31" s="9">
        <v>132</v>
      </c>
      <c r="J31" s="9">
        <v>118</v>
      </c>
      <c r="K31" s="9">
        <v>123</v>
      </c>
      <c r="L31" s="9">
        <v>115</v>
      </c>
      <c r="M31" s="9">
        <v>123</v>
      </c>
      <c r="N31" s="9">
        <v>110</v>
      </c>
      <c r="O31" s="9">
        <v>111</v>
      </c>
      <c r="P31" s="9">
        <v>117</v>
      </c>
      <c r="Q31" s="9">
        <f t="shared" ref="Q31:Q33" si="61">+M31*0.95</f>
        <v>116.85</v>
      </c>
      <c r="R31" s="9">
        <f t="shared" ref="R31:R33" si="62">+N31*0.95</f>
        <v>104.5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>
        <f t="shared" si="5"/>
        <v>471</v>
      </c>
      <c r="AI31" s="9">
        <f t="shared" si="6"/>
        <v>449.35</v>
      </c>
      <c r="AJ31" s="9">
        <f t="shared" ref="AJ31:AP31" si="63">+AI31*0.9</f>
        <v>404.41500000000002</v>
      </c>
      <c r="AK31" s="9">
        <f t="shared" si="63"/>
        <v>363.9735</v>
      </c>
      <c r="AL31" s="9">
        <f t="shared" si="63"/>
        <v>327.57614999999998</v>
      </c>
      <c r="AM31" s="9">
        <f t="shared" si="63"/>
        <v>294.818535</v>
      </c>
      <c r="AN31" s="9">
        <f t="shared" si="63"/>
        <v>265.3366815</v>
      </c>
      <c r="AO31" s="9">
        <f t="shared" si="63"/>
        <v>238.80301335000001</v>
      </c>
      <c r="AP31" s="9">
        <f t="shared" si="63"/>
        <v>214.92271201500003</v>
      </c>
      <c r="AQ31" s="9">
        <f t="shared" ref="AQ31" si="64">+AP31*0.9</f>
        <v>193.43044081350004</v>
      </c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2:68" s="1" customFormat="1" x14ac:dyDescent="0.2">
      <c r="B32" s="1" t="s">
        <v>44</v>
      </c>
      <c r="C32" s="9">
        <v>137</v>
      </c>
      <c r="D32" s="9">
        <v>144</v>
      </c>
      <c r="E32" s="9">
        <v>140</v>
      </c>
      <c r="F32" s="9">
        <v>139</v>
      </c>
      <c r="G32" s="9">
        <v>123</v>
      </c>
      <c r="H32" s="9">
        <v>121</v>
      </c>
      <c r="I32" s="9">
        <v>114</v>
      </c>
      <c r="J32" s="9">
        <v>112</v>
      </c>
      <c r="K32" s="9">
        <v>94</v>
      </c>
      <c r="L32" s="9">
        <v>96</v>
      </c>
      <c r="M32" s="9">
        <v>86</v>
      </c>
      <c r="N32" s="9">
        <v>82</v>
      </c>
      <c r="O32" s="9">
        <v>75</v>
      </c>
      <c r="P32" s="9">
        <v>73</v>
      </c>
      <c r="Q32" s="9">
        <f t="shared" si="61"/>
        <v>81.7</v>
      </c>
      <c r="R32" s="9">
        <f t="shared" si="62"/>
        <v>77.899999999999991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>
        <f t="shared" si="5"/>
        <v>358</v>
      </c>
      <c r="AI32" s="9">
        <f t="shared" si="6"/>
        <v>307.59999999999997</v>
      </c>
      <c r="AJ32" s="9">
        <f t="shared" ref="AJ32:AP32" si="65">+AI32*0.9</f>
        <v>276.83999999999997</v>
      </c>
      <c r="AK32" s="9">
        <f t="shared" si="65"/>
        <v>249.15599999999998</v>
      </c>
      <c r="AL32" s="9">
        <f t="shared" si="65"/>
        <v>224.24039999999999</v>
      </c>
      <c r="AM32" s="9">
        <f t="shared" si="65"/>
        <v>201.81636</v>
      </c>
      <c r="AN32" s="9">
        <f t="shared" si="65"/>
        <v>181.63472400000001</v>
      </c>
      <c r="AO32" s="9">
        <f t="shared" si="65"/>
        <v>163.47125160000002</v>
      </c>
      <c r="AP32" s="9">
        <f t="shared" si="65"/>
        <v>147.12412644000003</v>
      </c>
      <c r="AQ32" s="9">
        <f t="shared" ref="AQ32" si="66">+AP32*0.9</f>
        <v>132.41171379600002</v>
      </c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2:68" s="1" customFormat="1" x14ac:dyDescent="0.2">
      <c r="B33" s="1" t="s">
        <v>45</v>
      </c>
      <c r="C33" s="9">
        <v>82</v>
      </c>
      <c r="D33" s="9">
        <v>74</v>
      </c>
      <c r="E33" s="9">
        <v>65</v>
      </c>
      <c r="F33" s="9">
        <v>79</v>
      </c>
      <c r="G33" s="9">
        <v>64</v>
      </c>
      <c r="H33" s="9">
        <v>69</v>
      </c>
      <c r="I33" s="9">
        <v>61</v>
      </c>
      <c r="J33" s="9">
        <v>64</v>
      </c>
      <c r="K33" s="9">
        <v>49</v>
      </c>
      <c r="L33" s="9">
        <v>63</v>
      </c>
      <c r="M33" s="9">
        <v>56</v>
      </c>
      <c r="N33" s="9">
        <v>49</v>
      </c>
      <c r="O33" s="9">
        <v>46</v>
      </c>
      <c r="P33" s="9">
        <v>50</v>
      </c>
      <c r="Q33" s="9">
        <f t="shared" si="61"/>
        <v>53.199999999999996</v>
      </c>
      <c r="R33" s="9">
        <f t="shared" si="62"/>
        <v>46.55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>
        <f t="shared" si="5"/>
        <v>217</v>
      </c>
      <c r="AI33" s="9">
        <f t="shared" si="6"/>
        <v>195.75</v>
      </c>
      <c r="AJ33" s="9">
        <f t="shared" ref="AJ33:AP33" si="67">+AI33*0.9</f>
        <v>176.17500000000001</v>
      </c>
      <c r="AK33" s="9">
        <f t="shared" si="67"/>
        <v>158.5575</v>
      </c>
      <c r="AL33" s="9">
        <f t="shared" si="67"/>
        <v>142.70175</v>
      </c>
      <c r="AM33" s="9">
        <f t="shared" si="67"/>
        <v>128.43157500000001</v>
      </c>
      <c r="AN33" s="9">
        <f t="shared" si="67"/>
        <v>115.58841750000001</v>
      </c>
      <c r="AO33" s="9">
        <f t="shared" si="67"/>
        <v>104.02957575000001</v>
      </c>
      <c r="AP33" s="9">
        <f t="shared" si="67"/>
        <v>93.626618175000004</v>
      </c>
      <c r="AQ33" s="9">
        <f t="shared" ref="AQ33" si="68">+AP33*0.9</f>
        <v>84.263956357500007</v>
      </c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2:68" s="1" customFormat="1" x14ac:dyDescent="0.2">
      <c r="B34" s="1" t="s">
        <v>125</v>
      </c>
      <c r="C34" s="9">
        <v>68</v>
      </c>
      <c r="D34" s="9">
        <v>67</v>
      </c>
      <c r="E34" s="9">
        <v>71</v>
      </c>
      <c r="F34" s="9">
        <v>77</v>
      </c>
      <c r="G34" s="9">
        <v>74</v>
      </c>
      <c r="H34" s="9">
        <v>58</v>
      </c>
      <c r="I34" s="9">
        <v>66</v>
      </c>
      <c r="J34" s="9">
        <v>67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2:68" s="1" customFormat="1" x14ac:dyDescent="0.2">
      <c r="B35" s="1" t="s">
        <v>126</v>
      </c>
      <c r="C35" s="9">
        <v>52</v>
      </c>
      <c r="D35" s="9">
        <v>53</v>
      </c>
      <c r="E35" s="9">
        <v>44</v>
      </c>
      <c r="F35" s="9">
        <v>56</v>
      </c>
      <c r="G35" s="9">
        <v>50</v>
      </c>
      <c r="H35" s="9">
        <v>40</v>
      </c>
      <c r="I35" s="9">
        <v>47</v>
      </c>
      <c r="J35" s="9">
        <v>56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2:68" s="1" customFormat="1" x14ac:dyDescent="0.2">
      <c r="B36" s="1" t="s">
        <v>46</v>
      </c>
      <c r="C36" s="9">
        <v>390</v>
      </c>
      <c r="D36" s="9">
        <v>383</v>
      </c>
      <c r="E36" s="9">
        <v>665</v>
      </c>
      <c r="F36" s="9">
        <v>394</v>
      </c>
      <c r="G36" s="9">
        <v>383</v>
      </c>
      <c r="H36" s="9">
        <v>409</v>
      </c>
      <c r="I36" s="9">
        <v>590</v>
      </c>
      <c r="J36" s="9">
        <v>356</v>
      </c>
      <c r="K36" s="9">
        <v>359</v>
      </c>
      <c r="L36" s="9">
        <v>427</v>
      </c>
      <c r="M36" s="9">
        <v>625</v>
      </c>
      <c r="N36" s="9">
        <v>497</v>
      </c>
      <c r="O36" s="9">
        <v>378</v>
      </c>
      <c r="P36" s="9">
        <v>393</v>
      </c>
      <c r="Q36" s="9">
        <f t="shared" ref="Q36:R36" si="69">+M36*1.05</f>
        <v>656.25</v>
      </c>
      <c r="R36" s="9">
        <f t="shared" si="69"/>
        <v>521.85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>
        <f t="shared" si="5"/>
        <v>1908</v>
      </c>
      <c r="AI36" s="9">
        <f t="shared" si="6"/>
        <v>1949.1</v>
      </c>
      <c r="AJ36" s="9">
        <f>+AI36*1.01</f>
        <v>1968.5909999999999</v>
      </c>
      <c r="AK36" s="9">
        <f t="shared" ref="AK36:AP36" si="70">+AJ36*1.01</f>
        <v>1988.2769099999998</v>
      </c>
      <c r="AL36" s="9">
        <f t="shared" si="70"/>
        <v>2008.1596790999997</v>
      </c>
      <c r="AM36" s="9">
        <f t="shared" si="70"/>
        <v>2028.2412758909998</v>
      </c>
      <c r="AN36" s="9">
        <f t="shared" si="70"/>
        <v>2048.5236886499097</v>
      </c>
      <c r="AO36" s="9">
        <f t="shared" si="70"/>
        <v>2069.0089255364087</v>
      </c>
      <c r="AP36" s="9">
        <f t="shared" si="70"/>
        <v>2089.6990147917727</v>
      </c>
      <c r="AQ36" s="9">
        <f t="shared" ref="AQ36" si="71">+AP36*1.01</f>
        <v>2110.5960049396904</v>
      </c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2:68" s="1" customFormat="1" x14ac:dyDescent="0.2">
      <c r="B37" s="1" t="s">
        <v>47</v>
      </c>
      <c r="C37" s="9">
        <v>272</v>
      </c>
      <c r="D37" s="9">
        <v>339</v>
      </c>
      <c r="E37" s="9">
        <v>421</v>
      </c>
      <c r="F37" s="9">
        <v>273</v>
      </c>
      <c r="G37" s="9">
        <v>280</v>
      </c>
      <c r="H37" s="9">
        <v>326</v>
      </c>
      <c r="I37" s="9">
        <v>421</v>
      </c>
      <c r="J37" s="9">
        <v>366</v>
      </c>
      <c r="K37" s="9">
        <v>348</v>
      </c>
      <c r="L37" s="9">
        <v>358</v>
      </c>
      <c r="M37" s="9">
        <v>390</v>
      </c>
      <c r="N37" s="9">
        <v>409</v>
      </c>
      <c r="O37" s="9">
        <v>357</v>
      </c>
      <c r="P37" s="9">
        <v>383</v>
      </c>
      <c r="Q37" s="9">
        <f t="shared" ref="Q37:R40" si="72">+M37</f>
        <v>390</v>
      </c>
      <c r="R37" s="9">
        <f t="shared" si="72"/>
        <v>409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>
        <f t="shared" si="5"/>
        <v>1505</v>
      </c>
      <c r="AI37" s="9">
        <f t="shared" si="6"/>
        <v>1539</v>
      </c>
      <c r="AJ37" s="9">
        <f t="shared" ref="AJ37:AP37" si="73">+AI37*1.01</f>
        <v>1554.39</v>
      </c>
      <c r="AK37" s="9">
        <f t="shared" si="73"/>
        <v>1569.9339000000002</v>
      </c>
      <c r="AL37" s="9">
        <f t="shared" si="73"/>
        <v>1585.6332390000002</v>
      </c>
      <c r="AM37" s="9">
        <f t="shared" si="73"/>
        <v>1601.4895713900003</v>
      </c>
      <c r="AN37" s="9">
        <f t="shared" si="73"/>
        <v>1617.5044671039002</v>
      </c>
      <c r="AO37" s="9">
        <f t="shared" si="73"/>
        <v>1633.6795117749391</v>
      </c>
      <c r="AP37" s="9">
        <f t="shared" si="73"/>
        <v>1650.0163068926886</v>
      </c>
      <c r="AQ37" s="9">
        <f t="shared" ref="AQ37" si="74">+AP37*1.01</f>
        <v>1666.5164699616155</v>
      </c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</row>
    <row r="38" spans="2:68" s="1" customFormat="1" x14ac:dyDescent="0.2">
      <c r="B38" s="1" t="s">
        <v>48</v>
      </c>
      <c r="C38" s="9">
        <v>162</v>
      </c>
      <c r="D38" s="9">
        <v>144</v>
      </c>
      <c r="E38" s="9">
        <v>201</v>
      </c>
      <c r="F38" s="9">
        <v>129</v>
      </c>
      <c r="G38" s="9">
        <v>169</v>
      </c>
      <c r="H38" s="9">
        <v>147</v>
      </c>
      <c r="I38" s="9">
        <v>174</v>
      </c>
      <c r="J38" s="9">
        <v>169</v>
      </c>
      <c r="K38" s="9">
        <v>192</v>
      </c>
      <c r="L38" s="9">
        <v>89</v>
      </c>
      <c r="M38" s="9">
        <v>160</v>
      </c>
      <c r="N38" s="9">
        <v>169</v>
      </c>
      <c r="O38" s="9">
        <v>188</v>
      </c>
      <c r="P38" s="9">
        <v>130</v>
      </c>
      <c r="Q38" s="9">
        <f t="shared" si="72"/>
        <v>160</v>
      </c>
      <c r="R38" s="9">
        <f t="shared" si="72"/>
        <v>169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>
        <f t="shared" si="5"/>
        <v>610</v>
      </c>
      <c r="AI38" s="9">
        <f t="shared" si="6"/>
        <v>647</v>
      </c>
      <c r="AJ38" s="9">
        <f t="shared" ref="AJ38:AP38" si="75">+AI38*1.01</f>
        <v>653.47</v>
      </c>
      <c r="AK38" s="9">
        <f t="shared" si="75"/>
        <v>660.00470000000007</v>
      </c>
      <c r="AL38" s="9">
        <f t="shared" si="75"/>
        <v>666.60474700000009</v>
      </c>
      <c r="AM38" s="9">
        <f t="shared" si="75"/>
        <v>673.27079447000006</v>
      </c>
      <c r="AN38" s="9">
        <f t="shared" si="75"/>
        <v>680.00350241470005</v>
      </c>
      <c r="AO38" s="9">
        <f t="shared" si="75"/>
        <v>686.803537438847</v>
      </c>
      <c r="AP38" s="9">
        <f t="shared" si="75"/>
        <v>693.67157281323546</v>
      </c>
      <c r="AQ38" s="9">
        <f t="shared" ref="AQ38" si="76">+AP38*1.01</f>
        <v>700.60828854136787</v>
      </c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</row>
    <row r="39" spans="2:68" s="1" customFormat="1" x14ac:dyDescent="0.2">
      <c r="B39" s="1" t="s">
        <v>49</v>
      </c>
      <c r="C39" s="9">
        <v>168</v>
      </c>
      <c r="D39" s="9">
        <v>141</v>
      </c>
      <c r="E39" s="9">
        <v>185</v>
      </c>
      <c r="F39" s="9">
        <v>264</v>
      </c>
      <c r="G39" s="9">
        <v>142</v>
      </c>
      <c r="H39" s="9">
        <v>156</v>
      </c>
      <c r="I39" s="9">
        <v>181</v>
      </c>
      <c r="J39" s="9">
        <v>285</v>
      </c>
      <c r="K39" s="9">
        <v>175</v>
      </c>
      <c r="L39" s="9">
        <v>149</v>
      </c>
      <c r="M39" s="9">
        <v>179</v>
      </c>
      <c r="N39" s="9">
        <v>246</v>
      </c>
      <c r="O39" s="9">
        <v>125</v>
      </c>
      <c r="P39" s="9">
        <v>149</v>
      </c>
      <c r="Q39" s="9">
        <f t="shared" si="72"/>
        <v>179</v>
      </c>
      <c r="R39" s="9">
        <f t="shared" si="72"/>
        <v>246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>
        <f t="shared" si="5"/>
        <v>749</v>
      </c>
      <c r="AI39" s="9">
        <f t="shared" si="6"/>
        <v>699</v>
      </c>
      <c r="AJ39" s="9">
        <f t="shared" ref="AJ39:AP39" si="77">+AI39*1.01</f>
        <v>705.99</v>
      </c>
      <c r="AK39" s="9">
        <f t="shared" si="77"/>
        <v>713.04989999999998</v>
      </c>
      <c r="AL39" s="9">
        <f t="shared" si="77"/>
        <v>720.18039899999997</v>
      </c>
      <c r="AM39" s="9">
        <f t="shared" si="77"/>
        <v>727.38220299</v>
      </c>
      <c r="AN39" s="9">
        <f t="shared" si="77"/>
        <v>734.65602501989997</v>
      </c>
      <c r="AO39" s="9">
        <f t="shared" si="77"/>
        <v>742.00258527009896</v>
      </c>
      <c r="AP39" s="9">
        <f t="shared" si="77"/>
        <v>749.42261112279994</v>
      </c>
      <c r="AQ39" s="9">
        <f t="shared" ref="AQ39" si="78">+AP39*1.01</f>
        <v>756.91683723402798</v>
      </c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spans="2:68" s="1" customFormat="1" x14ac:dyDescent="0.2">
      <c r="B40" s="1" t="s">
        <v>50</v>
      </c>
      <c r="C40" s="9">
        <v>111</v>
      </c>
      <c r="D40" s="9">
        <v>108</v>
      </c>
      <c r="E40" s="9">
        <v>193</v>
      </c>
      <c r="F40" s="9">
        <v>241</v>
      </c>
      <c r="G40" s="9">
        <v>101</v>
      </c>
      <c r="H40" s="9">
        <v>102</v>
      </c>
      <c r="I40" s="9">
        <v>197</v>
      </c>
      <c r="J40" s="9">
        <v>346</v>
      </c>
      <c r="K40" s="9">
        <v>110</v>
      </c>
      <c r="L40" s="9">
        <v>106</v>
      </c>
      <c r="M40" s="9">
        <v>138</v>
      </c>
      <c r="N40" s="9">
        <v>188</v>
      </c>
      <c r="O40" s="9">
        <v>107</v>
      </c>
      <c r="P40" s="9">
        <v>120</v>
      </c>
      <c r="Q40" s="9">
        <f t="shared" si="72"/>
        <v>138</v>
      </c>
      <c r="R40" s="9">
        <f t="shared" si="72"/>
        <v>188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>
        <f t="shared" si="5"/>
        <v>542</v>
      </c>
      <c r="AI40" s="9">
        <f t="shared" si="6"/>
        <v>553</v>
      </c>
      <c r="AJ40" s="9">
        <f t="shared" ref="AJ40:AP40" si="79">+AI40*1.01</f>
        <v>558.53</v>
      </c>
      <c r="AK40" s="9">
        <f t="shared" si="79"/>
        <v>564.11529999999993</v>
      </c>
      <c r="AL40" s="9">
        <f t="shared" si="79"/>
        <v>569.75645299999996</v>
      </c>
      <c r="AM40" s="9">
        <f t="shared" si="79"/>
        <v>575.45401752999999</v>
      </c>
      <c r="AN40" s="9">
        <f t="shared" si="79"/>
        <v>581.2085577053</v>
      </c>
      <c r="AO40" s="9">
        <f t="shared" si="79"/>
        <v>587.02064328235303</v>
      </c>
      <c r="AP40" s="9">
        <f t="shared" si="79"/>
        <v>592.89084971517661</v>
      </c>
      <c r="AQ40" s="9">
        <f t="shared" ref="AQ40" si="80">+AP40*1.01</f>
        <v>598.81975821232834</v>
      </c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</row>
    <row r="41" spans="2:68" s="1" customFormat="1" x14ac:dyDescent="0.2">
      <c r="B41" s="1" t="s">
        <v>51</v>
      </c>
      <c r="C41" s="9">
        <v>1361</v>
      </c>
      <c r="D41" s="9">
        <v>1430</v>
      </c>
      <c r="E41" s="9">
        <v>1350</v>
      </c>
      <c r="F41" s="9">
        <v>1435</v>
      </c>
      <c r="G41" s="9">
        <v>1175</v>
      </c>
      <c r="H41" s="9">
        <v>1209</v>
      </c>
      <c r="I41" s="9">
        <v>1225</v>
      </c>
      <c r="J41" s="9">
        <v>1174</v>
      </c>
      <c r="K41" s="9">
        <v>1235</v>
      </c>
      <c r="L41" s="9">
        <v>1274</v>
      </c>
      <c r="M41" s="9">
        <v>1298</v>
      </c>
      <c r="N41" s="9">
        <v>1300</v>
      </c>
      <c r="O41" s="9">
        <v>1093</v>
      </c>
      <c r="P41" s="9">
        <v>1151</v>
      </c>
      <c r="Q41" s="9">
        <f t="shared" ref="Q41:R41" si="81">+M41*0.9</f>
        <v>1168.2</v>
      </c>
      <c r="R41" s="9">
        <f t="shared" si="81"/>
        <v>1170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>
        <f t="shared" si="5"/>
        <v>5107</v>
      </c>
      <c r="AI41" s="9">
        <f t="shared" si="6"/>
        <v>4582.2</v>
      </c>
      <c r="AJ41" s="9">
        <f>+AI41*0.95</f>
        <v>4353.0899999999992</v>
      </c>
      <c r="AK41" s="9">
        <f t="shared" ref="AK41:AP41" si="82">+AJ41*0.95</f>
        <v>4135.4354999999987</v>
      </c>
      <c r="AL41" s="9">
        <f t="shared" si="82"/>
        <v>3928.6637249999985</v>
      </c>
      <c r="AM41" s="9">
        <f t="shared" si="82"/>
        <v>3732.2305387499982</v>
      </c>
      <c r="AN41" s="9">
        <f t="shared" si="82"/>
        <v>3545.6190118124982</v>
      </c>
      <c r="AO41" s="9">
        <f t="shared" si="82"/>
        <v>3368.338061221873</v>
      </c>
      <c r="AP41" s="9">
        <f t="shared" si="82"/>
        <v>3199.9211581607792</v>
      </c>
      <c r="AQ41" s="9">
        <f t="shared" ref="AQ41" si="83">+AP41*0.95</f>
        <v>3039.9251002527403</v>
      </c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</row>
    <row r="42" spans="2:68" s="1" customFormat="1" x14ac:dyDescent="0.2">
      <c r="B42" s="1" t="s">
        <v>52</v>
      </c>
      <c r="C42" s="9">
        <v>840</v>
      </c>
      <c r="D42" s="9">
        <v>851</v>
      </c>
      <c r="E42" s="9">
        <v>800</v>
      </c>
      <c r="F42" s="9">
        <v>871</v>
      </c>
      <c r="G42" s="9">
        <v>813</v>
      </c>
      <c r="H42" s="9">
        <v>872</v>
      </c>
      <c r="I42" s="9">
        <v>885</v>
      </c>
      <c r="J42" s="9">
        <v>885</v>
      </c>
      <c r="K42" s="9">
        <v>829</v>
      </c>
      <c r="L42" s="9">
        <v>840</v>
      </c>
      <c r="M42" s="9">
        <v>825</v>
      </c>
      <c r="N42" s="9">
        <v>830</v>
      </c>
      <c r="O42" s="9">
        <v>829</v>
      </c>
      <c r="P42" s="9">
        <v>979</v>
      </c>
      <c r="Q42" s="9">
        <f t="shared" ref="Q42:Q43" si="84">+M42</f>
        <v>825</v>
      </c>
      <c r="R42" s="9">
        <f t="shared" ref="R42:R43" si="85">+N42</f>
        <v>830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>
        <f t="shared" si="5"/>
        <v>3324</v>
      </c>
      <c r="AI42" s="9">
        <f t="shared" si="6"/>
        <v>3463</v>
      </c>
      <c r="AJ42" s="9">
        <f>+AI42*1.02</f>
        <v>3532.26</v>
      </c>
      <c r="AK42" s="9">
        <f t="shared" ref="AK42:AP42" si="86">+AJ42*1.02</f>
        <v>3602.9052000000001</v>
      </c>
      <c r="AL42" s="9">
        <f t="shared" si="86"/>
        <v>3674.9633040000003</v>
      </c>
      <c r="AM42" s="9">
        <f t="shared" si="86"/>
        <v>3748.4625700800002</v>
      </c>
      <c r="AN42" s="9">
        <f t="shared" si="86"/>
        <v>3823.4318214816003</v>
      </c>
      <c r="AO42" s="9">
        <f t="shared" si="86"/>
        <v>3899.9004579112325</v>
      </c>
      <c r="AP42" s="9">
        <f t="shared" si="86"/>
        <v>3977.8984670694572</v>
      </c>
      <c r="AQ42" s="9">
        <f t="shared" ref="AQ42" si="87">+AP42*1.02</f>
        <v>4057.4564364108464</v>
      </c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</row>
    <row r="43" spans="2:68" s="1" customFormat="1" x14ac:dyDescent="0.2">
      <c r="B43" s="1" t="s">
        <v>53</v>
      </c>
      <c r="C43" s="9">
        <f>571+369</f>
        <v>940</v>
      </c>
      <c r="D43" s="9">
        <f>490+359</f>
        <v>849</v>
      </c>
      <c r="E43" s="9">
        <f>314+443</f>
        <v>757</v>
      </c>
      <c r="F43" s="9">
        <f>390+298</f>
        <v>688</v>
      </c>
      <c r="G43" s="9">
        <f>546+454</f>
        <v>1000</v>
      </c>
      <c r="H43" s="9">
        <f>583+392</f>
        <v>975</v>
      </c>
      <c r="I43" s="9">
        <f>401+137</f>
        <v>538</v>
      </c>
      <c r="J43" s="9">
        <f>16+211</f>
        <v>227</v>
      </c>
      <c r="K43" s="9">
        <v>330</v>
      </c>
      <c r="L43" s="9">
        <v>381</v>
      </c>
      <c r="M43" s="9">
        <v>323</v>
      </c>
      <c r="N43" s="9">
        <v>358</v>
      </c>
      <c r="O43" s="9">
        <v>379</v>
      </c>
      <c r="P43" s="9">
        <v>165</v>
      </c>
      <c r="Q43" s="9">
        <f t="shared" si="84"/>
        <v>323</v>
      </c>
      <c r="R43" s="9">
        <f t="shared" si="85"/>
        <v>358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>
        <f t="shared" si="5"/>
        <v>1392</v>
      </c>
      <c r="AI43" s="9">
        <f t="shared" si="6"/>
        <v>1225</v>
      </c>
      <c r="AJ43" s="9">
        <f>+AI43*0.99</f>
        <v>1212.75</v>
      </c>
      <c r="AK43" s="9">
        <f t="shared" ref="AK43:AP43" si="88">+AJ43*0.99</f>
        <v>1200.6224999999999</v>
      </c>
      <c r="AL43" s="9">
        <f t="shared" si="88"/>
        <v>1188.6162749999999</v>
      </c>
      <c r="AM43" s="9">
        <f t="shared" si="88"/>
        <v>1176.7301122499998</v>
      </c>
      <c r="AN43" s="9">
        <f t="shared" si="88"/>
        <v>1164.9628111274999</v>
      </c>
      <c r="AO43" s="9">
        <f t="shared" si="88"/>
        <v>1153.3131830162249</v>
      </c>
      <c r="AP43" s="9">
        <f t="shared" si="88"/>
        <v>1141.7800511860626</v>
      </c>
      <c r="AQ43" s="9">
        <f t="shared" ref="AQ43" si="89">+AP43*0.99</f>
        <v>1130.362250674202</v>
      </c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</row>
    <row r="44" spans="2:68" s="10" customFormat="1" x14ac:dyDescent="0.2">
      <c r="B44" s="10" t="s">
        <v>54</v>
      </c>
      <c r="C44" s="11">
        <f>SUM(C3:C43)</f>
        <v>10669</v>
      </c>
      <c r="D44" s="11">
        <f t="shared" ref="D44" si="90">SUM(D3:D43)</f>
        <v>11010</v>
      </c>
      <c r="E44" s="11">
        <f t="shared" ref="E44" si="91">SUM(E3:E43)</f>
        <v>11032</v>
      </c>
      <c r="F44" s="11">
        <f t="shared" ref="F44" si="92">SUM(F3:F43)</f>
        <v>11319</v>
      </c>
      <c r="G44" s="11">
        <f t="shared" ref="G44:J44" si="93">SUM(G3:G43)</f>
        <v>10264</v>
      </c>
      <c r="H44" s="11">
        <f t="shared" si="93"/>
        <v>10934</v>
      </c>
      <c r="I44" s="11">
        <f t="shared" si="93"/>
        <v>10557</v>
      </c>
      <c r="J44" s="11">
        <f t="shared" si="93"/>
        <v>10482</v>
      </c>
      <c r="K44" s="11">
        <f>SUM(K3:K43)</f>
        <v>9425</v>
      </c>
      <c r="L44" s="11">
        <f t="shared" ref="L44:O44" si="94">SUM(L3:L43)</f>
        <v>9785</v>
      </c>
      <c r="M44" s="11">
        <f t="shared" si="94"/>
        <v>10073</v>
      </c>
      <c r="N44" s="11">
        <f t="shared" si="94"/>
        <v>10215</v>
      </c>
      <c r="O44" s="11">
        <f t="shared" si="94"/>
        <v>9312</v>
      </c>
      <c r="P44" s="11">
        <f t="shared" ref="P44" si="95">SUM(P3:P43)</f>
        <v>9844</v>
      </c>
      <c r="Q44" s="11">
        <f t="shared" ref="Q44" si="96">SUM(Q3:Q43)</f>
        <v>10197.550000000001</v>
      </c>
      <c r="R44" s="11">
        <f t="shared" ref="R44" si="97">SUM(R3:R43)</f>
        <v>10443.049999999999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>
        <f t="shared" ref="AH44" si="98">SUM(AH3:AH43)</f>
        <v>39498</v>
      </c>
      <c r="AI44" s="11">
        <f t="shared" ref="AI44:AJ44" si="99">SUM(AI3:AI43)</f>
        <v>39796.6</v>
      </c>
      <c r="AJ44" s="11">
        <f t="shared" si="99"/>
        <v>38500.663499999995</v>
      </c>
      <c r="AK44" s="11">
        <f t="shared" ref="AK44" si="100">SUM(AK3:AK43)</f>
        <v>38145.754734999995</v>
      </c>
      <c r="AL44" s="11">
        <f t="shared" ref="AL44" si="101">SUM(AL3:AL43)</f>
        <v>37769.690471849994</v>
      </c>
      <c r="AM44" s="11">
        <f t="shared" ref="AM44" si="102">SUM(AM3:AM43)</f>
        <v>37258.663855983497</v>
      </c>
      <c r="AN44" s="11">
        <f t="shared" ref="AN44" si="103">SUM(AN3:AN43)</f>
        <v>37089.638749155383</v>
      </c>
      <c r="AO44" s="11">
        <f t="shared" ref="AO44" si="104">SUM(AO3:AO43)</f>
        <v>36114.189843725137</v>
      </c>
      <c r="AP44" s="11">
        <f t="shared" ref="AP44" si="105">SUM(AP3:AP43)</f>
        <v>34372.396898783911</v>
      </c>
      <c r="AQ44" s="11">
        <f t="shared" ref="AQ44" si="106">SUM(AQ3:AQ43)</f>
        <v>27772.128905097867</v>
      </c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</row>
    <row r="45" spans="2:68" s="1" customFormat="1" x14ac:dyDescent="0.2">
      <c r="B45" s="1" t="s">
        <v>63</v>
      </c>
      <c r="C45" s="9"/>
      <c r="D45" s="9"/>
      <c r="E45" s="9"/>
      <c r="F45" s="9"/>
      <c r="G45" s="9"/>
      <c r="H45" s="9"/>
      <c r="I45" s="9"/>
      <c r="J45" s="9"/>
      <c r="K45" s="9">
        <v>2214</v>
      </c>
      <c r="L45" s="9">
        <v>3754</v>
      </c>
      <c r="M45" s="9">
        <v>3761</v>
      </c>
      <c r="N45" s="9">
        <v>3850</v>
      </c>
      <c r="O45" s="9">
        <v>2319</v>
      </c>
      <c r="P45" s="9">
        <v>3578</v>
      </c>
      <c r="Q45" s="9">
        <f t="shared" ref="Q45:R45" si="107">+Q44-Q46</f>
        <v>2549.3875000000007</v>
      </c>
      <c r="R45" s="9">
        <f t="shared" si="107"/>
        <v>2610.7624999999998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>
        <f t="shared" ref="AH45" si="108">SUM(K45:N45)</f>
        <v>13579</v>
      </c>
      <c r="AI45" s="9">
        <f t="shared" ref="AI45" si="109">SUM(O45:R45)</f>
        <v>11057.150000000001</v>
      </c>
      <c r="AJ45" s="9">
        <f>+AJ44-AJ46</f>
        <v>9625.1658749999988</v>
      </c>
      <c r="AK45" s="9">
        <f t="shared" ref="AK45:AP45" si="110">+AK44-AK46</f>
        <v>9536.4386837499987</v>
      </c>
      <c r="AL45" s="9">
        <f t="shared" si="110"/>
        <v>9442.4226179624966</v>
      </c>
      <c r="AM45" s="9">
        <f t="shared" si="110"/>
        <v>9314.6659639958743</v>
      </c>
      <c r="AN45" s="9">
        <f t="shared" si="110"/>
        <v>9272.4096872888476</v>
      </c>
      <c r="AO45" s="9">
        <f t="shared" si="110"/>
        <v>9028.5474609312841</v>
      </c>
      <c r="AP45" s="9">
        <f t="shared" si="110"/>
        <v>8593.0992246959795</v>
      </c>
      <c r="AQ45" s="9">
        <f t="shared" ref="AQ45" si="111">+AQ44-AQ46</f>
        <v>6943.0322262744667</v>
      </c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2:68" s="1" customFormat="1" x14ac:dyDescent="0.2">
      <c r="B46" s="1" t="s">
        <v>64</v>
      </c>
      <c r="C46" s="9"/>
      <c r="D46" s="9"/>
      <c r="E46" s="9"/>
      <c r="F46" s="9"/>
      <c r="G46" s="9"/>
      <c r="H46" s="9"/>
      <c r="I46" s="9"/>
      <c r="J46" s="9"/>
      <c r="K46" s="9">
        <f>+K44-K45</f>
        <v>7211</v>
      </c>
      <c r="L46" s="9">
        <f t="shared" ref="L46:O46" si="112">+L44-L45</f>
        <v>6031</v>
      </c>
      <c r="M46" s="9">
        <f t="shared" si="112"/>
        <v>6312</v>
      </c>
      <c r="N46" s="9">
        <f t="shared" si="112"/>
        <v>6365</v>
      </c>
      <c r="O46" s="9">
        <f t="shared" si="112"/>
        <v>6993</v>
      </c>
      <c r="P46" s="9">
        <f>+P44-P45</f>
        <v>6266</v>
      </c>
      <c r="Q46" s="9">
        <f t="shared" ref="Q46:R46" si="113">+Q44*0.75</f>
        <v>7648.1625000000004</v>
      </c>
      <c r="R46" s="9">
        <f t="shared" si="113"/>
        <v>7832.2874999999995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>
        <f t="shared" ref="AH46:AI46" si="114">+AH44*0.75</f>
        <v>29623.5</v>
      </c>
      <c r="AI46" s="9">
        <f t="shared" si="114"/>
        <v>29847.449999999997</v>
      </c>
      <c r="AJ46" s="9">
        <f>+AJ44*0.75</f>
        <v>28875.497624999996</v>
      </c>
      <c r="AK46" s="9">
        <f t="shared" ref="AK46:AP46" si="115">+AK44*0.75</f>
        <v>28609.316051249996</v>
      </c>
      <c r="AL46" s="9">
        <f t="shared" si="115"/>
        <v>28327.267853887497</v>
      </c>
      <c r="AM46" s="9">
        <f t="shared" si="115"/>
        <v>27943.997891987623</v>
      </c>
      <c r="AN46" s="9">
        <f t="shared" si="115"/>
        <v>27817.229061866536</v>
      </c>
      <c r="AO46" s="9">
        <f t="shared" si="115"/>
        <v>27085.642382793852</v>
      </c>
      <c r="AP46" s="9">
        <f t="shared" si="115"/>
        <v>25779.297674087931</v>
      </c>
      <c r="AQ46" s="9">
        <f t="shared" ref="AQ46" si="116">+AQ44*0.75</f>
        <v>20829.0966788234</v>
      </c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2:68" s="1" customFormat="1" x14ac:dyDescent="0.2">
      <c r="B47" s="1" t="s">
        <v>65</v>
      </c>
      <c r="C47" s="9"/>
      <c r="D47" s="9"/>
      <c r="E47" s="9"/>
      <c r="F47" s="9"/>
      <c r="G47" s="9"/>
      <c r="H47" s="9"/>
      <c r="I47" s="9"/>
      <c r="J47" s="9"/>
      <c r="K47" s="9">
        <v>2338</v>
      </c>
      <c r="L47" s="9">
        <v>2624</v>
      </c>
      <c r="M47" s="9">
        <v>2472</v>
      </c>
      <c r="N47" s="9">
        <v>2615</v>
      </c>
      <c r="O47" s="9">
        <v>2313</v>
      </c>
      <c r="P47" s="9">
        <v>2458</v>
      </c>
      <c r="Q47" s="9">
        <f t="shared" ref="Q47:Q48" si="117">+M47</f>
        <v>2472</v>
      </c>
      <c r="R47" s="9">
        <f t="shared" ref="R47:R48" si="118">+N47</f>
        <v>2615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>
        <f t="shared" ref="AH47:AH48" si="119">SUM(K47:N47)</f>
        <v>10049</v>
      </c>
      <c r="AI47" s="9">
        <f t="shared" ref="AI47:AI48" si="120">SUM(O47:R47)</f>
        <v>9858</v>
      </c>
      <c r="AJ47" s="9">
        <f>+AI47</f>
        <v>9858</v>
      </c>
      <c r="AK47" s="9">
        <f t="shared" ref="AK47:AP47" si="121">+AJ47</f>
        <v>9858</v>
      </c>
      <c r="AL47" s="9">
        <f t="shared" si="121"/>
        <v>9858</v>
      </c>
      <c r="AM47" s="9">
        <f t="shared" si="121"/>
        <v>9858</v>
      </c>
      <c r="AN47" s="9">
        <f t="shared" si="121"/>
        <v>9858</v>
      </c>
      <c r="AO47" s="9">
        <f t="shared" si="121"/>
        <v>9858</v>
      </c>
      <c r="AP47" s="9">
        <f t="shared" si="121"/>
        <v>9858</v>
      </c>
      <c r="AQ47" s="9">
        <f t="shared" ref="AQ47" si="122">+AP47</f>
        <v>9858</v>
      </c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2:68" s="1" customFormat="1" x14ac:dyDescent="0.2">
      <c r="B48" s="1" t="s">
        <v>66</v>
      </c>
      <c r="C48" s="9"/>
      <c r="D48" s="9"/>
      <c r="E48" s="9"/>
      <c r="F48" s="9"/>
      <c r="G48" s="9"/>
      <c r="H48" s="9"/>
      <c r="I48" s="9"/>
      <c r="J48" s="9"/>
      <c r="K48" s="9">
        <v>1672</v>
      </c>
      <c r="L48" s="9">
        <v>1670</v>
      </c>
      <c r="M48" s="9">
        <v>1500</v>
      </c>
      <c r="N48" s="9">
        <v>1797</v>
      </c>
      <c r="O48" s="9">
        <v>1569</v>
      </c>
      <c r="P48" s="9">
        <v>2151</v>
      </c>
      <c r="Q48" s="9">
        <f t="shared" si="117"/>
        <v>1500</v>
      </c>
      <c r="R48" s="9">
        <f t="shared" si="118"/>
        <v>1797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>
        <f t="shared" si="119"/>
        <v>6639</v>
      </c>
      <c r="AI48" s="9">
        <f t="shared" si="120"/>
        <v>7017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:68" s="1" customFormat="1" x14ac:dyDescent="0.2">
      <c r="B49" s="1" t="s">
        <v>67</v>
      </c>
      <c r="C49" s="9"/>
      <c r="D49" s="9"/>
      <c r="E49" s="9"/>
      <c r="F49" s="9"/>
      <c r="G49" s="9"/>
      <c r="H49" s="9"/>
      <c r="I49" s="9"/>
      <c r="J49" s="9"/>
      <c r="K49" s="9">
        <f>+K48+K47</f>
        <v>4010</v>
      </c>
      <c r="L49" s="9">
        <f t="shared" ref="L49:O49" si="123">+L48+L47</f>
        <v>4294</v>
      </c>
      <c r="M49" s="9">
        <f t="shared" si="123"/>
        <v>3972</v>
      </c>
      <c r="N49" s="9">
        <f t="shared" si="123"/>
        <v>4412</v>
      </c>
      <c r="O49" s="9">
        <f t="shared" si="123"/>
        <v>3882</v>
      </c>
      <c r="P49" s="9">
        <f t="shared" ref="P49" si="124">+P48+P47</f>
        <v>4609</v>
      </c>
      <c r="Q49" s="9">
        <f t="shared" ref="Q49" si="125">+Q48+Q47</f>
        <v>3972</v>
      </c>
      <c r="R49" s="9">
        <f t="shared" ref="R49" si="126">+R48+R47</f>
        <v>4412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>
        <f t="shared" ref="AH49:AJ49" si="127">+AH48+AH47</f>
        <v>16688</v>
      </c>
      <c r="AI49" s="9">
        <f t="shared" si="127"/>
        <v>16875</v>
      </c>
      <c r="AJ49" s="9">
        <f t="shared" si="127"/>
        <v>9858</v>
      </c>
      <c r="AK49" s="9">
        <f t="shared" ref="AK49" si="128">+AK48+AK47</f>
        <v>9858</v>
      </c>
      <c r="AL49" s="9">
        <f t="shared" ref="AL49" si="129">+AL48+AL47</f>
        <v>9858</v>
      </c>
      <c r="AM49" s="9">
        <f t="shared" ref="AM49" si="130">+AM48+AM47</f>
        <v>9858</v>
      </c>
      <c r="AN49" s="9">
        <f t="shared" ref="AN49" si="131">+AN48+AN47</f>
        <v>9858</v>
      </c>
      <c r="AO49" s="9">
        <f t="shared" ref="AO49" si="132">+AO48+AO47</f>
        <v>9858</v>
      </c>
      <c r="AP49" s="9">
        <f t="shared" ref="AP49" si="133">+AP48+AP47</f>
        <v>9858</v>
      </c>
      <c r="AQ49" s="9">
        <f t="shared" ref="AQ49" si="134">+AQ48+AQ47</f>
        <v>9858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:68" s="1" customFormat="1" x14ac:dyDescent="0.2">
      <c r="B50" s="1" t="s">
        <v>68</v>
      </c>
      <c r="C50" s="9"/>
      <c r="D50" s="9"/>
      <c r="E50" s="9"/>
      <c r="F50" s="9"/>
      <c r="G50" s="9"/>
      <c r="H50" s="9"/>
      <c r="I50" s="9"/>
      <c r="J50" s="9"/>
      <c r="K50" s="9">
        <f>+K46-K49</f>
        <v>3201</v>
      </c>
      <c r="L50" s="9">
        <f t="shared" ref="L50:N50" si="135">+L46-L49</f>
        <v>1737</v>
      </c>
      <c r="M50" s="9">
        <f t="shared" si="135"/>
        <v>2340</v>
      </c>
      <c r="N50" s="9">
        <f t="shared" si="135"/>
        <v>1953</v>
      </c>
      <c r="O50" s="9">
        <f>+O46-O49</f>
        <v>3111</v>
      </c>
      <c r="P50" s="9">
        <f t="shared" ref="P50:R50" si="136">+P46-P49</f>
        <v>1657</v>
      </c>
      <c r="Q50" s="9">
        <f t="shared" si="136"/>
        <v>3676.1625000000004</v>
      </c>
      <c r="R50" s="9">
        <f t="shared" si="136"/>
        <v>3420.2874999999995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>
        <f t="shared" ref="AH50:AJ50" si="137">+AH46-AH49</f>
        <v>12935.5</v>
      </c>
      <c r="AI50" s="9">
        <f t="shared" si="137"/>
        <v>12972.449999999997</v>
      </c>
      <c r="AJ50" s="9">
        <f t="shared" si="137"/>
        <v>19017.497624999996</v>
      </c>
      <c r="AK50" s="9">
        <f t="shared" ref="AK50" si="138">+AK46-AK49</f>
        <v>18751.316051249996</v>
      </c>
      <c r="AL50" s="9">
        <f t="shared" ref="AL50" si="139">+AL46-AL49</f>
        <v>18469.267853887497</v>
      </c>
      <c r="AM50" s="9">
        <f t="shared" ref="AM50" si="140">+AM46-AM49</f>
        <v>18085.997891987623</v>
      </c>
      <c r="AN50" s="9">
        <f t="shared" ref="AN50" si="141">+AN46-AN49</f>
        <v>17959.229061866536</v>
      </c>
      <c r="AO50" s="9">
        <f t="shared" ref="AO50" si="142">+AO46-AO49</f>
        <v>17227.642382793852</v>
      </c>
      <c r="AP50" s="9">
        <f t="shared" ref="AP50" si="143">+AP46-AP49</f>
        <v>15921.297674087931</v>
      </c>
      <c r="AQ50" s="9">
        <f t="shared" ref="AQ50" si="144">+AQ46-AQ49</f>
        <v>10971.0966788234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:68" s="1" customFormat="1" x14ac:dyDescent="0.2">
      <c r="B51" s="1" t="s">
        <v>69</v>
      </c>
      <c r="C51" s="9"/>
      <c r="D51" s="9"/>
      <c r="E51" s="9"/>
      <c r="F51" s="9"/>
      <c r="G51" s="9"/>
      <c r="H51" s="9"/>
      <c r="I51" s="9"/>
      <c r="J51" s="9"/>
      <c r="K51" s="9">
        <v>-69</v>
      </c>
      <c r="L51" s="9">
        <v>-739</v>
      </c>
      <c r="M51" s="9">
        <v>170</v>
      </c>
      <c r="N51" s="9">
        <v>-905</v>
      </c>
      <c r="O51" s="9">
        <v>-48</v>
      </c>
      <c r="P51" s="9">
        <v>-19</v>
      </c>
      <c r="Q51" s="9">
        <f t="shared" ref="Q51:R51" si="145">+P51</f>
        <v>-19</v>
      </c>
      <c r="R51" s="9">
        <f t="shared" si="145"/>
        <v>-19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>
        <f t="shared" ref="AH51" si="146">SUM(K51:N51)</f>
        <v>-1543</v>
      </c>
      <c r="AI51" s="9">
        <f t="shared" ref="AI51" si="147">SUM(O51:R51)</f>
        <v>-105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:68" s="1" customFormat="1" x14ac:dyDescent="0.2">
      <c r="B52" s="1" t="s">
        <v>70</v>
      </c>
      <c r="C52" s="9"/>
      <c r="D52" s="9"/>
      <c r="E52" s="9"/>
      <c r="F52" s="9"/>
      <c r="G52" s="9"/>
      <c r="H52" s="9"/>
      <c r="I52" s="9"/>
      <c r="J52" s="9"/>
      <c r="K52" s="9">
        <f>+K51+K50</f>
        <v>3132</v>
      </c>
      <c r="L52" s="9">
        <f t="shared" ref="L52:N52" si="148">+L51+L50</f>
        <v>998</v>
      </c>
      <c r="M52" s="9">
        <f t="shared" si="148"/>
        <v>2510</v>
      </c>
      <c r="N52" s="9">
        <f t="shared" si="148"/>
        <v>1048</v>
      </c>
      <c r="O52" s="9">
        <f>+O51+O50</f>
        <v>3063</v>
      </c>
      <c r="P52" s="9">
        <f t="shared" ref="P52:R52" si="149">+P51+P50</f>
        <v>1638</v>
      </c>
      <c r="Q52" s="9">
        <f t="shared" si="149"/>
        <v>3657.1625000000004</v>
      </c>
      <c r="R52" s="9">
        <f t="shared" si="149"/>
        <v>3401.2874999999995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>
        <f t="shared" ref="AH52" si="150">+AH51+AH50</f>
        <v>11392.5</v>
      </c>
      <c r="AI52" s="9">
        <f t="shared" ref="AI52" si="151">+AI51+AI50</f>
        <v>12867.449999999997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:68" s="1" customFormat="1" x14ac:dyDescent="0.2">
      <c r="B53" s="1" t="s">
        <v>71</v>
      </c>
      <c r="C53" s="9"/>
      <c r="D53" s="9"/>
      <c r="E53" s="9"/>
      <c r="F53" s="9"/>
      <c r="G53" s="9"/>
      <c r="H53" s="9"/>
      <c r="I53" s="9"/>
      <c r="J53" s="9"/>
      <c r="K53" s="9">
        <f>701+5</f>
        <v>706</v>
      </c>
      <c r="L53" s="9">
        <f>119+1</f>
        <v>120</v>
      </c>
      <c r="M53" s="9">
        <f>566+5</f>
        <v>571</v>
      </c>
      <c r="N53" s="9">
        <f>-166+5</f>
        <v>-161</v>
      </c>
      <c r="O53" s="9">
        <f>746+5</f>
        <v>751</v>
      </c>
      <c r="P53" s="9">
        <f>295+4</f>
        <v>299</v>
      </c>
      <c r="Q53" s="9">
        <f t="shared" ref="Q53:R53" si="152">+Q52*0.25</f>
        <v>914.29062500000009</v>
      </c>
      <c r="R53" s="9">
        <f t="shared" si="152"/>
        <v>850.32187499999986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>
        <f t="shared" ref="AH53" si="153">SUM(K53:N53)</f>
        <v>1236</v>
      </c>
      <c r="AI53" s="9">
        <f t="shared" ref="AI53" si="154">SUM(O53:R53)</f>
        <v>2814.6125000000002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:68" s="1" customFormat="1" x14ac:dyDescent="0.2">
      <c r="B54" s="1" t="s">
        <v>72</v>
      </c>
      <c r="C54" s="9"/>
      <c r="D54" s="9"/>
      <c r="E54" s="9"/>
      <c r="F54" s="9"/>
      <c r="G54" s="9"/>
      <c r="H54" s="9"/>
      <c r="I54" s="9"/>
      <c r="J54" s="9"/>
      <c r="K54" s="9">
        <f>+K52-K53</f>
        <v>2426</v>
      </c>
      <c r="L54" s="9">
        <f t="shared" ref="L54:O54" si="155">+L52-L53</f>
        <v>878</v>
      </c>
      <c r="M54" s="9">
        <f t="shared" si="155"/>
        <v>1939</v>
      </c>
      <c r="N54" s="9">
        <f t="shared" si="155"/>
        <v>1209</v>
      </c>
      <c r="O54" s="9">
        <f t="shared" si="155"/>
        <v>2312</v>
      </c>
      <c r="P54" s="9">
        <f t="shared" ref="P54" si="156">+P52-P53</f>
        <v>1339</v>
      </c>
      <c r="Q54" s="9">
        <f t="shared" ref="Q54" si="157">+Q52-Q53</f>
        <v>2742.8718750000003</v>
      </c>
      <c r="R54" s="9">
        <f t="shared" ref="R54" si="158">+R52-R53</f>
        <v>2550.9656249999998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>
        <f t="shared" ref="AH54" si="159">+AH52-AH53</f>
        <v>10156.5</v>
      </c>
      <c r="AI54" s="9">
        <f t="shared" ref="AI54" si="160">+AI52-AI53</f>
        <v>10052.837499999998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:68" x14ac:dyDescent="0.2">
      <c r="B55" s="1" t="s">
        <v>73</v>
      </c>
      <c r="K55" s="12">
        <f>K54/K56</f>
        <v>0.84677137870855146</v>
      </c>
      <c r="L55" s="12">
        <f t="shared" ref="L55:O55" si="161">L54/L56</f>
        <v>0.30807017543859649</v>
      </c>
      <c r="M55" s="12">
        <f t="shared" si="161"/>
        <v>0.68370944992947813</v>
      </c>
      <c r="N55" s="12">
        <f t="shared" si="161"/>
        <v>0.42979025950942057</v>
      </c>
      <c r="O55" s="12">
        <f t="shared" si="161"/>
        <v>0.82719141323792489</v>
      </c>
      <c r="P55" s="12">
        <f t="shared" ref="P55" si="162">P54/P56</f>
        <v>0.48409255242227045</v>
      </c>
      <c r="Q55" s="12">
        <f t="shared" ref="Q55" si="163">Q54/Q56</f>
        <v>0.99163842190889384</v>
      </c>
      <c r="R55" s="12">
        <f t="shared" ref="R55" si="164">R54/R56</f>
        <v>0.92225799891540128</v>
      </c>
      <c r="S55" s="12"/>
      <c r="T55" s="12"/>
      <c r="U55" s="12"/>
      <c r="V55" s="12"/>
      <c r="AH55" s="12">
        <f t="shared" ref="AH55" si="165">AH54/AH56</f>
        <v>3.574973600844773</v>
      </c>
      <c r="AI55" s="12">
        <f t="shared" ref="AI55" si="166">AI54/AI56</f>
        <v>3.6249301361218778</v>
      </c>
    </row>
    <row r="56" spans="2:68" s="1" customFormat="1" x14ac:dyDescent="0.2">
      <c r="B56" s="1" t="s">
        <v>1</v>
      </c>
      <c r="C56" s="9"/>
      <c r="D56" s="9"/>
      <c r="E56" s="9"/>
      <c r="F56" s="9"/>
      <c r="G56" s="9"/>
      <c r="H56" s="9"/>
      <c r="I56" s="9"/>
      <c r="J56" s="9"/>
      <c r="K56" s="9">
        <v>2865</v>
      </c>
      <c r="L56" s="9">
        <v>2850</v>
      </c>
      <c r="M56" s="9">
        <v>2836</v>
      </c>
      <c r="N56" s="9">
        <v>2813</v>
      </c>
      <c r="O56" s="9">
        <v>2795</v>
      </c>
      <c r="P56" s="9">
        <v>2766</v>
      </c>
      <c r="Q56" s="9">
        <f t="shared" ref="Q56:R56" si="167">+P56</f>
        <v>2766</v>
      </c>
      <c r="R56" s="9">
        <f t="shared" si="167"/>
        <v>2766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>
        <f>AVERAGE(K56:N56)</f>
        <v>2841</v>
      </c>
      <c r="AI56" s="9">
        <f>AVERAGE(O56:R56)</f>
        <v>2773.25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8" spans="2:68" x14ac:dyDescent="0.2">
      <c r="B58" s="1" t="s">
        <v>75</v>
      </c>
      <c r="F58" s="13"/>
      <c r="G58" s="13">
        <f t="shared" ref="G58:O58" si="168">+G44/C44-1</f>
        <v>-3.7960446152404126E-2</v>
      </c>
      <c r="H58" s="13">
        <f t="shared" si="168"/>
        <v>-6.9028156221616621E-3</v>
      </c>
      <c r="I58" s="13">
        <f t="shared" si="168"/>
        <v>-4.3056562726613512E-2</v>
      </c>
      <c r="J58" s="13">
        <f t="shared" si="168"/>
        <v>-7.3946461701563715E-2</v>
      </c>
      <c r="K58" s="13">
        <f t="shared" si="168"/>
        <v>-8.1742010911925123E-2</v>
      </c>
      <c r="L58" s="13">
        <f t="shared" si="168"/>
        <v>-0.10508505578928118</v>
      </c>
      <c r="M58" s="13">
        <f t="shared" si="168"/>
        <v>-4.5846357866818233E-2</v>
      </c>
      <c r="N58" s="13">
        <f t="shared" si="168"/>
        <v>-2.5472238122495661E-2</v>
      </c>
      <c r="O58" s="13">
        <f t="shared" si="168"/>
        <v>-1.198938992042442E-2</v>
      </c>
      <c r="P58" s="13">
        <f>+P44/L44-1</f>
        <v>6.0296371997956566E-3</v>
      </c>
      <c r="Q58" s="13">
        <f t="shared" ref="Q58:R58" si="169">+Q44/M44-1</f>
        <v>1.2364737416856952E-2</v>
      </c>
      <c r="R58" s="13">
        <f t="shared" si="169"/>
        <v>2.2325012236906527E-2</v>
      </c>
      <c r="S58" s="13"/>
      <c r="T58" s="13"/>
      <c r="U58" s="13"/>
      <c r="V58" s="13"/>
      <c r="AI58" s="13">
        <f>AI44/AH44-1</f>
        <v>7.5598764494404502E-3</v>
      </c>
    </row>
    <row r="59" spans="2:68" x14ac:dyDescent="0.2">
      <c r="B59" s="1" t="s">
        <v>74</v>
      </c>
      <c r="K59" s="13">
        <f>+K46/K44</f>
        <v>0.76509283819628648</v>
      </c>
      <c r="O59" s="13">
        <f>+O46/O44</f>
        <v>0.75096649484536082</v>
      </c>
      <c r="P59" s="13">
        <f t="shared" ref="P59:R59" si="170">+P46/P44</f>
        <v>0.6365298659081674</v>
      </c>
      <c r="Q59" s="13">
        <f t="shared" si="170"/>
        <v>0.75</v>
      </c>
      <c r="R59" s="13">
        <f t="shared" si="170"/>
        <v>0.75</v>
      </c>
      <c r="S59" s="13"/>
      <c r="T59" s="13"/>
      <c r="U59" s="13"/>
      <c r="V59" s="13"/>
      <c r="AH59" s="13">
        <f t="shared" ref="AH59:AI59" si="171">+AH46/AH44</f>
        <v>0.75</v>
      </c>
      <c r="AI59" s="13">
        <f t="shared" si="171"/>
        <v>0.75</v>
      </c>
    </row>
    <row r="61" spans="2:68" x14ac:dyDescent="0.2">
      <c r="B61" s="1" t="s">
        <v>116</v>
      </c>
      <c r="P61" s="9">
        <f>P62-P71</f>
        <v>-573</v>
      </c>
      <c r="Q61" s="9">
        <f>+P61+Q54</f>
        <v>2169.8718750000003</v>
      </c>
      <c r="R61" s="9">
        <f t="shared" ref="R61" si="172">+Q61+R54</f>
        <v>4720.8374999999996</v>
      </c>
      <c r="S61" s="9"/>
      <c r="T61" s="9"/>
      <c r="U61" s="9"/>
      <c r="V61" s="9"/>
      <c r="AI61" s="9">
        <f>+R61</f>
        <v>4720.8374999999996</v>
      </c>
    </row>
    <row r="62" spans="2:68" s="1" customFormat="1" x14ac:dyDescent="0.2">
      <c r="B62" s="1" t="s">
        <v>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>
        <f>6608+5226+11879</f>
        <v>23713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:68" s="1" customFormat="1" x14ac:dyDescent="0.2">
      <c r="B63" s="1" t="s">
        <v>109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>
        <v>6916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:68" s="1" customFormat="1" x14ac:dyDescent="0.2">
      <c r="B64" s="1" t="s">
        <v>108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>
        <v>5248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:68" s="1" customFormat="1" x14ac:dyDescent="0.2">
      <c r="B65" s="1" t="s">
        <v>107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>
        <v>3928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:68" s="1" customFormat="1" x14ac:dyDescent="0.2">
      <c r="B66" s="1" t="s">
        <v>106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>
        <v>11987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:68" s="1" customFormat="1" x14ac:dyDescent="0.2">
      <c r="B67" s="1" t="s">
        <v>105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>
        <f>17809+20315</f>
        <v>38124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:68" s="1" customFormat="1" x14ac:dyDescent="0.2">
      <c r="B68" s="1" t="s">
        <v>104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>
        <v>6559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:68" s="1" customFormat="1" x14ac:dyDescent="0.2">
      <c r="B69" s="1" t="s">
        <v>103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>
        <f>SUM(P62:P68)</f>
        <v>96475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1" spans="2:68" s="1" customFormat="1" x14ac:dyDescent="0.2">
      <c r="B71" s="1" t="s">
        <v>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>
        <f>644+23642</f>
        <v>24286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:68" s="1" customFormat="1" x14ac:dyDescent="0.2">
      <c r="B72" s="1" t="s">
        <v>115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>
        <v>2514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:68" s="1" customFormat="1" x14ac:dyDescent="0.2">
      <c r="B73" s="1" t="s">
        <v>114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>
        <v>9255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:68" s="1" customFormat="1" x14ac:dyDescent="0.2">
      <c r="B74" s="1" t="s">
        <v>71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>
        <f>1213+6091</f>
        <v>7304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:68" s="1" customFormat="1" x14ac:dyDescent="0.2">
      <c r="B75" s="1" t="s">
        <v>113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>
        <v>1292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:68" s="1" customFormat="1" x14ac:dyDescent="0.2">
      <c r="B76" s="1" t="s">
        <v>112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>
        <v>8378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2:68" s="1" customFormat="1" x14ac:dyDescent="0.2">
      <c r="B77" s="1" t="s">
        <v>110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>
        <v>43446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2:68" s="1" customFormat="1" x14ac:dyDescent="0.2">
      <c r="B78" s="1" t="s">
        <v>111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>
        <f>SUM(P71:P77)</f>
        <v>96475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6" t="s">
        <v>7</v>
      </c>
    </row>
    <row r="2" spans="1:3" x14ac:dyDescent="0.2">
      <c r="B2" t="s">
        <v>55</v>
      </c>
      <c r="C2" t="s">
        <v>37</v>
      </c>
    </row>
    <row r="3" spans="1:3" x14ac:dyDescent="0.2">
      <c r="B3" t="s">
        <v>56</v>
      </c>
      <c r="C3" t="s">
        <v>76</v>
      </c>
    </row>
    <row r="4" spans="1:3" x14ac:dyDescent="0.2">
      <c r="B4" t="s">
        <v>59</v>
      </c>
      <c r="C4" t="s">
        <v>86</v>
      </c>
    </row>
    <row r="5" spans="1:3" x14ac:dyDescent="0.2">
      <c r="B5" t="s">
        <v>80</v>
      </c>
    </row>
    <row r="7" spans="1:3" x14ac:dyDescent="0.2">
      <c r="C7" s="15" t="s">
        <v>84</v>
      </c>
    </row>
    <row r="9" spans="1:3" x14ac:dyDescent="0.2">
      <c r="C9" s="15" t="s">
        <v>85</v>
      </c>
    </row>
    <row r="12" spans="1:3" x14ac:dyDescent="0.2">
      <c r="C12" s="15" t="s">
        <v>81</v>
      </c>
    </row>
    <row r="13" spans="1:3" x14ac:dyDescent="0.2">
      <c r="C13" t="s">
        <v>82</v>
      </c>
    </row>
    <row r="14" spans="1:3" x14ac:dyDescent="0.2">
      <c r="C14" t="s">
        <v>83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Keytruda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2016-05-12T01:58:11Z</dcterms:created>
  <dcterms:modified xsi:type="dcterms:W3CDTF">2016-09-30T19:40:53Z</dcterms:modified>
</cp:coreProperties>
</file>