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75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U39" i="2"/>
  <c r="U1" i="2"/>
  <c r="T1" i="2" s="1"/>
  <c r="U2" i="2"/>
  <c r="T2" i="2" s="1"/>
  <c r="AE47" i="2"/>
  <c r="V43" i="2"/>
  <c r="V42" i="2"/>
  <c r="W39" i="2"/>
  <c r="V29" i="2"/>
  <c r="V25" i="2"/>
  <c r="W43" i="2"/>
  <c r="W42" i="2"/>
  <c r="X39" i="2"/>
  <c r="W29" i="2"/>
  <c r="W25" i="2"/>
  <c r="X43" i="2"/>
  <c r="X42" i="2"/>
  <c r="Y39" i="2"/>
  <c r="X29" i="2"/>
  <c r="X25" i="2"/>
  <c r="Y43" i="2"/>
  <c r="Y42" i="2"/>
  <c r="Z39" i="2"/>
  <c r="Y29" i="2"/>
  <c r="Y25" i="2"/>
  <c r="Z43" i="2"/>
  <c r="Z42" i="2"/>
  <c r="AA39" i="2"/>
  <c r="Z29" i="2"/>
  <c r="Z25" i="2"/>
  <c r="AA43" i="2"/>
  <c r="AA42" i="2"/>
  <c r="AB39" i="2"/>
  <c r="AA29" i="2"/>
  <c r="AA25" i="2"/>
  <c r="AB43" i="2"/>
  <c r="AB42" i="2"/>
  <c r="AC39" i="2"/>
  <c r="AB29" i="2"/>
  <c r="AB25" i="2"/>
  <c r="AF23" i="2"/>
  <c r="AE68" i="2"/>
  <c r="AE62" i="2"/>
  <c r="AE59" i="2"/>
  <c r="AE56" i="2"/>
  <c r="AE54" i="2"/>
  <c r="AE48" i="2"/>
  <c r="AF39" i="2"/>
  <c r="AE39" i="2"/>
  <c r="AD39" i="2"/>
  <c r="AE43" i="2"/>
  <c r="AD43" i="2"/>
  <c r="AC43" i="2"/>
  <c r="AE42" i="2"/>
  <c r="AD42" i="2"/>
  <c r="AC42" i="2"/>
  <c r="AC29" i="2"/>
  <c r="AC25" i="2"/>
  <c r="AD29" i="2"/>
  <c r="AD25" i="2"/>
  <c r="AE30" i="2"/>
  <c r="AE29" i="2"/>
  <c r="AE25" i="2"/>
  <c r="V30" i="2" l="1"/>
  <c r="V32" i="2" s="1"/>
  <c r="V34" i="2" s="1"/>
  <c r="V35" i="2" s="1"/>
  <c r="W30" i="2"/>
  <c r="W32" i="2" s="1"/>
  <c r="W34" i="2" s="1"/>
  <c r="W35" i="2" s="1"/>
  <c r="X30" i="2"/>
  <c r="X32" i="2" s="1"/>
  <c r="X34" i="2" s="1"/>
  <c r="X35" i="2" s="1"/>
  <c r="Y30" i="2"/>
  <c r="Y32" i="2" s="1"/>
  <c r="Y34" i="2" s="1"/>
  <c r="Y35" i="2" s="1"/>
  <c r="Z30" i="2"/>
  <c r="Z32" i="2" s="1"/>
  <c r="Z34" i="2" s="1"/>
  <c r="Z35" i="2" s="1"/>
  <c r="AA30" i="2"/>
  <c r="AA32" i="2" s="1"/>
  <c r="AA34" i="2" s="1"/>
  <c r="AA35" i="2" s="1"/>
  <c r="AB30" i="2"/>
  <c r="AB32" i="2" s="1"/>
  <c r="AB34" i="2" s="1"/>
  <c r="AB35" i="2" s="1"/>
  <c r="AC30" i="2"/>
  <c r="AC32" i="2" s="1"/>
  <c r="AC34" i="2" s="1"/>
  <c r="AC35" i="2" s="1"/>
  <c r="AD30" i="2"/>
  <c r="AD32" i="2" s="1"/>
  <c r="AD34" i="2" s="1"/>
  <c r="AD35" i="2" s="1"/>
  <c r="AE32" i="2"/>
  <c r="AE34" i="2" s="1"/>
  <c r="AE35" i="2" s="1"/>
  <c r="N25" i="2"/>
  <c r="N23" i="2"/>
  <c r="K23" i="2"/>
  <c r="L23" i="2"/>
  <c r="M23" i="2"/>
  <c r="M47" i="2"/>
  <c r="L47" i="2"/>
  <c r="K47" i="2"/>
  <c r="M68" i="2"/>
  <c r="M62" i="2"/>
  <c r="M59" i="2"/>
  <c r="M56" i="2"/>
  <c r="M54" i="2"/>
  <c r="M48" i="2"/>
  <c r="W1" i="2"/>
  <c r="AA1" i="2"/>
  <c r="AE1" i="2"/>
  <c r="AD1" i="2" s="1"/>
  <c r="AC1" i="2" s="1"/>
  <c r="AB1" i="2" s="1"/>
  <c r="Z2" i="2"/>
  <c r="Y2" i="2"/>
  <c r="X2" i="2" s="1"/>
  <c r="W2" i="2" s="1"/>
  <c r="V2" i="2" s="1"/>
  <c r="AD2" i="2"/>
  <c r="AC2" i="2" s="1"/>
  <c r="AB2" i="2" s="1"/>
  <c r="AA2" i="2" s="1"/>
  <c r="AE2" i="2"/>
  <c r="M25" i="2"/>
  <c r="Z1" i="2" l="1"/>
  <c r="Y1" i="2" s="1"/>
  <c r="X1" i="2" s="1"/>
  <c r="V1" i="2" s="1"/>
  <c r="AG31" i="2"/>
  <c r="AF31" i="2"/>
  <c r="AG1" i="2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G2" i="2"/>
  <c r="P23" i="2"/>
  <c r="P39" i="2" s="1"/>
  <c r="O23" i="2"/>
  <c r="R23" i="2"/>
  <c r="N36" i="2"/>
  <c r="O36" i="2" s="1"/>
  <c r="P36" i="2" s="1"/>
  <c r="Q36" i="2" s="1"/>
  <c r="R36" i="2" s="1"/>
  <c r="P28" i="2"/>
  <c r="O28" i="2"/>
  <c r="N28" i="2"/>
  <c r="R28" i="2" s="1"/>
  <c r="P27" i="2"/>
  <c r="O27" i="2"/>
  <c r="N27" i="2"/>
  <c r="R27" i="2" s="1"/>
  <c r="P26" i="2"/>
  <c r="O26" i="2"/>
  <c r="N26" i="2"/>
  <c r="Q28" i="2"/>
  <c r="Q27" i="2"/>
  <c r="Q26" i="2"/>
  <c r="O25" i="2" l="1"/>
  <c r="O42" i="2" s="1"/>
  <c r="O39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F36" i="2"/>
  <c r="N39" i="2"/>
  <c r="N29" i="2"/>
  <c r="AG28" i="2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F27" i="2"/>
  <c r="P29" i="2"/>
  <c r="P25" i="2"/>
  <c r="P42" i="2" s="1"/>
  <c r="O29" i="2"/>
  <c r="O30" i="2" s="1"/>
  <c r="O43" i="2" s="1"/>
  <c r="AF28" i="2"/>
  <c r="Q29" i="2"/>
  <c r="M39" i="2"/>
  <c r="AF26" i="2"/>
  <c r="M29" i="2"/>
  <c r="Q23" i="2"/>
  <c r="AG23" i="2" s="1"/>
  <c r="M42" i="2"/>
  <c r="R26" i="2"/>
  <c r="AG26" i="2" s="1"/>
  <c r="O24" i="2"/>
  <c r="N42" i="2"/>
  <c r="AG36" i="2"/>
  <c r="AH36" i="2" s="1"/>
  <c r="AI36" i="2" s="1"/>
  <c r="AJ36" i="2" s="1"/>
  <c r="R25" i="2"/>
  <c r="R42" i="2" s="1"/>
  <c r="R39" i="2"/>
  <c r="K15" i="2"/>
  <c r="K14" i="2"/>
  <c r="K13" i="2"/>
  <c r="K12" i="2"/>
  <c r="K11" i="2"/>
  <c r="K10" i="2"/>
  <c r="C5" i="1"/>
  <c r="C4" i="1"/>
  <c r="C3" i="1"/>
  <c r="AF29" i="2" l="1"/>
  <c r="P30" i="2"/>
  <c r="P32" i="2" s="1"/>
  <c r="P24" i="2"/>
  <c r="R29" i="2"/>
  <c r="R30" i="2" s="1"/>
  <c r="R43" i="2" s="1"/>
  <c r="AG29" i="2"/>
  <c r="AH26" i="2"/>
  <c r="N24" i="2"/>
  <c r="AH23" i="2"/>
  <c r="AG39" i="2"/>
  <c r="Q25" i="2"/>
  <c r="Q42" i="2" s="1"/>
  <c r="Q39" i="2"/>
  <c r="R32" i="2"/>
  <c r="R33" i="2" s="1"/>
  <c r="R44" i="2" s="1"/>
  <c r="O32" i="2"/>
  <c r="O33" i="2" s="1"/>
  <c r="Q30" i="2"/>
  <c r="AF24" i="2"/>
  <c r="AF25" i="2" s="1"/>
  <c r="AF42" i="2" s="1"/>
  <c r="N30" i="2"/>
  <c r="M30" i="2"/>
  <c r="M43" i="2" s="1"/>
  <c r="AK36" i="2"/>
  <c r="R24" i="2"/>
  <c r="P33" i="2"/>
  <c r="P44" i="2" s="1"/>
  <c r="L39" i="2"/>
  <c r="L96" i="2"/>
  <c r="K96" i="2"/>
  <c r="J96" i="2"/>
  <c r="I96" i="2"/>
  <c r="I78" i="2"/>
  <c r="I86" i="2"/>
  <c r="I89" i="2" s="1"/>
  <c r="I62" i="2"/>
  <c r="I59" i="2"/>
  <c r="I68" i="2" s="1"/>
  <c r="I54" i="2"/>
  <c r="I48" i="2"/>
  <c r="E29" i="2"/>
  <c r="E25" i="2"/>
  <c r="E42" i="2" s="1"/>
  <c r="I39" i="2"/>
  <c r="I29" i="2"/>
  <c r="I25" i="2"/>
  <c r="I42" i="2" s="1"/>
  <c r="J78" i="2"/>
  <c r="J86" i="2" s="1"/>
  <c r="J89" i="2" s="1"/>
  <c r="J62" i="2"/>
  <c r="J59" i="2"/>
  <c r="J54" i="2"/>
  <c r="J48" i="2"/>
  <c r="F29" i="2"/>
  <c r="F25" i="2"/>
  <c r="F42" i="2" s="1"/>
  <c r="J39" i="2"/>
  <c r="J29" i="2"/>
  <c r="J25" i="2"/>
  <c r="J42" i="2" s="1"/>
  <c r="L78" i="2"/>
  <c r="L86" i="2" s="1"/>
  <c r="L89" i="2" s="1"/>
  <c r="K78" i="2"/>
  <c r="K86" i="2" s="1"/>
  <c r="K89" i="2" s="1"/>
  <c r="K62" i="2"/>
  <c r="K59" i="2"/>
  <c r="K68" i="2" s="1"/>
  <c r="K54" i="2"/>
  <c r="K48" i="2"/>
  <c r="G29" i="2"/>
  <c r="G25" i="2"/>
  <c r="K39" i="2"/>
  <c r="K29" i="2"/>
  <c r="K25" i="2"/>
  <c r="K42" i="2" s="1"/>
  <c r="L62" i="2"/>
  <c r="L59" i="2"/>
  <c r="L54" i="2"/>
  <c r="L56" i="2" s="1"/>
  <c r="L48" i="2"/>
  <c r="H29" i="2"/>
  <c r="H25" i="2"/>
  <c r="H42" i="2" s="1"/>
  <c r="L29" i="2"/>
  <c r="L25" i="2"/>
  <c r="G30" i="2" l="1"/>
  <c r="P43" i="2"/>
  <c r="L30" i="2"/>
  <c r="P34" i="2"/>
  <c r="P35" i="2" s="1"/>
  <c r="M32" i="2"/>
  <c r="M44" i="2" s="1"/>
  <c r="O44" i="2"/>
  <c r="N43" i="2"/>
  <c r="N32" i="2"/>
  <c r="N33" i="2" s="1"/>
  <c r="L68" i="2"/>
  <c r="J56" i="2"/>
  <c r="Q24" i="2"/>
  <c r="AG24" i="2" s="1"/>
  <c r="AG25" i="2" s="1"/>
  <c r="AG42" i="2" s="1"/>
  <c r="AF30" i="2"/>
  <c r="AH39" i="2"/>
  <c r="AH25" i="2"/>
  <c r="AI23" i="2"/>
  <c r="Q43" i="2"/>
  <c r="Q32" i="2"/>
  <c r="O34" i="2"/>
  <c r="O35" i="2" s="1"/>
  <c r="AH29" i="2"/>
  <c r="AI26" i="2"/>
  <c r="AL36" i="2"/>
  <c r="R34" i="2"/>
  <c r="R35" i="2" s="1"/>
  <c r="L91" i="2"/>
  <c r="K56" i="2"/>
  <c r="J68" i="2"/>
  <c r="I56" i="2"/>
  <c r="I47" i="2"/>
  <c r="E30" i="2"/>
  <c r="I30" i="2"/>
  <c r="J47" i="2"/>
  <c r="F30" i="2"/>
  <c r="J30" i="2"/>
  <c r="G42" i="2"/>
  <c r="G32" i="2"/>
  <c r="G43" i="2"/>
  <c r="K30" i="2"/>
  <c r="L43" i="2"/>
  <c r="L32" i="2"/>
  <c r="L42" i="2"/>
  <c r="H30" i="2"/>
  <c r="AW41" i="2"/>
  <c r="K4" i="1"/>
  <c r="K7" i="1" s="1"/>
  <c r="M34" i="2" l="1"/>
  <c r="M35" i="2" s="1"/>
  <c r="Q33" i="2"/>
  <c r="Q34" i="2" s="1"/>
  <c r="Q35" i="2" s="1"/>
  <c r="AH24" i="2"/>
  <c r="AH30" i="2"/>
  <c r="AH42" i="2"/>
  <c r="N34" i="2"/>
  <c r="N35" i="2" s="1"/>
  <c r="AJ26" i="2"/>
  <c r="AI29" i="2"/>
  <c r="AJ23" i="2"/>
  <c r="AI25" i="2"/>
  <c r="AI24" i="2" s="1"/>
  <c r="AI39" i="2"/>
  <c r="AF43" i="2"/>
  <c r="AF32" i="2"/>
  <c r="AG30" i="2"/>
  <c r="AM36" i="2"/>
  <c r="E32" i="2"/>
  <c r="E43" i="2"/>
  <c r="J32" i="2"/>
  <c r="J43" i="2"/>
  <c r="I43" i="2"/>
  <c r="I32" i="2"/>
  <c r="F43" i="2"/>
  <c r="F32" i="2"/>
  <c r="G44" i="2"/>
  <c r="G34" i="2"/>
  <c r="G35" i="2" s="1"/>
  <c r="K43" i="2"/>
  <c r="K32" i="2"/>
  <c r="H32" i="2"/>
  <c r="H43" i="2"/>
  <c r="L34" i="2"/>
  <c r="L44" i="2"/>
  <c r="AK26" i="2" l="1"/>
  <c r="AJ29" i="2"/>
  <c r="AK23" i="2"/>
  <c r="AJ39" i="2"/>
  <c r="AJ25" i="2"/>
  <c r="AJ24" i="2" s="1"/>
  <c r="Q44" i="2"/>
  <c r="AG33" i="2"/>
  <c r="AI42" i="2"/>
  <c r="AI30" i="2"/>
  <c r="N44" i="2"/>
  <c r="AF33" i="2"/>
  <c r="AF34" i="2" s="1"/>
  <c r="AG32" i="2"/>
  <c r="AG34" i="2" s="1"/>
  <c r="AG35" i="2" s="1"/>
  <c r="AG43" i="2"/>
  <c r="N47" i="2"/>
  <c r="AN36" i="2"/>
  <c r="L35" i="2"/>
  <c r="L70" i="2"/>
  <c r="J34" i="2"/>
  <c r="J44" i="2"/>
  <c r="E34" i="2"/>
  <c r="E35" i="2" s="1"/>
  <c r="E44" i="2"/>
  <c r="I44" i="2"/>
  <c r="I34" i="2"/>
  <c r="F44" i="2"/>
  <c r="F34" i="2"/>
  <c r="F35" i="2" s="1"/>
  <c r="K44" i="2"/>
  <c r="K34" i="2"/>
  <c r="H34" i="2"/>
  <c r="H35" i="2" s="1"/>
  <c r="H44" i="2"/>
  <c r="AF35" i="2" l="1"/>
  <c r="AF47" i="2"/>
  <c r="AG47" i="2" s="1"/>
  <c r="AJ30" i="2"/>
  <c r="AJ42" i="2"/>
  <c r="AL23" i="2"/>
  <c r="AK39" i="2"/>
  <c r="AK25" i="2"/>
  <c r="AK24" i="2" s="1"/>
  <c r="O47" i="2"/>
  <c r="P47" i="2" s="1"/>
  <c r="Q47" i="2" s="1"/>
  <c r="R47" i="2" s="1"/>
  <c r="AL26" i="2"/>
  <c r="AK29" i="2"/>
  <c r="AO36" i="2"/>
  <c r="I35" i="2"/>
  <c r="I70" i="2"/>
  <c r="K35" i="2"/>
  <c r="K70" i="2"/>
  <c r="J35" i="2"/>
  <c r="J70" i="2"/>
  <c r="AM26" i="2" l="1"/>
  <c r="AL29" i="2"/>
  <c r="AH31" i="2"/>
  <c r="AH32" i="2" s="1"/>
  <c r="AH33" i="2" s="1"/>
  <c r="AH34" i="2" s="1"/>
  <c r="AH35" i="2" s="1"/>
  <c r="AK42" i="2"/>
  <c r="AK30" i="2"/>
  <c r="AM23" i="2"/>
  <c r="AL39" i="2"/>
  <c r="AL25" i="2"/>
  <c r="AP36" i="2"/>
  <c r="L92" i="2"/>
  <c r="AH47" i="2" l="1"/>
  <c r="AL24" i="2"/>
  <c r="AL42" i="2"/>
  <c r="AL30" i="2"/>
  <c r="AN23" i="2"/>
  <c r="AM25" i="2"/>
  <c r="AM24" i="2" s="1"/>
  <c r="AM39" i="2"/>
  <c r="AN26" i="2"/>
  <c r="AM29" i="2"/>
  <c r="AQ36" i="2"/>
  <c r="AI31" i="2" l="1"/>
  <c r="AI32" i="2" s="1"/>
  <c r="AI33" i="2" s="1"/>
  <c r="AI34" i="2" s="1"/>
  <c r="AI35" i="2" s="1"/>
  <c r="AO26" i="2"/>
  <c r="AN29" i="2"/>
  <c r="AM30" i="2"/>
  <c r="AM42" i="2"/>
  <c r="AO23" i="2"/>
  <c r="AN25" i="2"/>
  <c r="AN39" i="2"/>
  <c r="AR36" i="2"/>
  <c r="AI47" i="2" l="1"/>
  <c r="AN24" i="2"/>
  <c r="AN30" i="2"/>
  <c r="AN42" i="2"/>
  <c r="AP23" i="2"/>
  <c r="AO25" i="2"/>
  <c r="AO24" i="2" s="1"/>
  <c r="AO39" i="2"/>
  <c r="AP26" i="2"/>
  <c r="AO29" i="2"/>
  <c r="AS36" i="2"/>
  <c r="AJ31" i="2" l="1"/>
  <c r="AJ32" i="2" s="1"/>
  <c r="AJ33" i="2" s="1"/>
  <c r="AJ34" i="2" s="1"/>
  <c r="AJ35" i="2" s="1"/>
  <c r="AQ26" i="2"/>
  <c r="AP29" i="2"/>
  <c r="AO30" i="2"/>
  <c r="AO42" i="2"/>
  <c r="AQ23" i="2"/>
  <c r="AP39" i="2"/>
  <c r="AP25" i="2"/>
  <c r="AT36" i="2"/>
  <c r="AP30" i="2" l="1"/>
  <c r="AP42" i="2"/>
  <c r="AP24" i="2"/>
  <c r="AR23" i="2"/>
  <c r="AQ39" i="2"/>
  <c r="AQ25" i="2"/>
  <c r="AR26" i="2"/>
  <c r="AQ29" i="2"/>
  <c r="AJ47" i="2"/>
  <c r="AK31" i="2" s="1"/>
  <c r="AK32" i="2" s="1"/>
  <c r="AK33" i="2" s="1"/>
  <c r="AK34" i="2" s="1"/>
  <c r="AK47" i="2" l="1"/>
  <c r="AK35" i="2"/>
  <c r="AQ24" i="2"/>
  <c r="AQ30" i="2"/>
  <c r="AQ42" i="2"/>
  <c r="AS26" i="2"/>
  <c r="AR29" i="2"/>
  <c r="AS23" i="2"/>
  <c r="AR25" i="2"/>
  <c r="AR24" i="2" s="1"/>
  <c r="AR39" i="2"/>
  <c r="AT23" i="2" l="1"/>
  <c r="AS39" i="2"/>
  <c r="AS25" i="2"/>
  <c r="AR42" i="2"/>
  <c r="AR30" i="2"/>
  <c r="AT26" i="2"/>
  <c r="AT29" i="2" s="1"/>
  <c r="AS29" i="2"/>
  <c r="AL31" i="2"/>
  <c r="AL32" i="2" s="1"/>
  <c r="AL33" i="2" s="1"/>
  <c r="AL34" i="2" s="1"/>
  <c r="AL35" i="2" s="1"/>
  <c r="AL47" i="2" l="1"/>
  <c r="AS42" i="2"/>
  <c r="AS30" i="2"/>
  <c r="AS24" i="2"/>
  <c r="AT25" i="2"/>
  <c r="AT39" i="2"/>
  <c r="AT24" i="2" l="1"/>
  <c r="AT42" i="2"/>
  <c r="AT30" i="2"/>
  <c r="AM31" i="2"/>
  <c r="AM32" i="2" s="1"/>
  <c r="AM33" i="2" s="1"/>
  <c r="AM34" i="2" s="1"/>
  <c r="AM35" i="2" s="1"/>
  <c r="AM47" i="2" l="1"/>
  <c r="AN31" i="2" l="1"/>
  <c r="AN32" i="2" s="1"/>
  <c r="AN33" i="2" l="1"/>
  <c r="AN34" i="2" s="1"/>
  <c r="AN35" i="2" l="1"/>
  <c r="AN47" i="2"/>
  <c r="AO31" i="2" l="1"/>
  <c r="AO32" i="2" s="1"/>
  <c r="AO33" i="2" l="1"/>
  <c r="AO34" i="2" s="1"/>
  <c r="AO35" i="2" l="1"/>
  <c r="AO47" i="2"/>
  <c r="AP31" i="2" l="1"/>
  <c r="AP32" i="2" s="1"/>
  <c r="AP33" i="2" l="1"/>
  <c r="AP34" i="2" s="1"/>
  <c r="AP35" i="2" l="1"/>
  <c r="AP47" i="2"/>
  <c r="AQ31" i="2" l="1"/>
  <c r="AQ32" i="2" s="1"/>
  <c r="AQ33" i="2" l="1"/>
  <c r="AQ34" i="2" s="1"/>
  <c r="AQ35" i="2" l="1"/>
  <c r="AQ47" i="2"/>
  <c r="AR31" i="2" l="1"/>
  <c r="AR32" i="2" s="1"/>
  <c r="AR33" i="2" l="1"/>
  <c r="AR34" i="2" s="1"/>
  <c r="AR35" i="2" l="1"/>
  <c r="AR47" i="2"/>
  <c r="AS31" i="2" l="1"/>
  <c r="AS32" i="2" s="1"/>
  <c r="AS33" i="2" s="1"/>
  <c r="AS34" i="2" s="1"/>
  <c r="AS35" i="2" s="1"/>
  <c r="AS47" i="2" l="1"/>
  <c r="AT31" i="2" l="1"/>
  <c r="AT32" i="2" s="1"/>
  <c r="AT33" i="2" s="1"/>
  <c r="AT34" i="2" s="1"/>
  <c r="AU34" i="2" l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AW40" i="2" s="1"/>
  <c r="AW42" i="2" s="1"/>
  <c r="AW43" i="2" s="1"/>
  <c r="AW44" i="2" s="1"/>
  <c r="AT35" i="2"/>
  <c r="AT47" i="2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cc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<sst xmlns="http://schemas.openxmlformats.org/spreadsheetml/2006/main" count="132" uniqueCount="113">
  <si>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</si>
  <si>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</si>
  <si>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</si>
  <si>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</si>
  <si>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</si>
  <si>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</si>
  <si>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</si>
  <si>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</si>
  <si>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</si>
  <si>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</si>
  <si>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</si>
  <si>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</si>
  <si>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</si>
  <si>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</si>
  <si>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</si>
  <si>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</si>
  <si>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</si>
  <si>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</si>
  <si>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</si>
  <si>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</si>
  <si>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</si>
  <si>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</si>
  <si>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</si>
  <si>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</si>
  <si>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</si>
  <si>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</si>
  <si>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</si>
  <si>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</si>
  <si>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</si>
  <si>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</si>
  <si>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</si>
  <si>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</si>
  <si>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</si>
  <si>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</si>
  <si>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</si>
  <si>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</si>
  <si>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</si>
  <si>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</si>
  <si>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</si>
  <si>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</si>
  <si>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</si>
  <si>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</si>
  <si>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</si>
  <si>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</si>
  <si>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</si>
  <si>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</si>
  <si>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</si>
  <si>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</si>
  <si>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</si>
  <si>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</si>
  <si>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</si>
  <si>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</si>
  <si>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</si>
  <si>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</si>
  <si>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</si>
  <si>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</si>
  <si>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</si>
  <si>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</si>
  <si>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</si>
  <si>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</si>
  <si>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</si>
  <si>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</si>
  <si>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</si>
  <si>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</si>
  <si>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</si>
  <si>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</si>
  <si>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</si>
  <si>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</si>
  <si>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</si>
  <si>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</si>
  <si>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</si>
  <si>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</si>
  <si>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</si>
  <si>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</si>
  <si>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</si>
  <si>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</si>
  <si>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</si>
  <si>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</si>
  <si>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</si>
  <si>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</si>
  <si>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</si>
  <si>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</si>
  <si>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</si>
  <si>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</si>
  <si>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</si>
  <si>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</si>
  <si>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</si>
  <si>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</si>
  <si>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</si>
  <si>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</si>
  <si>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</si>
  <si>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</si>
  <si>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</si>
  <si>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</si>
  <si>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</si>
  <si>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</si>
  <si>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</si>
  <si>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</si>
  <si>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</si>
  <si>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</si>
  <si>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</si>
  <si>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</si>
  <si>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</si>
  <si>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</si>
  <si>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</si>
  <si>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</si>
  <si>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Value</t>
  </si>
  <si>
    <t>Change</t>
  </si>
  <si>
    <t>Client</t>
  </si>
  <si>
    <t>Server and Tools</t>
  </si>
  <si>
    <t>Online</t>
  </si>
  <si>
    <t>Business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</si>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</sst>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13</xdr:col>
      <xdr:colOff>28575</xdr:colOff>
      <xdr:row>97</xdr:row>
      <xdr:rowOff>0</xdr:rowOff>
    </xdr:to>
    <xdr:cxnSp macro="">
      <xdr:nvCxnSpPr>
        <xdr:cNvPr id="3" name="Straight Connector 2"/>
        <xdr:cNvCxnSpPr/>
      </xdr:nvCxnSpPr>
      <xdr:spPr>
        <a:xfrm>
          <a:off x="9648825" y="0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104775</xdr:rowOff>
    </xdr:from>
    <xdr:to>
      <xdr:col>31</xdr:col>
      <xdr:colOff>28575</xdr:colOff>
      <xdr:row>97</xdr:row>
      <xdr:rowOff>104775</xdr:rowOff>
    </xdr:to>
    <xdr:cxnSp macro="">
      <xdr:nvCxnSpPr>
        <xdr:cNvPr id="4" name="Straight Connector 3"/>
        <xdr:cNvCxnSpPr/>
      </xdr:nvCxnSpPr>
      <xdr:spPr>
        <a:xfrm>
          <a:off x="19402425" y="104775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K4" sqref="K4"/>
    </sheetView>
  </sheetViews>
  <sheetFormatPr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</cols>
  <sheetData>
    <row r="2" spans="2:12" x14ac:dyDescent="0.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51.03</v>
      </c>
    </row>
    <row r="3" spans="2:12" x14ac:dyDescent="0.2">
      <c r="B3" s="15" t="s">
        <v>76</v>
      </c>
      <c r="C3" s="20">
        <f>6.7/25.6</f>
        <v>0.26171875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7870</v>
      </c>
      <c r="L3" s="3" t="s">
        <v>15</v>
      </c>
    </row>
    <row r="4" spans="2:12" x14ac:dyDescent="0.2">
      <c r="B4" s="15" t="s">
        <v>80</v>
      </c>
      <c r="C4" s="20">
        <f>6.3/25.6</f>
        <v>0.24609374999999997</v>
      </c>
      <c r="D4" s="21" t="s">
        <v>81</v>
      </c>
      <c r="E4" s="20">
        <v>0.11</v>
      </c>
      <c r="F4" s="21" t="s">
        <v>88</v>
      </c>
      <c r="G4" s="22"/>
      <c r="J4" t="s">
        <v>2</v>
      </c>
      <c r="K4" s="2">
        <f>+K3*K2</f>
        <v>401606.10000000003</v>
      </c>
      <c r="L4" s="3"/>
    </row>
    <row r="5" spans="2:12" x14ac:dyDescent="0.2">
      <c r="B5" s="15" t="s">
        <v>82</v>
      </c>
      <c r="C5" s="20">
        <f>12.7/25.6</f>
        <v>0.49609374999999994</v>
      </c>
      <c r="D5" s="21" t="s">
        <v>85</v>
      </c>
      <c r="E5" s="20">
        <v>-0.02</v>
      </c>
      <c r="F5" s="21" t="s">
        <v>90</v>
      </c>
      <c r="G5" s="22"/>
      <c r="J5" t="s">
        <v>3</v>
      </c>
      <c r="K5" s="2">
        <v>116867</v>
      </c>
      <c r="L5" s="3" t="s">
        <v>15</v>
      </c>
    </row>
    <row r="6" spans="2:12" x14ac:dyDescent="0.2">
      <c r="B6" s="16"/>
      <c r="C6" s="23"/>
      <c r="D6" s="23"/>
      <c r="E6" s="23"/>
      <c r="F6" s="23"/>
      <c r="G6" s="24"/>
      <c r="J6" t="s">
        <v>4</v>
      </c>
      <c r="K6" s="2">
        <v>46394</v>
      </c>
      <c r="L6" s="3" t="s">
        <v>15</v>
      </c>
    </row>
    <row r="7" spans="2:12" x14ac:dyDescent="0.2">
      <c r="J7" t="s">
        <v>5</v>
      </c>
      <c r="K7" s="2">
        <f>+K4-K5+K6</f>
        <v>331133.10000000003</v>
      </c>
    </row>
    <row r="9" spans="2:12" x14ac:dyDescent="0.2">
      <c r="L9" s="1"/>
    </row>
    <row r="10" spans="2:12" x14ac:dyDescent="0.2">
      <c r="L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5"/>
  <sheetViews>
    <sheetView tabSelected="1"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X6" sqref="X6"/>
    </sheetView>
  </sheetViews>
  <sheetFormatPr defaultRowHeight="12.75" x14ac:dyDescent="0.2"/>
  <cols>
    <col min="2" max="2" width="29.140625" customWidth="1"/>
    <col min="3" max="6" width="9.140625" style="3"/>
    <col min="7" max="8" width="10.140625" style="3" bestFit="1" customWidth="1"/>
    <col min="9" max="9" width="9.140625" style="3"/>
    <col min="10" max="10" width="10.140625" style="3" bestFit="1" customWidth="1"/>
    <col min="11" max="11" width="10.5703125" style="3" customWidth="1"/>
    <col min="12" max="12" width="10.140625" style="3" bestFit="1" customWidth="1"/>
    <col min="13" max="14" width="9.140625" style="3"/>
    <col min="48" max="48" width="11.28515625" customWidth="1"/>
    <col min="49" max="49" width="10.42578125" customWidth="1"/>
  </cols>
  <sheetData>
    <row r="1" spans="2:46" x14ac:dyDescent="0.2"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41820</v>
      </c>
      <c r="K1" s="4">
        <v>42277</v>
      </c>
      <c r="L1" s="4">
        <v>42369</v>
      </c>
      <c r="M1" s="4">
        <v>42460</v>
      </c>
      <c r="T1" s="25">
        <f t="shared" ref="T1" si="0">+U1-365</f>
        <v>38168</v>
      </c>
      <c r="U1" s="25">
        <f t="shared" ref="U1" si="1">+V1-365</f>
        <v>38533</v>
      </c>
      <c r="V1" s="25">
        <f t="shared" ref="V1:AD1" si="2">+W1-365</f>
        <v>38898</v>
      </c>
      <c r="W1" s="25">
        <f>+X1-366</f>
        <v>39263</v>
      </c>
      <c r="X1" s="25">
        <f t="shared" si="2"/>
        <v>39629</v>
      </c>
      <c r="Y1" s="25">
        <f t="shared" si="2"/>
        <v>39994</v>
      </c>
      <c r="Z1" s="25">
        <f t="shared" si="2"/>
        <v>40359</v>
      </c>
      <c r="AA1" s="25">
        <f>+AB1-366</f>
        <v>40724</v>
      </c>
      <c r="AB1" s="25">
        <f t="shared" si="2"/>
        <v>41090</v>
      </c>
      <c r="AC1" s="25">
        <f t="shared" si="2"/>
        <v>41455</v>
      </c>
      <c r="AD1" s="25">
        <f t="shared" si="2"/>
        <v>41820</v>
      </c>
      <c r="AE1" s="25">
        <f>+AF1-366</f>
        <v>42185</v>
      </c>
      <c r="AF1" s="25">
        <v>42551</v>
      </c>
      <c r="AG1" s="25">
        <f>+AF1+365</f>
        <v>42916</v>
      </c>
      <c r="AH1" s="25">
        <f t="shared" ref="AH1:AT1" si="3">+AG1+365</f>
        <v>43281</v>
      </c>
      <c r="AI1" s="25">
        <f t="shared" si="3"/>
        <v>43646</v>
      </c>
      <c r="AJ1" s="25">
        <f t="shared" si="3"/>
        <v>44011</v>
      </c>
      <c r="AK1" s="25">
        <f t="shared" si="3"/>
        <v>44376</v>
      </c>
      <c r="AL1" s="25">
        <f t="shared" si="3"/>
        <v>44741</v>
      </c>
      <c r="AM1" s="25">
        <f t="shared" si="3"/>
        <v>45106</v>
      </c>
      <c r="AN1" s="25">
        <f t="shared" si="3"/>
        <v>45471</v>
      </c>
      <c r="AO1" s="25">
        <f t="shared" si="3"/>
        <v>45836</v>
      </c>
      <c r="AP1" s="25">
        <f t="shared" si="3"/>
        <v>46201</v>
      </c>
      <c r="AQ1" s="25">
        <f t="shared" si="3"/>
        <v>46566</v>
      </c>
      <c r="AR1" s="25">
        <f t="shared" si="3"/>
        <v>46931</v>
      </c>
      <c r="AS1" s="25">
        <f t="shared" si="3"/>
        <v>47296</v>
      </c>
      <c r="AT1" s="25">
        <f t="shared" si="3"/>
        <v>47661</v>
      </c>
    </row>
    <row r="2" spans="2:46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f t="shared" ref="T2" si="4">+U2-1</f>
        <v>2004</v>
      </c>
      <c r="U2">
        <f t="shared" ref="U2" si="5">+V2-1</f>
        <v>2005</v>
      </c>
      <c r="V2">
        <f t="shared" ref="V2:Z2" si="6">+W2-1</f>
        <v>2006</v>
      </c>
      <c r="W2">
        <f t="shared" si="6"/>
        <v>2007</v>
      </c>
      <c r="X2">
        <f t="shared" si="6"/>
        <v>2008</v>
      </c>
      <c r="Y2">
        <f t="shared" si="6"/>
        <v>2009</v>
      </c>
      <c r="Z2">
        <f t="shared" si="6"/>
        <v>2010</v>
      </c>
      <c r="AA2">
        <f t="shared" ref="AA2:AD2" si="7">+AB2-1</f>
        <v>2011</v>
      </c>
      <c r="AB2">
        <f t="shared" si="7"/>
        <v>2012</v>
      </c>
      <c r="AC2">
        <f t="shared" si="7"/>
        <v>2013</v>
      </c>
      <c r="AD2">
        <f t="shared" si="7"/>
        <v>2014</v>
      </c>
      <c r="AE2">
        <f>+AF2-1</f>
        <v>2015</v>
      </c>
      <c r="AF2">
        <v>2016</v>
      </c>
      <c r="AG2">
        <f>+AF2+1</f>
        <v>2017</v>
      </c>
      <c r="AH2">
        <f t="shared" ref="AH2:AT2" si="8">+AG2+1</f>
        <v>2018</v>
      </c>
      <c r="AI2">
        <f t="shared" si="8"/>
        <v>2019</v>
      </c>
      <c r="AJ2">
        <f t="shared" si="8"/>
        <v>2020</v>
      </c>
      <c r="AK2">
        <f t="shared" si="8"/>
        <v>2021</v>
      </c>
      <c r="AL2">
        <f t="shared" si="8"/>
        <v>2022</v>
      </c>
      <c r="AM2">
        <f t="shared" si="8"/>
        <v>2023</v>
      </c>
      <c r="AN2">
        <f t="shared" si="8"/>
        <v>2024</v>
      </c>
      <c r="AO2">
        <f t="shared" si="8"/>
        <v>2025</v>
      </c>
      <c r="AP2">
        <f t="shared" si="8"/>
        <v>2026</v>
      </c>
      <c r="AQ2">
        <f t="shared" si="8"/>
        <v>2027</v>
      </c>
      <c r="AR2">
        <f t="shared" si="8"/>
        <v>2028</v>
      </c>
      <c r="AS2">
        <f t="shared" si="8"/>
        <v>2029</v>
      </c>
      <c r="AT2">
        <f t="shared" si="8"/>
        <v>2030</v>
      </c>
    </row>
    <row r="3" spans="2:46" x14ac:dyDescent="0.2">
      <c r="B3" t="s">
        <v>108</v>
      </c>
      <c r="O3" s="3"/>
      <c r="P3" s="3"/>
      <c r="Q3" s="3"/>
      <c r="R3" s="3"/>
      <c r="V3" s="2">
        <v>13077</v>
      </c>
      <c r="W3" s="2">
        <v>14844</v>
      </c>
      <c r="X3" s="2">
        <v>16472</v>
      </c>
    </row>
    <row r="4" spans="2:46" x14ac:dyDescent="0.2">
      <c r="B4" t="s">
        <v>109</v>
      </c>
      <c r="O4" s="3"/>
      <c r="P4" s="3"/>
      <c r="Q4" s="3"/>
      <c r="R4" s="3"/>
      <c r="V4" s="2">
        <v>9670</v>
      </c>
      <c r="W4" s="2">
        <v>11184</v>
      </c>
      <c r="X4" s="2">
        <v>13189</v>
      </c>
    </row>
    <row r="5" spans="2:46" x14ac:dyDescent="0.2">
      <c r="B5" t="s">
        <v>110</v>
      </c>
      <c r="O5" s="3"/>
      <c r="P5" s="3"/>
      <c r="Q5" s="3"/>
      <c r="R5" s="3"/>
      <c r="V5" s="2">
        <v>2303</v>
      </c>
      <c r="W5" s="2">
        <v>2441</v>
      </c>
      <c r="X5" s="2">
        <v>3214</v>
      </c>
    </row>
    <row r="6" spans="2:46" x14ac:dyDescent="0.2">
      <c r="B6" t="s">
        <v>111</v>
      </c>
      <c r="O6" s="3"/>
      <c r="P6" s="3"/>
      <c r="Q6" s="3"/>
      <c r="R6" s="3"/>
      <c r="V6" s="2">
        <v>14461</v>
      </c>
      <c r="W6" s="2">
        <v>16404</v>
      </c>
      <c r="X6" s="2">
        <v>18937</v>
      </c>
    </row>
    <row r="7" spans="2:46" x14ac:dyDescent="0.2">
      <c r="B7" t="s">
        <v>112</v>
      </c>
      <c r="O7" s="3"/>
      <c r="P7" s="3"/>
      <c r="Q7" s="3"/>
      <c r="R7" s="3"/>
      <c r="V7" s="2">
        <v>4761</v>
      </c>
      <c r="W7" s="2">
        <v>6066</v>
      </c>
      <c r="X7" s="2">
        <v>8139</v>
      </c>
    </row>
    <row r="8" spans="2:46" x14ac:dyDescent="0.2">
      <c r="B8" t="s">
        <v>94</v>
      </c>
      <c r="O8" s="3"/>
      <c r="P8" s="3"/>
      <c r="Q8" s="3"/>
      <c r="R8" s="3"/>
      <c r="V8" s="2">
        <v>10</v>
      </c>
      <c r="W8" s="2">
        <v>183</v>
      </c>
      <c r="X8" s="2">
        <v>469</v>
      </c>
    </row>
    <row r="9" spans="2:46" x14ac:dyDescent="0.2">
      <c r="O9" s="3"/>
      <c r="P9" s="3"/>
      <c r="Q9" s="3"/>
      <c r="R9" s="3"/>
    </row>
    <row r="10" spans="2:46" s="2" customFormat="1" x14ac:dyDescent="0.2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46" s="2" customFormat="1" x14ac:dyDescent="0.2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46" s="2" customFormat="1" x14ac:dyDescent="0.2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46" s="2" customFormat="1" x14ac:dyDescent="0.2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46" s="2" customFormat="1" x14ac:dyDescent="0.2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6"/>
      <c r="N14" s="6"/>
      <c r="O14" s="6"/>
      <c r="P14" s="6"/>
      <c r="Q14" s="6"/>
      <c r="R14" s="6"/>
    </row>
    <row r="15" spans="2:46" s="2" customFormat="1" x14ac:dyDescent="0.2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46" s="2" customFormat="1" x14ac:dyDescent="0.2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46" x14ac:dyDescent="0.2">
      <c r="O17" s="3"/>
      <c r="P17" s="3"/>
      <c r="Q17" s="3"/>
      <c r="R17" s="3"/>
    </row>
    <row r="18" spans="2:46" s="2" customFormat="1" x14ac:dyDescent="0.2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v>6600</v>
      </c>
      <c r="O18" s="6"/>
      <c r="P18" s="6"/>
      <c r="Q18" s="6"/>
      <c r="R18" s="6"/>
    </row>
    <row r="19" spans="2:46" s="2" customFormat="1" x14ac:dyDescent="0.2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v>6600</v>
      </c>
      <c r="O19" s="6"/>
      <c r="P19" s="6"/>
      <c r="Q19" s="6"/>
      <c r="R19" s="6"/>
    </row>
    <row r="20" spans="2:46" s="2" customFormat="1" x14ac:dyDescent="0.2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v>8750</v>
      </c>
      <c r="O20" s="6"/>
      <c r="P20" s="6"/>
      <c r="Q20" s="6"/>
      <c r="R20" s="6"/>
    </row>
    <row r="21" spans="2:46" s="2" customFormat="1" x14ac:dyDescent="0.2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/>
      <c r="O21" s="6"/>
      <c r="P21" s="6"/>
      <c r="Q21" s="6"/>
      <c r="R21" s="6"/>
    </row>
    <row r="22" spans="2:46" x14ac:dyDescent="0.2">
      <c r="O22" s="3"/>
      <c r="P22" s="3"/>
      <c r="Q22" s="3"/>
      <c r="R22" s="3"/>
    </row>
    <row r="23" spans="2:46" s="8" customFormat="1" x14ac:dyDescent="0.2">
      <c r="B23" s="8" t="s">
        <v>7</v>
      </c>
      <c r="C23" s="9"/>
      <c r="D23" s="9"/>
      <c r="E23" s="9">
        <v>20403</v>
      </c>
      <c r="F23" s="9">
        <v>23382</v>
      </c>
      <c r="G23" s="9">
        <v>23201</v>
      </c>
      <c r="H23" s="9">
        <v>26470</v>
      </c>
      <c r="I23" s="9"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21950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22169.5</v>
      </c>
      <c r="T23" s="8">
        <v>36835</v>
      </c>
      <c r="U23" s="8">
        <v>39788</v>
      </c>
      <c r="V23" s="8">
        <v>44282</v>
      </c>
      <c r="W23" s="8">
        <v>51122</v>
      </c>
      <c r="X23" s="8">
        <v>60420</v>
      </c>
      <c r="Y23" s="8">
        <v>58437</v>
      </c>
      <c r="Z23" s="8">
        <v>62484</v>
      </c>
      <c r="AA23" s="8">
        <v>69943</v>
      </c>
      <c r="AB23" s="8">
        <v>73723</v>
      </c>
      <c r="AC23" s="8">
        <v>77849</v>
      </c>
      <c r="AD23" s="8">
        <v>86833</v>
      </c>
      <c r="AE23" s="8">
        <v>93580</v>
      </c>
      <c r="AF23" s="8">
        <f>SUM(K23:N23)</f>
        <v>88201</v>
      </c>
      <c r="AG23" s="8">
        <f>SUM(O23:R23)</f>
        <v>89083.01</v>
      </c>
      <c r="AH23" s="8">
        <f>+AG23*1.03</f>
        <v>91755.5003</v>
      </c>
      <c r="AI23" s="8">
        <f t="shared" ref="AI23:AT23" si="11">+AH23*1.03</f>
        <v>94508.165309000004</v>
      </c>
      <c r="AJ23" s="8">
        <f t="shared" si="11"/>
        <v>97343.410268270003</v>
      </c>
      <c r="AK23" s="8">
        <f t="shared" si="11"/>
        <v>100263.71257631811</v>
      </c>
      <c r="AL23" s="8">
        <f t="shared" si="11"/>
        <v>103271.62395360766</v>
      </c>
      <c r="AM23" s="8">
        <f t="shared" si="11"/>
        <v>106369.7726722159</v>
      </c>
      <c r="AN23" s="8">
        <f t="shared" si="11"/>
        <v>109560.86585238238</v>
      </c>
      <c r="AO23" s="8">
        <f t="shared" si="11"/>
        <v>112847.69182795385</v>
      </c>
      <c r="AP23" s="8">
        <f t="shared" si="11"/>
        <v>116233.12258279246</v>
      </c>
      <c r="AQ23" s="8">
        <f t="shared" si="11"/>
        <v>119720.11626027625</v>
      </c>
      <c r="AR23" s="8">
        <f t="shared" si="11"/>
        <v>123311.71974808454</v>
      </c>
      <c r="AS23" s="8">
        <f t="shared" si="11"/>
        <v>127011.07134052708</v>
      </c>
      <c r="AT23" s="8">
        <f t="shared" si="11"/>
        <v>130821.4034807429</v>
      </c>
    </row>
    <row r="24" spans="2:46" s="2" customFormat="1" x14ac:dyDescent="0.2">
      <c r="B24" s="2" t="s">
        <v>21</v>
      </c>
      <c r="C24" s="6"/>
      <c r="D24" s="6"/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f t="shared" ref="N24:R24" si="12">+N23-N25</f>
        <v>7902</v>
      </c>
      <c r="O24" s="6">
        <f t="shared" si="12"/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8202.7150000000001</v>
      </c>
      <c r="V24" s="12">
        <v>7650</v>
      </c>
      <c r="W24" s="12">
        <v>10693</v>
      </c>
      <c r="X24" s="12">
        <v>11598</v>
      </c>
      <c r="Y24" s="12">
        <v>12155</v>
      </c>
      <c r="Z24" s="12">
        <v>12395</v>
      </c>
      <c r="AA24" s="12">
        <v>15577</v>
      </c>
      <c r="AB24" s="12">
        <v>17530</v>
      </c>
      <c r="AC24" s="12">
        <v>20385</v>
      </c>
      <c r="AD24" s="12">
        <v>27078</v>
      </c>
      <c r="AE24" s="12">
        <v>33038</v>
      </c>
      <c r="AF24" s="12">
        <f>SUM(K24:N24)</f>
        <v>32703</v>
      </c>
      <c r="AG24" s="12">
        <f>SUM(O24:R24)</f>
        <v>32960.713700000008</v>
      </c>
      <c r="AH24" s="2">
        <f>+AH23-AH25</f>
        <v>33949.535110999997</v>
      </c>
      <c r="AI24" s="2">
        <f t="shared" ref="AI24:AT24" si="13">+AI23-AI25</f>
        <v>34968.021164329999</v>
      </c>
      <c r="AJ24" s="2">
        <f t="shared" si="13"/>
        <v>36017.0617992599</v>
      </c>
      <c r="AK24" s="2">
        <f t="shared" si="13"/>
        <v>37097.573653237698</v>
      </c>
      <c r="AL24" s="2">
        <f t="shared" si="13"/>
        <v>38210.500862834837</v>
      </c>
      <c r="AM24" s="2">
        <f t="shared" si="13"/>
        <v>39356.815888719881</v>
      </c>
      <c r="AN24" s="2">
        <f t="shared" si="13"/>
        <v>40537.520365381482</v>
      </c>
      <c r="AO24" s="2">
        <f t="shared" si="13"/>
        <v>41753.64597634293</v>
      </c>
      <c r="AP24" s="2">
        <f t="shared" si="13"/>
        <v>43006.255355633213</v>
      </c>
      <c r="AQ24" s="2">
        <f t="shared" si="13"/>
        <v>44296.443016302204</v>
      </c>
      <c r="AR24" s="2">
        <f t="shared" si="13"/>
        <v>45625.336306791272</v>
      </c>
      <c r="AS24" s="2">
        <f t="shared" si="13"/>
        <v>46994.096395995017</v>
      </c>
      <c r="AT24" s="2">
        <f t="shared" si="13"/>
        <v>48403.919287874873</v>
      </c>
    </row>
    <row r="25" spans="2:46" s="2" customFormat="1" x14ac:dyDescent="0.2">
      <c r="B25" s="2" t="s">
        <v>20</v>
      </c>
      <c r="C25" s="6"/>
      <c r="D25" s="6"/>
      <c r="E25" s="6">
        <f t="shared" ref="E25:L25" si="14">+E23-E24</f>
        <v>14425</v>
      </c>
      <c r="F25" s="6">
        <f t="shared" si="14"/>
        <v>15749</v>
      </c>
      <c r="G25" s="6">
        <f t="shared" si="14"/>
        <v>14928</v>
      </c>
      <c r="H25" s="6">
        <f t="shared" si="14"/>
        <v>16334</v>
      </c>
      <c r="I25" s="6">
        <f t="shared" si="14"/>
        <v>14568</v>
      </c>
      <c r="J25" s="6">
        <f t="shared" si="14"/>
        <v>14712</v>
      </c>
      <c r="K25" s="6">
        <f t="shared" si="14"/>
        <v>13172</v>
      </c>
      <c r="L25" s="6">
        <f t="shared" si="14"/>
        <v>13924</v>
      </c>
      <c r="M25" s="6">
        <f>+M23-M24</f>
        <v>14354</v>
      </c>
      <c r="N25" s="6">
        <f>+N23*0.64</f>
        <v>14048</v>
      </c>
      <c r="O25" s="6">
        <f t="shared" ref="O25:R25" si="15">+O23*0.63</f>
        <v>12967.1577</v>
      </c>
      <c r="P25" s="6">
        <f t="shared" si="15"/>
        <v>15141.3948</v>
      </c>
      <c r="Q25" s="6">
        <f t="shared" si="15"/>
        <v>14046.958799999999</v>
      </c>
      <c r="R25" s="6">
        <f t="shared" si="15"/>
        <v>13966.785</v>
      </c>
      <c r="V25" s="2">
        <f>V23-V24</f>
        <v>36632</v>
      </c>
      <c r="W25" s="2">
        <f>W23-W24</f>
        <v>40429</v>
      </c>
      <c r="X25" s="2">
        <f>X23-X24</f>
        <v>48822</v>
      </c>
      <c r="Y25" s="2">
        <f>Y23-Y24</f>
        <v>46282</v>
      </c>
      <c r="Z25" s="2">
        <f>Z23-Z24</f>
        <v>50089</v>
      </c>
      <c r="AA25" s="2">
        <f>AA23-AA24</f>
        <v>54366</v>
      </c>
      <c r="AB25" s="2">
        <f>AB23-AB24</f>
        <v>56193</v>
      </c>
      <c r="AC25" s="2">
        <f>AC23-AC24</f>
        <v>57464</v>
      </c>
      <c r="AD25" s="2">
        <f>AD23-AD24</f>
        <v>59755</v>
      </c>
      <c r="AE25" s="2">
        <f>AE23-AE24</f>
        <v>60542</v>
      </c>
      <c r="AF25" s="2">
        <f>AF23-AF24</f>
        <v>55498</v>
      </c>
      <c r="AG25" s="2">
        <f t="shared" ref="AG25" si="16">AG23-AG24</f>
        <v>56122.296299999987</v>
      </c>
      <c r="AH25" s="2">
        <f>+AH23*0.63</f>
        <v>57805.965189000002</v>
      </c>
      <c r="AI25" s="2">
        <f t="shared" ref="AI25:AT25" si="17">+AI23*0.63</f>
        <v>59540.144144670005</v>
      </c>
      <c r="AJ25" s="2">
        <f t="shared" si="17"/>
        <v>61326.348469010103</v>
      </c>
      <c r="AK25" s="2">
        <f t="shared" si="17"/>
        <v>63166.138923080412</v>
      </c>
      <c r="AL25" s="2">
        <f t="shared" si="17"/>
        <v>65061.123090772824</v>
      </c>
      <c r="AM25" s="2">
        <f t="shared" si="17"/>
        <v>67012.956783496018</v>
      </c>
      <c r="AN25" s="2">
        <f t="shared" si="17"/>
        <v>69023.345487000901</v>
      </c>
      <c r="AO25" s="2">
        <f t="shared" si="17"/>
        <v>71094.045851610921</v>
      </c>
      <c r="AP25" s="2">
        <f t="shared" si="17"/>
        <v>73226.867227159251</v>
      </c>
      <c r="AQ25" s="2">
        <f t="shared" si="17"/>
        <v>75423.673243974044</v>
      </c>
      <c r="AR25" s="2">
        <f t="shared" si="17"/>
        <v>77686.383441293263</v>
      </c>
      <c r="AS25" s="2">
        <f t="shared" si="17"/>
        <v>80016.974944532063</v>
      </c>
      <c r="AT25" s="2">
        <f t="shared" si="17"/>
        <v>82417.484192868025</v>
      </c>
    </row>
    <row r="26" spans="2:46" s="2" customFormat="1" x14ac:dyDescent="0.2">
      <c r="B26" s="2" t="s">
        <v>24</v>
      </c>
      <c r="C26" s="6"/>
      <c r="D26" s="6"/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f t="shared" ref="N26:R28" si="18">+J26</f>
        <v>3094</v>
      </c>
      <c r="O26" s="6">
        <f t="shared" si="18"/>
        <v>2962</v>
      </c>
      <c r="P26" s="6">
        <f t="shared" si="18"/>
        <v>2900</v>
      </c>
      <c r="Q26" s="6">
        <f t="shared" si="18"/>
        <v>2980</v>
      </c>
      <c r="R26" s="6">
        <f t="shared" si="18"/>
        <v>3094</v>
      </c>
      <c r="V26" s="12">
        <v>6584</v>
      </c>
      <c r="W26" s="12">
        <v>7121</v>
      </c>
      <c r="X26" s="12">
        <v>8164</v>
      </c>
      <c r="Y26" s="12">
        <v>9010</v>
      </c>
      <c r="Z26" s="12">
        <v>8714</v>
      </c>
      <c r="AA26" s="12">
        <v>9043</v>
      </c>
      <c r="AB26" s="12">
        <v>9811</v>
      </c>
      <c r="AC26" s="12">
        <v>10411</v>
      </c>
      <c r="AD26" s="12">
        <v>11381</v>
      </c>
      <c r="AE26" s="12">
        <v>12046</v>
      </c>
      <c r="AF26" s="12">
        <f>SUM(K26:N26)</f>
        <v>11936</v>
      </c>
      <c r="AG26" s="12">
        <f>SUM(O26:R26)</f>
        <v>11936</v>
      </c>
      <c r="AH26" s="2">
        <f>+AG26*1.01</f>
        <v>12055.36</v>
      </c>
      <c r="AI26" s="2">
        <f t="shared" ref="AI26:AT26" si="19">+AH26*1.01</f>
        <v>12175.9136</v>
      </c>
      <c r="AJ26" s="2">
        <f t="shared" si="19"/>
        <v>12297.672736</v>
      </c>
      <c r="AK26" s="2">
        <f t="shared" si="19"/>
        <v>12420.649463360001</v>
      </c>
      <c r="AL26" s="2">
        <f t="shared" si="19"/>
        <v>12544.855957993601</v>
      </c>
      <c r="AM26" s="2">
        <f t="shared" si="19"/>
        <v>12670.304517573537</v>
      </c>
      <c r="AN26" s="2">
        <f t="shared" si="19"/>
        <v>12797.007562749272</v>
      </c>
      <c r="AO26" s="2">
        <f t="shared" si="19"/>
        <v>12924.977638376764</v>
      </c>
      <c r="AP26" s="2">
        <f t="shared" si="19"/>
        <v>13054.227414760531</v>
      </c>
      <c r="AQ26" s="2">
        <f t="shared" si="19"/>
        <v>13184.769688908136</v>
      </c>
      <c r="AR26" s="2">
        <f t="shared" si="19"/>
        <v>13316.617385797217</v>
      </c>
      <c r="AS26" s="2">
        <f t="shared" si="19"/>
        <v>13449.783559655189</v>
      </c>
      <c r="AT26" s="2">
        <f t="shared" si="19"/>
        <v>13584.281395251741</v>
      </c>
    </row>
    <row r="27" spans="2:46" s="2" customFormat="1" x14ac:dyDescent="0.2">
      <c r="B27" s="2" t="s">
        <v>23</v>
      </c>
      <c r="C27" s="6"/>
      <c r="D27" s="6"/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f t="shared" si="18"/>
        <v>3961</v>
      </c>
      <c r="O27" s="6">
        <f t="shared" si="18"/>
        <v>3333</v>
      </c>
      <c r="P27" s="6">
        <f t="shared" si="18"/>
        <v>3960</v>
      </c>
      <c r="Q27" s="6">
        <f t="shared" si="18"/>
        <v>3406</v>
      </c>
      <c r="R27" s="6">
        <f t="shared" si="18"/>
        <v>3961</v>
      </c>
      <c r="V27" s="12">
        <v>9818</v>
      </c>
      <c r="W27" s="12">
        <v>11541</v>
      </c>
      <c r="X27" s="12">
        <v>13260</v>
      </c>
      <c r="Y27" s="12">
        <v>12879</v>
      </c>
      <c r="Z27" s="12">
        <v>13214</v>
      </c>
      <c r="AA27" s="12">
        <v>13940</v>
      </c>
      <c r="AB27" s="12">
        <v>13857</v>
      </c>
      <c r="AC27" s="12">
        <v>15276</v>
      </c>
      <c r="AD27" s="12">
        <v>15811</v>
      </c>
      <c r="AE27" s="12">
        <v>15713</v>
      </c>
      <c r="AF27" s="12">
        <f>SUM(K27:N27)</f>
        <v>14660</v>
      </c>
      <c r="AG27" s="12">
        <f>SUM(O27:R27)</f>
        <v>14660</v>
      </c>
      <c r="AH27" s="2">
        <f t="shared" ref="AH27:AT27" si="20">+AG27*1.01</f>
        <v>14806.6</v>
      </c>
      <c r="AI27" s="2">
        <f t="shared" si="20"/>
        <v>14954.666000000001</v>
      </c>
      <c r="AJ27" s="2">
        <f t="shared" si="20"/>
        <v>15104.212660000001</v>
      </c>
      <c r="AK27" s="2">
        <f t="shared" si="20"/>
        <v>15255.2547866</v>
      </c>
      <c r="AL27" s="2">
        <f t="shared" si="20"/>
        <v>15407.807334466001</v>
      </c>
      <c r="AM27" s="2">
        <f t="shared" si="20"/>
        <v>15561.885407810661</v>
      </c>
      <c r="AN27" s="2">
        <f t="shared" si="20"/>
        <v>15717.504261888767</v>
      </c>
      <c r="AO27" s="2">
        <f t="shared" si="20"/>
        <v>15874.679304507656</v>
      </c>
      <c r="AP27" s="2">
        <f t="shared" si="20"/>
        <v>16033.426097552732</v>
      </c>
      <c r="AQ27" s="2">
        <f t="shared" si="20"/>
        <v>16193.76035852826</v>
      </c>
      <c r="AR27" s="2">
        <f t="shared" si="20"/>
        <v>16355.697962113542</v>
      </c>
      <c r="AS27" s="2">
        <f t="shared" si="20"/>
        <v>16519.254941734678</v>
      </c>
      <c r="AT27" s="2">
        <f t="shared" si="20"/>
        <v>16684.447491152026</v>
      </c>
    </row>
    <row r="28" spans="2:46" s="2" customFormat="1" x14ac:dyDescent="0.2">
      <c r="B28" s="2" t="s">
        <v>22</v>
      </c>
      <c r="C28" s="6"/>
      <c r="D28" s="6"/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f t="shared" si="18"/>
        <v>1272</v>
      </c>
      <c r="O28" s="6">
        <f t="shared" si="18"/>
        <v>1084</v>
      </c>
      <c r="P28" s="6">
        <f t="shared" si="18"/>
        <v>1038</v>
      </c>
      <c r="Q28" s="6">
        <f t="shared" si="18"/>
        <v>1140</v>
      </c>
      <c r="R28" s="6">
        <f t="shared" si="18"/>
        <v>1272</v>
      </c>
      <c r="V28" s="12">
        <v>3758</v>
      </c>
      <c r="W28" s="12">
        <v>3329</v>
      </c>
      <c r="X28" s="12">
        <v>5127</v>
      </c>
      <c r="Y28" s="12">
        <v>4030</v>
      </c>
      <c r="Z28" s="12">
        <v>4063</v>
      </c>
      <c r="AA28" s="12">
        <v>4222</v>
      </c>
      <c r="AB28" s="12">
        <v>4569</v>
      </c>
      <c r="AC28" s="12">
        <v>5013</v>
      </c>
      <c r="AD28" s="12">
        <v>4677</v>
      </c>
      <c r="AE28" s="12">
        <v>4611</v>
      </c>
      <c r="AF28" s="12">
        <f>SUM(K28:N28)</f>
        <v>4534</v>
      </c>
      <c r="AG28" s="12">
        <f>SUM(O28:R28)</f>
        <v>4534</v>
      </c>
      <c r="AH28" s="2">
        <f t="shared" ref="AH28:AT28" si="21">+AG28*1.01</f>
        <v>4579.34</v>
      </c>
      <c r="AI28" s="2">
        <f t="shared" si="21"/>
        <v>4625.1334000000006</v>
      </c>
      <c r="AJ28" s="2">
        <f t="shared" si="21"/>
        <v>4671.3847340000011</v>
      </c>
      <c r="AK28" s="2">
        <f t="shared" si="21"/>
        <v>4718.0985813400011</v>
      </c>
      <c r="AL28" s="2">
        <f t="shared" si="21"/>
        <v>4765.2795671534013</v>
      </c>
      <c r="AM28" s="2">
        <f t="shared" si="21"/>
        <v>4812.9323628249358</v>
      </c>
      <c r="AN28" s="2">
        <f t="shared" si="21"/>
        <v>4861.0616864531848</v>
      </c>
      <c r="AO28" s="2">
        <f t="shared" si="21"/>
        <v>4909.6723033177168</v>
      </c>
      <c r="AP28" s="2">
        <f t="shared" si="21"/>
        <v>4958.7690263508939</v>
      </c>
      <c r="AQ28" s="2">
        <f t="shared" si="21"/>
        <v>5008.356716614403</v>
      </c>
      <c r="AR28" s="2">
        <f t="shared" si="21"/>
        <v>5058.4402837805474</v>
      </c>
      <c r="AS28" s="2">
        <f t="shared" si="21"/>
        <v>5109.0246866183525</v>
      </c>
      <c r="AT28" s="2">
        <f t="shared" si="21"/>
        <v>5160.1149334845359</v>
      </c>
    </row>
    <row r="29" spans="2:46" s="2" customFormat="1" x14ac:dyDescent="0.2">
      <c r="B29" s="2" t="s">
        <v>25</v>
      </c>
      <c r="C29" s="6"/>
      <c r="D29" s="6"/>
      <c r="E29" s="6">
        <f t="shared" ref="E29:L29" si="22">SUM(E26:E28)</f>
        <v>7451</v>
      </c>
      <c r="F29" s="6">
        <f t="shared" si="22"/>
        <v>9140</v>
      </c>
      <c r="G29" s="6">
        <f t="shared" si="22"/>
        <v>7944</v>
      </c>
      <c r="H29" s="6">
        <f t="shared" si="22"/>
        <v>8315</v>
      </c>
      <c r="I29" s="6">
        <f t="shared" si="22"/>
        <v>7784</v>
      </c>
      <c r="J29" s="6">
        <f t="shared" si="22"/>
        <v>8327</v>
      </c>
      <c r="K29" s="6">
        <f t="shared" si="22"/>
        <v>7379</v>
      </c>
      <c r="L29" s="6">
        <f t="shared" si="22"/>
        <v>7898</v>
      </c>
      <c r="M29" s="6">
        <f t="shared" ref="M29" si="23">SUM(M26:M28)</f>
        <v>7526</v>
      </c>
      <c r="N29" s="6">
        <f t="shared" ref="N29" si="24">SUM(N26:N28)</f>
        <v>8327</v>
      </c>
      <c r="O29" s="6">
        <f t="shared" ref="O29" si="25">SUM(O26:O28)</f>
        <v>7379</v>
      </c>
      <c r="P29" s="6">
        <f t="shared" ref="P29" si="26">SUM(P26:P28)</f>
        <v>7898</v>
      </c>
      <c r="Q29" s="6">
        <f t="shared" ref="Q29" si="27">SUM(Q26:Q28)</f>
        <v>7526</v>
      </c>
      <c r="R29" s="6">
        <f t="shared" ref="R29" si="28">SUM(R26:R28)</f>
        <v>8327</v>
      </c>
      <c r="V29" s="6">
        <f>SUM(V26:V28)</f>
        <v>20160</v>
      </c>
      <c r="W29" s="6">
        <f>SUM(W26:W28)</f>
        <v>21991</v>
      </c>
      <c r="X29" s="6">
        <f>SUM(X26:X28)</f>
        <v>26551</v>
      </c>
      <c r="Y29" s="6">
        <f>SUM(Y26:Y28)</f>
        <v>25919</v>
      </c>
      <c r="Z29" s="6">
        <f>SUM(Z26:Z28)</f>
        <v>25991</v>
      </c>
      <c r="AA29" s="6">
        <f>SUM(AA26:AA28)</f>
        <v>27205</v>
      </c>
      <c r="AB29" s="6">
        <f>SUM(AB26:AB28)</f>
        <v>28237</v>
      </c>
      <c r="AC29" s="6">
        <f>SUM(AC26:AC28)</f>
        <v>30700</v>
      </c>
      <c r="AD29" s="6">
        <f>SUM(AD26:AD28)</f>
        <v>31869</v>
      </c>
      <c r="AE29" s="6">
        <f>SUM(AE26:AE28)</f>
        <v>32370</v>
      </c>
      <c r="AF29" s="6">
        <f t="shared" ref="AF29:AG29" si="29">SUM(AF26:AF28)</f>
        <v>31130</v>
      </c>
      <c r="AG29" s="6">
        <f t="shared" si="29"/>
        <v>31130</v>
      </c>
      <c r="AH29" s="6">
        <f t="shared" ref="AH29" si="30">SUM(AH26:AH28)</f>
        <v>31441.3</v>
      </c>
      <c r="AI29" s="6">
        <f t="shared" ref="AI29" si="31">SUM(AI26:AI28)</f>
        <v>31755.713000000003</v>
      </c>
      <c r="AJ29" s="6">
        <f t="shared" ref="AJ29" si="32">SUM(AJ26:AJ28)</f>
        <v>32073.270130000004</v>
      </c>
      <c r="AK29" s="6">
        <f t="shared" ref="AK29" si="33">SUM(AK26:AK28)</f>
        <v>32394.002831300004</v>
      </c>
      <c r="AL29" s="6">
        <f t="shared" ref="AL29" si="34">SUM(AL26:AL28)</f>
        <v>32717.942859613002</v>
      </c>
      <c r="AM29" s="6">
        <f t="shared" ref="AM29" si="35">SUM(AM26:AM28)</f>
        <v>33045.122288209132</v>
      </c>
      <c r="AN29" s="6">
        <f t="shared" ref="AN29" si="36">SUM(AN26:AN28)</f>
        <v>33375.573511091221</v>
      </c>
      <c r="AO29" s="6">
        <f t="shared" ref="AO29" si="37">SUM(AO26:AO28)</f>
        <v>33709.329246202135</v>
      </c>
      <c r="AP29" s="6">
        <f t="shared" ref="AP29" si="38">SUM(AP26:AP28)</f>
        <v>34046.422538664156</v>
      </c>
      <c r="AQ29" s="6">
        <f t="shared" ref="AQ29" si="39">SUM(AQ26:AQ28)</f>
        <v>34386.886764050803</v>
      </c>
      <c r="AR29" s="6">
        <f t="shared" ref="AR29" si="40">SUM(AR26:AR28)</f>
        <v>34730.755631691303</v>
      </c>
      <c r="AS29" s="6">
        <f t="shared" ref="AS29" si="41">SUM(AS26:AS28)</f>
        <v>35078.063188008222</v>
      </c>
      <c r="AT29" s="6">
        <f t="shared" ref="AT29" si="42">SUM(AT26:AT28)</f>
        <v>35428.843819888309</v>
      </c>
    </row>
    <row r="30" spans="2:46" s="2" customFormat="1" x14ac:dyDescent="0.2">
      <c r="B30" s="2" t="s">
        <v>26</v>
      </c>
      <c r="C30" s="6"/>
      <c r="D30" s="6"/>
      <c r="E30" s="6">
        <f t="shared" ref="E30:L30" si="43">E25-E29</f>
        <v>6974</v>
      </c>
      <c r="F30" s="6">
        <f t="shared" si="43"/>
        <v>6609</v>
      </c>
      <c r="G30" s="6">
        <f t="shared" si="43"/>
        <v>6984</v>
      </c>
      <c r="H30" s="6">
        <f t="shared" si="43"/>
        <v>8019</v>
      </c>
      <c r="I30" s="6">
        <f t="shared" si="43"/>
        <v>6784</v>
      </c>
      <c r="J30" s="6">
        <f t="shared" si="43"/>
        <v>6385</v>
      </c>
      <c r="K30" s="6">
        <f t="shared" si="43"/>
        <v>5793</v>
      </c>
      <c r="L30" s="6">
        <f t="shared" si="43"/>
        <v>6026</v>
      </c>
      <c r="M30" s="6">
        <f t="shared" ref="M30" si="44">M25-M29</f>
        <v>6828</v>
      </c>
      <c r="N30" s="6">
        <f t="shared" ref="N30" si="45">N25-N29</f>
        <v>5721</v>
      </c>
      <c r="O30" s="6">
        <f t="shared" ref="O30" si="46">O25-O29</f>
        <v>5588.1576999999997</v>
      </c>
      <c r="P30" s="6">
        <f t="shared" ref="P30" si="47">P25-P29</f>
        <v>7243.3948</v>
      </c>
      <c r="Q30" s="6">
        <f t="shared" ref="Q30" si="48">Q25-Q29</f>
        <v>6520.9587999999985</v>
      </c>
      <c r="R30" s="6">
        <f t="shared" ref="R30" si="49">R25-R29</f>
        <v>5639.7849999999999</v>
      </c>
      <c r="V30" s="6">
        <f>V25-V29</f>
        <v>16472</v>
      </c>
      <c r="W30" s="6">
        <f>W25-W29</f>
        <v>18438</v>
      </c>
      <c r="X30" s="6">
        <f>X25-X29</f>
        <v>22271</v>
      </c>
      <c r="Y30" s="6">
        <f>Y25-Y29</f>
        <v>20363</v>
      </c>
      <c r="Z30" s="6">
        <f>Z25-Z29</f>
        <v>24098</v>
      </c>
      <c r="AA30" s="6">
        <f>AA25-AA29</f>
        <v>27161</v>
      </c>
      <c r="AB30" s="6">
        <f>AB25-AB29</f>
        <v>27956</v>
      </c>
      <c r="AC30" s="6">
        <f>AC25-AC29</f>
        <v>26764</v>
      </c>
      <c r="AD30" s="6">
        <f>AD25-AD29</f>
        <v>27886</v>
      </c>
      <c r="AE30" s="6">
        <f>AE25-AE29</f>
        <v>28172</v>
      </c>
      <c r="AF30" s="6">
        <f t="shared" ref="AF30:AG30" si="50">AF25-AF29</f>
        <v>24368</v>
      </c>
      <c r="AG30" s="6">
        <f t="shared" si="50"/>
        <v>24992.296299999987</v>
      </c>
      <c r="AH30" s="6">
        <f t="shared" ref="AH30" si="51">AH25-AH29</f>
        <v>26364.665189000003</v>
      </c>
      <c r="AI30" s="6">
        <f t="shared" ref="AI30" si="52">AI25-AI29</f>
        <v>27784.431144670001</v>
      </c>
      <c r="AJ30" s="6">
        <f t="shared" ref="AJ30" si="53">AJ25-AJ29</f>
        <v>29253.078339010099</v>
      </c>
      <c r="AK30" s="6">
        <f t="shared" ref="AK30" si="54">AK25-AK29</f>
        <v>30772.136091780409</v>
      </c>
      <c r="AL30" s="6">
        <f t="shared" ref="AL30" si="55">AL25-AL29</f>
        <v>32343.180231159822</v>
      </c>
      <c r="AM30" s="6">
        <f t="shared" ref="AM30" si="56">AM25-AM29</f>
        <v>33967.834495286887</v>
      </c>
      <c r="AN30" s="6">
        <f t="shared" ref="AN30" si="57">AN25-AN29</f>
        <v>35647.77197590968</v>
      </c>
      <c r="AO30" s="6">
        <f t="shared" ref="AO30" si="58">AO25-AO29</f>
        <v>37384.716605408787</v>
      </c>
      <c r="AP30" s="6">
        <f t="shared" ref="AP30" si="59">AP25-AP29</f>
        <v>39180.444688495096</v>
      </c>
      <c r="AQ30" s="6">
        <f t="shared" ref="AQ30" si="60">AQ25-AQ29</f>
        <v>41036.786479923241</v>
      </c>
      <c r="AR30" s="6">
        <f t="shared" ref="AR30" si="61">AR25-AR29</f>
        <v>42955.62780960196</v>
      </c>
      <c r="AS30" s="6">
        <f t="shared" ref="AS30" si="62">AS25-AS29</f>
        <v>44938.911756523841</v>
      </c>
      <c r="AT30" s="6">
        <f t="shared" ref="AT30" si="63">AT25-AT29</f>
        <v>46988.640372979717</v>
      </c>
    </row>
    <row r="31" spans="2:46" s="2" customFormat="1" x14ac:dyDescent="0.2">
      <c r="B31" s="2" t="s">
        <v>32</v>
      </c>
      <c r="C31" s="6"/>
      <c r="D31" s="6"/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V31" s="12">
        <v>1790</v>
      </c>
      <c r="W31" s="12">
        <v>1663</v>
      </c>
      <c r="X31" s="12">
        <v>1543</v>
      </c>
      <c r="Y31" s="12">
        <v>-542</v>
      </c>
      <c r="Z31" s="12">
        <v>915</v>
      </c>
      <c r="AA31" s="12">
        <v>910</v>
      </c>
      <c r="AB31" s="12">
        <v>504</v>
      </c>
      <c r="AC31" s="12">
        <v>288</v>
      </c>
      <c r="AD31" s="12">
        <v>61</v>
      </c>
      <c r="AE31" s="12">
        <v>346</v>
      </c>
      <c r="AF31" s="12">
        <f>SUM(K31:N31)</f>
        <v>-698</v>
      </c>
      <c r="AG31" s="12">
        <f>SUM(O31:R31)</f>
        <v>0</v>
      </c>
      <c r="AH31" s="2">
        <f t="shared" ref="AH31:AT31" si="64">+AG47*$AW$38</f>
        <v>2258.2428000599998</v>
      </c>
      <c r="AI31" s="2">
        <f t="shared" si="64"/>
        <v>2716.2093278849602</v>
      </c>
      <c r="AJ31" s="2">
        <f t="shared" si="64"/>
        <v>3204.2195754458394</v>
      </c>
      <c r="AK31" s="2">
        <f t="shared" si="64"/>
        <v>3723.5363420771341</v>
      </c>
      <c r="AL31" s="2">
        <f t="shared" si="64"/>
        <v>4275.4671010188549</v>
      </c>
      <c r="AM31" s="2">
        <f t="shared" si="64"/>
        <v>4861.3654583337138</v>
      </c>
      <c r="AN31" s="2">
        <f t="shared" si="64"/>
        <v>5482.6326575916437</v>
      </c>
      <c r="AO31" s="2">
        <f t="shared" si="64"/>
        <v>6140.7191317276647</v>
      </c>
      <c r="AP31" s="2">
        <f t="shared" si="64"/>
        <v>6837.1261035218477</v>
      </c>
      <c r="AQ31" s="2">
        <f t="shared" si="64"/>
        <v>7573.407236194118</v>
      </c>
      <c r="AR31" s="2">
        <f t="shared" si="64"/>
        <v>8351.1703356519956</v>
      </c>
      <c r="AS31" s="2">
        <f t="shared" si="64"/>
        <v>9172.0791059760595</v>
      </c>
      <c r="AT31" s="2">
        <f t="shared" si="64"/>
        <v>10037.854959776058</v>
      </c>
    </row>
    <row r="32" spans="2:46" s="2" customFormat="1" x14ac:dyDescent="0.2">
      <c r="B32" s="2" t="s">
        <v>31</v>
      </c>
      <c r="C32" s="6"/>
      <c r="D32" s="6"/>
      <c r="E32" s="6">
        <f t="shared" ref="E32:M32" si="65">+E31+E30</f>
        <v>6957</v>
      </c>
      <c r="F32" s="6">
        <f t="shared" si="65"/>
        <v>6704</v>
      </c>
      <c r="G32" s="6">
        <f t="shared" si="65"/>
        <v>7036</v>
      </c>
      <c r="H32" s="6">
        <f t="shared" si="65"/>
        <v>8093</v>
      </c>
      <c r="I32" s="6">
        <f t="shared" si="65"/>
        <v>6707</v>
      </c>
      <c r="J32" s="6">
        <f t="shared" si="65"/>
        <v>6682</v>
      </c>
      <c r="K32" s="6">
        <f t="shared" si="65"/>
        <v>5513</v>
      </c>
      <c r="L32" s="6">
        <f t="shared" si="65"/>
        <v>5855</v>
      </c>
      <c r="M32" s="6">
        <f t="shared" si="65"/>
        <v>6581</v>
      </c>
      <c r="N32" s="6">
        <f t="shared" ref="N32" si="66">+N31+N30</f>
        <v>5721</v>
      </c>
      <c r="O32" s="6">
        <f t="shared" ref="O32" si="67">+O31+O30</f>
        <v>5588.1576999999997</v>
      </c>
      <c r="P32" s="6">
        <f t="shared" ref="P32" si="68">+P31+P30</f>
        <v>7243.3948</v>
      </c>
      <c r="Q32" s="6">
        <f t="shared" ref="Q32" si="69">+Q31+Q30</f>
        <v>6520.9587999999985</v>
      </c>
      <c r="R32" s="6">
        <f t="shared" ref="R32" si="70">+R31+R30</f>
        <v>5639.7849999999999</v>
      </c>
      <c r="V32" s="6">
        <f t="shared" ref="V32" si="71">+V31+V30</f>
        <v>18262</v>
      </c>
      <c r="W32" s="6">
        <f t="shared" ref="W32:X32" si="72">+W31+W30</f>
        <v>20101</v>
      </c>
      <c r="X32" s="6">
        <f t="shared" si="72"/>
        <v>23814</v>
      </c>
      <c r="Y32" s="6">
        <f t="shared" ref="Y32:Z32" si="73">+Y31+Y30</f>
        <v>19821</v>
      </c>
      <c r="Z32" s="6">
        <f t="shared" si="73"/>
        <v>25013</v>
      </c>
      <c r="AA32" s="6">
        <f t="shared" ref="AA32:AB32" si="74">+AA31+AA30</f>
        <v>28071</v>
      </c>
      <c r="AB32" s="6">
        <f t="shared" si="74"/>
        <v>28460</v>
      </c>
      <c r="AC32" s="6">
        <f t="shared" ref="AC32:AD32" si="75">+AC31+AC30</f>
        <v>27052</v>
      </c>
      <c r="AD32" s="6">
        <f t="shared" si="75"/>
        <v>27947</v>
      </c>
      <c r="AE32" s="6">
        <f t="shared" ref="AE32:AF32" si="76">+AE31+AE30</f>
        <v>28518</v>
      </c>
      <c r="AF32" s="6">
        <f t="shared" si="76"/>
        <v>23670</v>
      </c>
      <c r="AG32" s="6">
        <f t="shared" ref="AG32" si="77">+AG31+AG30</f>
        <v>24992.296299999987</v>
      </c>
      <c r="AH32" s="6">
        <f t="shared" ref="AH32" si="78">+AH31+AH30</f>
        <v>28622.907989060004</v>
      </c>
      <c r="AI32" s="6">
        <f t="shared" ref="AI32" si="79">+AI31+AI30</f>
        <v>30500.640472554962</v>
      </c>
      <c r="AJ32" s="6">
        <f t="shared" ref="AJ32" si="80">+AJ31+AJ30</f>
        <v>32457.297914455939</v>
      </c>
      <c r="AK32" s="6">
        <f t="shared" ref="AK32" si="81">+AK31+AK30</f>
        <v>34495.672433857544</v>
      </c>
      <c r="AL32" s="6">
        <f t="shared" ref="AL32" si="82">+AL31+AL30</f>
        <v>36618.647332178676</v>
      </c>
      <c r="AM32" s="6">
        <f t="shared" ref="AM32" si="83">+AM31+AM30</f>
        <v>38829.199953620599</v>
      </c>
      <c r="AN32" s="6">
        <f t="shared" ref="AN32" si="84">+AN31+AN30</f>
        <v>41130.404633501326</v>
      </c>
      <c r="AO32" s="6">
        <f t="shared" ref="AO32" si="85">+AO31+AO30</f>
        <v>43525.435737136453</v>
      </c>
      <c r="AP32" s="6">
        <f t="shared" ref="AP32" si="86">+AP31+AP30</f>
        <v>46017.570792016944</v>
      </c>
      <c r="AQ32" s="6">
        <f t="shared" ref="AQ32" si="87">+AQ31+AQ30</f>
        <v>48610.193716117356</v>
      </c>
      <c r="AR32" s="6">
        <f t="shared" ref="AR32" si="88">+AR31+AR30</f>
        <v>51306.798145253953</v>
      </c>
      <c r="AS32" s="6">
        <f t="shared" ref="AS32" si="89">+AS31+AS30</f>
        <v>54110.990862499901</v>
      </c>
      <c r="AT32" s="6">
        <f t="shared" ref="AT32" si="90">+AT31+AT30</f>
        <v>57026.495332755774</v>
      </c>
    </row>
    <row r="33" spans="2:149" s="2" customFormat="1" x14ac:dyDescent="0.2">
      <c r="B33" s="2" t="s">
        <v>30</v>
      </c>
      <c r="C33" s="6"/>
      <c r="D33" s="6"/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f>+N32*0.22</f>
        <v>1258.6200000000001</v>
      </c>
      <c r="O33" s="6">
        <f t="shared" ref="O33:R33" si="91">+O32*0.19</f>
        <v>1061.749963</v>
      </c>
      <c r="P33" s="6">
        <f t="shared" si="91"/>
        <v>1376.2450120000001</v>
      </c>
      <c r="Q33" s="6">
        <f t="shared" si="91"/>
        <v>1238.9821719999998</v>
      </c>
      <c r="R33" s="6">
        <f t="shared" si="91"/>
        <v>1071.55915</v>
      </c>
      <c r="V33" s="12">
        <v>5663</v>
      </c>
      <c r="W33" s="12">
        <v>6036</v>
      </c>
      <c r="X33" s="12">
        <v>6133</v>
      </c>
      <c r="Y33" s="12">
        <v>5252</v>
      </c>
      <c r="Z33" s="12">
        <v>6253</v>
      </c>
      <c r="AA33" s="12">
        <v>4921</v>
      </c>
      <c r="AB33" s="12">
        <v>5289</v>
      </c>
      <c r="AC33" s="12">
        <v>5189</v>
      </c>
      <c r="AD33" s="12">
        <v>5746</v>
      </c>
      <c r="AE33" s="12">
        <v>6314</v>
      </c>
      <c r="AF33" s="12">
        <f>SUM(K33:N33)</f>
        <v>4288.62</v>
      </c>
      <c r="AG33" s="12">
        <f>SUM(O33:R33)</f>
        <v>4748.5362969999996</v>
      </c>
      <c r="AH33" s="2">
        <f>+AH32*0.2</f>
        <v>5724.5815978120008</v>
      </c>
      <c r="AI33" s="2">
        <f t="shared" ref="AI33:AT33" si="92">+AI32*0.2</f>
        <v>6100.1280945109929</v>
      </c>
      <c r="AJ33" s="2">
        <f t="shared" si="92"/>
        <v>6491.4595828911879</v>
      </c>
      <c r="AK33" s="2">
        <f t="shared" si="92"/>
        <v>6899.1344867715088</v>
      </c>
      <c r="AL33" s="2">
        <f t="shared" si="92"/>
        <v>7323.729466435736</v>
      </c>
      <c r="AM33" s="2">
        <f t="shared" si="92"/>
        <v>7765.8399907241201</v>
      </c>
      <c r="AN33" s="2">
        <f t="shared" si="92"/>
        <v>8226.080926700266</v>
      </c>
      <c r="AO33" s="2">
        <f t="shared" si="92"/>
        <v>8705.0871474272917</v>
      </c>
      <c r="AP33" s="2">
        <f t="shared" si="92"/>
        <v>9203.51415840339</v>
      </c>
      <c r="AQ33" s="2">
        <f t="shared" si="92"/>
        <v>9722.0387432234711</v>
      </c>
      <c r="AR33" s="2">
        <f t="shared" si="92"/>
        <v>10261.359629050792</v>
      </c>
      <c r="AS33" s="2">
        <f t="shared" si="92"/>
        <v>10822.198172499981</v>
      </c>
      <c r="AT33" s="2">
        <f t="shared" si="92"/>
        <v>11405.299066551155</v>
      </c>
    </row>
    <row r="34" spans="2:149" s="2" customFormat="1" x14ac:dyDescent="0.2">
      <c r="B34" s="2" t="s">
        <v>29</v>
      </c>
      <c r="C34" s="6"/>
      <c r="D34" s="6"/>
      <c r="E34" s="6">
        <f t="shared" ref="E34:M34" si="93">+E32-E33</f>
        <v>5660</v>
      </c>
      <c r="F34" s="6">
        <f t="shared" si="93"/>
        <v>4739</v>
      </c>
      <c r="G34" s="6">
        <f t="shared" si="93"/>
        <v>5680</v>
      </c>
      <c r="H34" s="6">
        <f t="shared" si="93"/>
        <v>6106</v>
      </c>
      <c r="I34" s="6">
        <f t="shared" si="93"/>
        <v>5175</v>
      </c>
      <c r="J34" s="6">
        <f t="shared" si="93"/>
        <v>5243</v>
      </c>
      <c r="K34" s="6">
        <f t="shared" si="93"/>
        <v>4620</v>
      </c>
      <c r="L34" s="6">
        <f t="shared" si="93"/>
        <v>4998</v>
      </c>
      <c r="M34" s="6">
        <f t="shared" si="93"/>
        <v>5301</v>
      </c>
      <c r="N34" s="6">
        <f t="shared" ref="N34" si="94">+N32-N33</f>
        <v>4462.38</v>
      </c>
      <c r="O34" s="6">
        <f t="shared" ref="O34" si="95">+O32-O33</f>
        <v>4526.4077369999995</v>
      </c>
      <c r="P34" s="6">
        <f t="shared" ref="P34" si="96">+P32-P33</f>
        <v>5867.1497879999997</v>
      </c>
      <c r="Q34" s="6">
        <f t="shared" ref="Q34" si="97">+Q32-Q33</f>
        <v>5281.9766279999985</v>
      </c>
      <c r="R34" s="6">
        <f t="shared" ref="R34" si="98">+R32-R33</f>
        <v>4568.2258499999998</v>
      </c>
      <c r="V34" s="6">
        <f t="shared" ref="V34" si="99">+V32-V33</f>
        <v>12599</v>
      </c>
      <c r="W34" s="6">
        <f t="shared" ref="W34:X34" si="100">+W32-W33</f>
        <v>14065</v>
      </c>
      <c r="X34" s="6">
        <f t="shared" si="100"/>
        <v>17681</v>
      </c>
      <c r="Y34" s="6">
        <f t="shared" ref="Y34:Z34" si="101">+Y32-Y33</f>
        <v>14569</v>
      </c>
      <c r="Z34" s="6">
        <f t="shared" si="101"/>
        <v>18760</v>
      </c>
      <c r="AA34" s="6">
        <f t="shared" ref="AA34:AB34" si="102">+AA32-AA33</f>
        <v>23150</v>
      </c>
      <c r="AB34" s="6">
        <f t="shared" si="102"/>
        <v>23171</v>
      </c>
      <c r="AC34" s="6">
        <f t="shared" ref="AC34:AD34" si="103">+AC32-AC33</f>
        <v>21863</v>
      </c>
      <c r="AD34" s="6">
        <f t="shared" si="103"/>
        <v>22201</v>
      </c>
      <c r="AE34" s="6">
        <f t="shared" ref="AE34:AF34" si="104">+AE32-AE33</f>
        <v>22204</v>
      </c>
      <c r="AF34" s="6">
        <f t="shared" si="104"/>
        <v>19381.38</v>
      </c>
      <c r="AG34" s="6">
        <f t="shared" ref="AG34" si="105">+AG32-AG33</f>
        <v>20243.760002999989</v>
      </c>
      <c r="AH34" s="6">
        <f t="shared" ref="AH34" si="106">+AH32-AH33</f>
        <v>22898.326391248003</v>
      </c>
      <c r="AI34" s="6">
        <f t="shared" ref="AI34" si="107">+AI32-AI33</f>
        <v>24400.512378043968</v>
      </c>
      <c r="AJ34" s="6">
        <f t="shared" ref="AJ34" si="108">+AJ32-AJ33</f>
        <v>25965.838331564752</v>
      </c>
      <c r="AK34" s="6">
        <f t="shared" ref="AK34" si="109">+AK32-AK33</f>
        <v>27596.537947086035</v>
      </c>
      <c r="AL34" s="6">
        <f t="shared" ref="AL34" si="110">+AL32-AL33</f>
        <v>29294.91786574294</v>
      </c>
      <c r="AM34" s="6">
        <f t="shared" ref="AM34" si="111">+AM32-AM33</f>
        <v>31063.35996289648</v>
      </c>
      <c r="AN34" s="6">
        <f t="shared" ref="AN34" si="112">+AN32-AN33</f>
        <v>32904.323706801064</v>
      </c>
      <c r="AO34" s="6">
        <f t="shared" ref="AO34" si="113">+AO32-AO33</f>
        <v>34820.34858970916</v>
      </c>
      <c r="AP34" s="6">
        <f t="shared" ref="AP34" si="114">+AP32-AP33</f>
        <v>36814.056633613553</v>
      </c>
      <c r="AQ34" s="6">
        <f t="shared" ref="AQ34" si="115">+AQ32-AQ33</f>
        <v>38888.154972893884</v>
      </c>
      <c r="AR34" s="6">
        <f t="shared" ref="AR34" si="116">+AR32-AR33</f>
        <v>41045.438516203161</v>
      </c>
      <c r="AS34" s="6">
        <f t="shared" ref="AS34" si="117">+AS32-AS33</f>
        <v>43288.792689999922</v>
      </c>
      <c r="AT34" s="6">
        <f t="shared" ref="AT34" si="118">+AT32-AT33</f>
        <v>45621.196266204621</v>
      </c>
      <c r="AU34" s="2">
        <f>AT34*(1+$AW$37)</f>
        <v>44708.772340880525</v>
      </c>
      <c r="AV34" s="2">
        <f t="shared" ref="AV34:DG34" si="119">AU34*(1+$AW$37)</f>
        <v>43814.596894062917</v>
      </c>
      <c r="AW34" s="2">
        <f t="shared" si="119"/>
        <v>42938.304956181659</v>
      </c>
      <c r="AX34" s="2">
        <f t="shared" si="119"/>
        <v>42079.538857058025</v>
      </c>
      <c r="AY34" s="2">
        <f t="shared" si="119"/>
        <v>41237.948079916867</v>
      </c>
      <c r="AZ34" s="2">
        <f t="shared" si="119"/>
        <v>40413.189118318529</v>
      </c>
      <c r="BA34" s="2">
        <f t="shared" si="119"/>
        <v>39604.925335952161</v>
      </c>
      <c r="BB34" s="2">
        <f t="shared" si="119"/>
        <v>38812.826829233119</v>
      </c>
      <c r="BC34" s="2">
        <f t="shared" si="119"/>
        <v>38036.570292648459</v>
      </c>
      <c r="BD34" s="2">
        <f t="shared" si="119"/>
        <v>37275.838886795493</v>
      </c>
      <c r="BE34" s="2">
        <f t="shared" si="119"/>
        <v>36530.322109059583</v>
      </c>
      <c r="BF34" s="2">
        <f t="shared" si="119"/>
        <v>35799.715666878394</v>
      </c>
      <c r="BG34" s="2">
        <f t="shared" si="119"/>
        <v>35083.721353540823</v>
      </c>
      <c r="BH34" s="2">
        <f t="shared" si="119"/>
        <v>34382.046926470008</v>
      </c>
      <c r="BI34" s="2">
        <f t="shared" si="119"/>
        <v>33694.405987940605</v>
      </c>
      <c r="BJ34" s="2">
        <f t="shared" si="119"/>
        <v>33020.517868181792</v>
      </c>
      <c r="BK34" s="2">
        <f t="shared" si="119"/>
        <v>32360.107510818158</v>
      </c>
      <c r="BL34" s="2">
        <f t="shared" si="119"/>
        <v>31712.905360601795</v>
      </c>
      <c r="BM34" s="2">
        <f t="shared" si="119"/>
        <v>31078.647253389758</v>
      </c>
      <c r="BN34" s="2">
        <f t="shared" si="119"/>
        <v>30457.07430832196</v>
      </c>
      <c r="BO34" s="2">
        <f t="shared" si="119"/>
        <v>29847.932822155522</v>
      </c>
      <c r="BP34" s="2">
        <f t="shared" si="119"/>
        <v>29250.97416571241</v>
      </c>
      <c r="BQ34" s="2">
        <f t="shared" si="119"/>
        <v>28665.954682398162</v>
      </c>
      <c r="BR34" s="2">
        <f t="shared" si="119"/>
        <v>28092.6355887502</v>
      </c>
      <c r="BS34" s="2">
        <f t="shared" si="119"/>
        <v>27530.782876975194</v>
      </c>
      <c r="BT34" s="2">
        <f t="shared" si="119"/>
        <v>26980.167219435691</v>
      </c>
      <c r="BU34" s="2">
        <f t="shared" si="119"/>
        <v>26440.563875046977</v>
      </c>
      <c r="BV34" s="2">
        <f t="shared" si="119"/>
        <v>25911.752597546038</v>
      </c>
      <c r="BW34" s="2">
        <f t="shared" si="119"/>
        <v>25393.517545595118</v>
      </c>
      <c r="BX34" s="2">
        <f t="shared" si="119"/>
        <v>24885.647194683213</v>
      </c>
      <c r="BY34" s="2">
        <f t="shared" si="119"/>
        <v>24387.934250789549</v>
      </c>
      <c r="BZ34" s="2">
        <f t="shared" si="119"/>
        <v>23900.175565773756</v>
      </c>
      <c r="CA34" s="2">
        <f t="shared" si="119"/>
        <v>23422.172054458279</v>
      </c>
      <c r="CB34" s="2">
        <f t="shared" si="119"/>
        <v>22953.728613369112</v>
      </c>
      <c r="CC34" s="2">
        <f t="shared" si="119"/>
        <v>22494.65404110173</v>
      </c>
      <c r="CD34" s="2">
        <f t="shared" si="119"/>
        <v>22044.760960279695</v>
      </c>
      <c r="CE34" s="2">
        <f t="shared" si="119"/>
        <v>21603.8657410741</v>
      </c>
      <c r="CF34" s="2">
        <f t="shared" si="119"/>
        <v>21171.788426252617</v>
      </c>
      <c r="CG34" s="2">
        <f t="shared" si="119"/>
        <v>20748.352657727562</v>
      </c>
      <c r="CH34" s="2">
        <f t="shared" si="119"/>
        <v>20333.38560457301</v>
      </c>
      <c r="CI34" s="2">
        <f t="shared" si="119"/>
        <v>19926.717892481549</v>
      </c>
      <c r="CJ34" s="2">
        <f t="shared" si="119"/>
        <v>19528.183534631917</v>
      </c>
      <c r="CK34" s="2">
        <f t="shared" si="119"/>
        <v>19137.619863939279</v>
      </c>
      <c r="CL34" s="2">
        <f t="shared" si="119"/>
        <v>18754.867466660493</v>
      </c>
      <c r="CM34" s="2">
        <f t="shared" si="119"/>
        <v>18379.770117327284</v>
      </c>
      <c r="CN34" s="2">
        <f t="shared" si="119"/>
        <v>18012.174714980738</v>
      </c>
      <c r="CO34" s="2">
        <f t="shared" si="119"/>
        <v>17651.931220681123</v>
      </c>
      <c r="CP34" s="2">
        <f t="shared" si="119"/>
        <v>17298.892596267498</v>
      </c>
      <c r="CQ34" s="2">
        <f t="shared" si="119"/>
        <v>16952.91474434215</v>
      </c>
      <c r="CR34" s="2">
        <f t="shared" si="119"/>
        <v>16613.856449455307</v>
      </c>
      <c r="CS34" s="2">
        <f t="shared" si="119"/>
        <v>16281.5793204662</v>
      </c>
      <c r="CT34" s="2">
        <f t="shared" si="119"/>
        <v>15955.947734056876</v>
      </c>
      <c r="CU34" s="2">
        <f t="shared" si="119"/>
        <v>15636.828779375737</v>
      </c>
      <c r="CV34" s="2">
        <f t="shared" si="119"/>
        <v>15324.092203788223</v>
      </c>
      <c r="CW34" s="2">
        <f t="shared" si="119"/>
        <v>15017.610359712458</v>
      </c>
      <c r="CX34" s="2">
        <f t="shared" si="119"/>
        <v>14717.258152518209</v>
      </c>
      <c r="CY34" s="2">
        <f t="shared" si="119"/>
        <v>14422.912989467844</v>
      </c>
      <c r="CZ34" s="2">
        <f t="shared" si="119"/>
        <v>14134.454729678488</v>
      </c>
      <c r="DA34" s="2">
        <f t="shared" si="119"/>
        <v>13851.765635084917</v>
      </c>
      <c r="DB34" s="2">
        <f t="shared" si="119"/>
        <v>13574.730322383219</v>
      </c>
      <c r="DC34" s="2">
        <f t="shared" si="119"/>
        <v>13303.235715935554</v>
      </c>
      <c r="DD34" s="2">
        <f t="shared" si="119"/>
        <v>13037.171001616844</v>
      </c>
      <c r="DE34" s="2">
        <f t="shared" si="119"/>
        <v>12776.427581584507</v>
      </c>
      <c r="DF34" s="2">
        <f t="shared" si="119"/>
        <v>12520.899029952816</v>
      </c>
      <c r="DG34" s="2">
        <f t="shared" si="119"/>
        <v>12270.481049353759</v>
      </c>
      <c r="DH34" s="2">
        <f t="shared" ref="DH34:ES34" si="120">DG34*(1+$AW$37)</f>
        <v>12025.071428366684</v>
      </c>
      <c r="DI34" s="2">
        <f t="shared" si="120"/>
        <v>11784.569999799351</v>
      </c>
      <c r="DJ34" s="2">
        <f t="shared" si="120"/>
        <v>11548.878599803364</v>
      </c>
      <c r="DK34" s="2">
        <f t="shared" si="120"/>
        <v>11317.901027807296</v>
      </c>
      <c r="DL34" s="2">
        <f t="shared" si="120"/>
        <v>11091.54300725115</v>
      </c>
      <c r="DM34" s="2">
        <f t="shared" si="120"/>
        <v>10869.712147106127</v>
      </c>
      <c r="DN34" s="2">
        <f t="shared" si="120"/>
        <v>10652.317904164005</v>
      </c>
      <c r="DO34" s="2">
        <f t="shared" si="120"/>
        <v>10439.271546080725</v>
      </c>
      <c r="DP34" s="2">
        <f t="shared" si="120"/>
        <v>10230.48611515911</v>
      </c>
      <c r="DQ34" s="2">
        <f t="shared" si="120"/>
        <v>10025.876392855927</v>
      </c>
      <c r="DR34" s="2">
        <f t="shared" si="120"/>
        <v>9825.3588649988087</v>
      </c>
      <c r="DS34" s="2">
        <f t="shared" si="120"/>
        <v>9628.8516876988324</v>
      </c>
      <c r="DT34" s="2">
        <f t="shared" si="120"/>
        <v>9436.2746539448563</v>
      </c>
      <c r="DU34" s="2">
        <f t="shared" si="120"/>
        <v>9247.5491608659595</v>
      </c>
      <c r="DV34" s="2">
        <f t="shared" si="120"/>
        <v>9062.5981776486406</v>
      </c>
      <c r="DW34" s="2">
        <f t="shared" si="120"/>
        <v>8881.3462140956672</v>
      </c>
      <c r="DX34" s="2">
        <f t="shared" si="120"/>
        <v>8703.7192898137528</v>
      </c>
      <c r="DY34" s="2">
        <f t="shared" si="120"/>
        <v>8529.6449040174775</v>
      </c>
      <c r="DZ34" s="2">
        <f t="shared" si="120"/>
        <v>8359.0520059371283</v>
      </c>
      <c r="EA34" s="2">
        <f t="shared" si="120"/>
        <v>8191.8709658183852</v>
      </c>
      <c r="EB34" s="2">
        <f t="shared" si="120"/>
        <v>8028.0335465020171</v>
      </c>
      <c r="EC34" s="2">
        <f t="shared" si="120"/>
        <v>7867.4728755719771</v>
      </c>
      <c r="ED34" s="2">
        <f t="shared" si="120"/>
        <v>7710.123418060537</v>
      </c>
      <c r="EE34" s="2">
        <f t="shared" si="120"/>
        <v>7555.9209496993262</v>
      </c>
      <c r="EF34" s="2">
        <f t="shared" si="120"/>
        <v>7404.8025307053394</v>
      </c>
      <c r="EG34" s="2">
        <f t="shared" si="120"/>
        <v>7256.7064800912322</v>
      </c>
      <c r="EH34" s="2">
        <f t="shared" si="120"/>
        <v>7111.5723504894077</v>
      </c>
      <c r="EI34" s="2">
        <f t="shared" si="120"/>
        <v>6969.3409034796196</v>
      </c>
      <c r="EJ34" s="2">
        <f t="shared" si="120"/>
        <v>6829.9540854100269</v>
      </c>
      <c r="EK34" s="2">
        <f t="shared" si="120"/>
        <v>6693.3550037018258</v>
      </c>
      <c r="EL34" s="2">
        <f t="shared" si="120"/>
        <v>6559.4879036277889</v>
      </c>
      <c r="EM34" s="2">
        <f t="shared" si="120"/>
        <v>6428.2981455552326</v>
      </c>
      <c r="EN34" s="2">
        <f t="shared" si="120"/>
        <v>6299.7321826441275</v>
      </c>
      <c r="EO34" s="2">
        <f t="shared" si="120"/>
        <v>6173.7375389912449</v>
      </c>
      <c r="EP34" s="2">
        <f t="shared" si="120"/>
        <v>6050.2627882114202</v>
      </c>
      <c r="EQ34" s="2">
        <f t="shared" si="120"/>
        <v>5929.2575324471918</v>
      </c>
      <c r="ER34" s="2">
        <f t="shared" si="120"/>
        <v>5810.6723817982474</v>
      </c>
      <c r="ES34" s="2">
        <f t="shared" si="120"/>
        <v>5694.4589341622823</v>
      </c>
    </row>
    <row r="35" spans="2:149" s="2" customFormat="1" x14ac:dyDescent="0.2">
      <c r="B35" s="2" t="s">
        <v>28</v>
      </c>
      <c r="C35" s="6"/>
      <c r="D35" s="6"/>
      <c r="E35" s="7">
        <f t="shared" ref="E35:M35" si="121">E34/E36</f>
        <v>0.6764670730249791</v>
      </c>
      <c r="F35" s="7">
        <f t="shared" si="121"/>
        <v>0.56788496105452368</v>
      </c>
      <c r="G35" s="7">
        <f t="shared" si="121"/>
        <v>0.68015806490240693</v>
      </c>
      <c r="H35" s="7">
        <f t="shared" si="121"/>
        <v>0.73592864890924425</v>
      </c>
      <c r="I35" s="7">
        <f t="shared" si="121"/>
        <v>0.62826271700861969</v>
      </c>
      <c r="J35" s="7">
        <f t="shared" si="121"/>
        <v>0.65041558119340037</v>
      </c>
      <c r="K35" s="7">
        <f t="shared" si="121"/>
        <v>0.57277460947185721</v>
      </c>
      <c r="L35" s="7">
        <f t="shared" si="121"/>
        <v>0.62257100149476829</v>
      </c>
      <c r="M35" s="7">
        <f t="shared" si="121"/>
        <v>0.66386975579211016</v>
      </c>
      <c r="N35" s="7">
        <f t="shared" ref="N35" si="122">N34/N36</f>
        <v>0.55884533500313094</v>
      </c>
      <c r="O35" s="7">
        <f t="shared" ref="O35" si="123">O34/O36</f>
        <v>0.56686383681903563</v>
      </c>
      <c r="P35" s="7">
        <f t="shared" ref="P35" si="124">P34/P36</f>
        <v>0.73477141991233563</v>
      </c>
      <c r="Q35" s="7">
        <f t="shared" ref="Q35" si="125">Q34/Q36</f>
        <v>0.66148736731371305</v>
      </c>
      <c r="R35" s="7">
        <f t="shared" ref="R35" si="126">R34/R36</f>
        <v>0.57210092047589223</v>
      </c>
      <c r="V35" s="7">
        <f t="shared" ref="V35" si="127">V34/V36</f>
        <v>1.1963726141866868</v>
      </c>
      <c r="W35" s="7">
        <f t="shared" ref="W35:X35" si="128">W34/W36</f>
        <v>1.4227189965607931</v>
      </c>
      <c r="X35" s="7">
        <f t="shared" si="128"/>
        <v>1.867053854276663</v>
      </c>
      <c r="Y35" s="7">
        <f t="shared" ref="Y35:Z35" si="129">Y34/Y36</f>
        <v>1.6194975544686527</v>
      </c>
      <c r="Z35" s="7">
        <f t="shared" si="129"/>
        <v>2.1014898622157498</v>
      </c>
      <c r="AA35" s="7">
        <f t="shared" ref="AA35:AB35" si="130">AA34/AA36</f>
        <v>2.6940532991970207</v>
      </c>
      <c r="AB35" s="7">
        <f t="shared" si="130"/>
        <v>2.724077122031507</v>
      </c>
      <c r="AC35" s="7">
        <f t="shared" ref="AC35:AD35" si="131">AC34/AC36</f>
        <v>2.581227863046045</v>
      </c>
      <c r="AD35" s="7">
        <f t="shared" si="131"/>
        <v>2.6432908679604714</v>
      </c>
      <c r="AE35" s="7">
        <f t="shared" ref="AE35:AF35" si="132">AE34/AE36</f>
        <v>2.6900896535013326</v>
      </c>
      <c r="AF35" s="7">
        <f t="shared" si="132"/>
        <v>2.4178368263473056</v>
      </c>
      <c r="AG35" s="7">
        <f t="shared" ref="AG35:AH35" si="133">AG34/AG36</f>
        <v>2.5352235445209752</v>
      </c>
      <c r="AH35" s="7">
        <f t="shared" si="133"/>
        <v>2.8676676757981219</v>
      </c>
      <c r="AI35" s="7">
        <f t="shared" ref="AI35" si="134">AI34/AI36</f>
        <v>3.0557936603686873</v>
      </c>
      <c r="AJ35" s="7">
        <f t="shared" ref="AJ35" si="135">AJ34/AJ36</f>
        <v>3.2518269670087352</v>
      </c>
      <c r="AK35" s="7">
        <f t="shared" ref="AK35" si="136">AK34/AK36</f>
        <v>3.4560473321335046</v>
      </c>
      <c r="AL35" s="7">
        <f t="shared" ref="AL35" si="137">AL34/AL36</f>
        <v>3.6687436275194667</v>
      </c>
      <c r="AM35" s="7">
        <f t="shared" ref="AM35" si="138">AM34/AM36</f>
        <v>3.890214146887474</v>
      </c>
      <c r="AN35" s="7">
        <f t="shared" ref="AN35" si="139">AN34/AN36</f>
        <v>4.1207669012900521</v>
      </c>
      <c r="AO35" s="7">
        <f t="shared" ref="AO35" si="140">AO34/AO36</f>
        <v>4.3607199235703398</v>
      </c>
      <c r="AP35" s="7">
        <f t="shared" ref="AP35" si="141">AP34/AP36</f>
        <v>4.6104015821682598</v>
      </c>
      <c r="AQ35" s="7">
        <f t="shared" ref="AQ35" si="142">AQ34/AQ36</f>
        <v>4.8701509045577813</v>
      </c>
      <c r="AR35" s="7">
        <f t="shared" ref="AR35" si="143">AR34/AR36</f>
        <v>5.1403179106077843</v>
      </c>
      <c r="AS35" s="7">
        <f t="shared" ref="AS35" si="144">AS34/AS36</f>
        <v>5.4212639561678051</v>
      </c>
      <c r="AT35" s="7">
        <f t="shared" ref="AT35" si="145">AT34/AT36</f>
        <v>5.7133620871890569</v>
      </c>
    </row>
    <row r="36" spans="2:149" s="2" customFormat="1" x14ac:dyDescent="0.2">
      <c r="B36" s="2" t="s">
        <v>1</v>
      </c>
      <c r="C36" s="6"/>
      <c r="D36" s="6"/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f t="shared" ref="N36:R36" si="146">+M36</f>
        <v>7985</v>
      </c>
      <c r="O36" s="6">
        <f t="shared" si="146"/>
        <v>7985</v>
      </c>
      <c r="P36" s="6">
        <f t="shared" si="146"/>
        <v>7985</v>
      </c>
      <c r="Q36" s="6">
        <f t="shared" si="146"/>
        <v>7985</v>
      </c>
      <c r="R36" s="6">
        <f t="shared" si="146"/>
        <v>7985</v>
      </c>
      <c r="V36" s="2">
        <v>10531</v>
      </c>
      <c r="W36" s="2">
        <v>9886</v>
      </c>
      <c r="X36" s="2">
        <v>9470</v>
      </c>
      <c r="Y36" s="2">
        <v>8996</v>
      </c>
      <c r="Z36" s="2">
        <v>8927</v>
      </c>
      <c r="AA36" s="2">
        <v>8593</v>
      </c>
      <c r="AB36" s="2">
        <v>8506</v>
      </c>
      <c r="AC36" s="2">
        <v>8470</v>
      </c>
      <c r="AD36" s="2">
        <v>8399</v>
      </c>
      <c r="AE36" s="2">
        <v>8254</v>
      </c>
      <c r="AF36" s="2">
        <f>AVERAGE(K36:N36)</f>
        <v>8016</v>
      </c>
      <c r="AG36" s="2">
        <f>AVERAGE(O36:R36)</f>
        <v>7985</v>
      </c>
      <c r="AH36" s="2">
        <f>+AG36</f>
        <v>7985</v>
      </c>
      <c r="AI36" s="2">
        <f t="shared" ref="AI36:AT36" si="147">+AH36</f>
        <v>7985</v>
      </c>
      <c r="AJ36" s="2">
        <f t="shared" si="147"/>
        <v>7985</v>
      </c>
      <c r="AK36" s="2">
        <f t="shared" si="147"/>
        <v>7985</v>
      </c>
      <c r="AL36" s="2">
        <f t="shared" si="147"/>
        <v>7985</v>
      </c>
      <c r="AM36" s="2">
        <f t="shared" si="147"/>
        <v>7985</v>
      </c>
      <c r="AN36" s="2">
        <f t="shared" si="147"/>
        <v>7985</v>
      </c>
      <c r="AO36" s="2">
        <f t="shared" si="147"/>
        <v>7985</v>
      </c>
      <c r="AP36" s="2">
        <f t="shared" si="147"/>
        <v>7985</v>
      </c>
      <c r="AQ36" s="2">
        <f t="shared" si="147"/>
        <v>7985</v>
      </c>
      <c r="AR36" s="2">
        <f t="shared" si="147"/>
        <v>7985</v>
      </c>
      <c r="AS36" s="2">
        <f t="shared" si="147"/>
        <v>7985</v>
      </c>
      <c r="AT36" s="2">
        <f t="shared" si="147"/>
        <v>7985</v>
      </c>
    </row>
    <row r="37" spans="2:149" x14ac:dyDescent="0.2">
      <c r="AV37" t="s">
        <v>105</v>
      </c>
      <c r="AW37" s="28">
        <v>-0.02</v>
      </c>
    </row>
    <row r="38" spans="2:149" x14ac:dyDescent="0.2">
      <c r="AV38" s="2" t="s">
        <v>102</v>
      </c>
      <c r="AW38" s="28">
        <v>0.02</v>
      </c>
    </row>
    <row r="39" spans="2:149" s="10" customFormat="1" x14ac:dyDescent="0.2">
      <c r="B39" s="8" t="s">
        <v>34</v>
      </c>
      <c r="C39" s="11"/>
      <c r="D39" s="11"/>
      <c r="E39" s="11"/>
      <c r="F39" s="11"/>
      <c r="G39" s="11"/>
      <c r="H39" s="11"/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48">M23/I23-1</f>
        <v>1.5969441759860148E-2</v>
      </c>
      <c r="N39" s="14">
        <f t="shared" si="148"/>
        <v>-1.036970243462576E-2</v>
      </c>
      <c r="O39" s="14">
        <f t="shared" si="148"/>
        <v>1.0000000000000009E-2</v>
      </c>
      <c r="P39" s="14">
        <f t="shared" si="148"/>
        <v>1.0000000000000009E-2</v>
      </c>
      <c r="Q39" s="14">
        <f t="shared" si="148"/>
        <v>1.0000000000000009E-2</v>
      </c>
      <c r="R39" s="14">
        <f t="shared" si="148"/>
        <v>1.0000000000000009E-2</v>
      </c>
      <c r="U39" s="26">
        <f t="shared" ref="U39:AG39" si="149">U23/T23-1</f>
        <v>8.0168318175648068E-2</v>
      </c>
      <c r="V39" s="26">
        <f t="shared" si="149"/>
        <v>0.11294862772695291</v>
      </c>
      <c r="W39" s="26">
        <f t="shared" si="149"/>
        <v>0.15446456799602548</v>
      </c>
      <c r="X39" s="26">
        <f t="shared" si="149"/>
        <v>0.18187864324556946</v>
      </c>
      <c r="Y39" s="26">
        <f t="shared" si="149"/>
        <v>-3.2820258192651441E-2</v>
      </c>
      <c r="Z39" s="26">
        <f t="shared" si="149"/>
        <v>6.9254068484008391E-2</v>
      </c>
      <c r="AA39" s="26">
        <f t="shared" si="149"/>
        <v>0.11937455988733126</v>
      </c>
      <c r="AB39" s="26">
        <f t="shared" si="149"/>
        <v>5.4044007263057026E-2</v>
      </c>
      <c r="AC39" s="26">
        <f t="shared" si="149"/>
        <v>5.5966252051598442E-2</v>
      </c>
      <c r="AD39" s="26">
        <f t="shared" si="149"/>
        <v>0.11540289534868786</v>
      </c>
      <c r="AE39" s="26">
        <f t="shared" si="149"/>
        <v>7.7700874091647165E-2</v>
      </c>
      <c r="AF39" s="26">
        <f t="shared" si="149"/>
        <v>-5.7480230818551026E-2</v>
      </c>
      <c r="AG39" s="26">
        <f>AG23/AF23-1</f>
        <v>1.0000000000000009E-2</v>
      </c>
      <c r="AH39" s="26">
        <f t="shared" ref="AH39:AT39" si="150">AH23/AG23-1</f>
        <v>3.0000000000000027E-2</v>
      </c>
      <c r="AI39" s="26">
        <f t="shared" si="150"/>
        <v>3.0000000000000027E-2</v>
      </c>
      <c r="AJ39" s="26">
        <f t="shared" si="150"/>
        <v>3.0000000000000027E-2</v>
      </c>
      <c r="AK39" s="26">
        <f t="shared" si="150"/>
        <v>3.0000000000000027E-2</v>
      </c>
      <c r="AL39" s="26">
        <f t="shared" si="150"/>
        <v>3.0000000000000027E-2</v>
      </c>
      <c r="AM39" s="26">
        <f t="shared" si="150"/>
        <v>3.0000000000000027E-2</v>
      </c>
      <c r="AN39" s="26">
        <f t="shared" si="150"/>
        <v>3.0000000000000027E-2</v>
      </c>
      <c r="AO39" s="26">
        <f t="shared" si="150"/>
        <v>3.0000000000000027E-2</v>
      </c>
      <c r="AP39" s="26">
        <f t="shared" si="150"/>
        <v>3.0000000000000027E-2</v>
      </c>
      <c r="AQ39" s="26">
        <f t="shared" si="150"/>
        <v>3.0000000000000027E-2</v>
      </c>
      <c r="AR39" s="26">
        <f t="shared" si="150"/>
        <v>3.0000000000000027E-2</v>
      </c>
      <c r="AS39" s="26">
        <f t="shared" si="150"/>
        <v>3.0000000000000027E-2</v>
      </c>
      <c r="AT39" s="26">
        <f t="shared" si="150"/>
        <v>3.0000000000000027E-2</v>
      </c>
      <c r="AV39" t="s">
        <v>103</v>
      </c>
      <c r="AW39" s="28">
        <v>0.05</v>
      </c>
    </row>
    <row r="40" spans="2:149" s="10" customFormat="1" x14ac:dyDescent="0.2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AV40" t="s">
        <v>104</v>
      </c>
      <c r="AW40" s="2">
        <f>NPV(AW39,AH34:ES34)+AG34</f>
        <v>660741.79186119686</v>
      </c>
    </row>
    <row r="41" spans="2:149" x14ac:dyDescent="0.2">
      <c r="AV41" t="s">
        <v>3</v>
      </c>
      <c r="AW41" s="2">
        <f>Main!K5-Main!K6</f>
        <v>70473</v>
      </c>
    </row>
    <row r="42" spans="2:149" x14ac:dyDescent="0.2">
      <c r="B42" t="s">
        <v>19</v>
      </c>
      <c r="E42" s="5">
        <f t="shared" ref="E42:L42" si="151">E25/E23</f>
        <v>0.70700387197961079</v>
      </c>
      <c r="F42" s="5">
        <f t="shared" si="151"/>
        <v>0.67355230519202802</v>
      </c>
      <c r="G42" s="5">
        <f t="shared" si="151"/>
        <v>0.64342054221800782</v>
      </c>
      <c r="H42" s="5">
        <f t="shared" si="151"/>
        <v>0.61707593502077829</v>
      </c>
      <c r="I42" s="5">
        <f t="shared" si="151"/>
        <v>0.67044042523816094</v>
      </c>
      <c r="J42" s="5">
        <f t="shared" si="151"/>
        <v>0.66330027051397655</v>
      </c>
      <c r="K42" s="5">
        <f t="shared" si="151"/>
        <v>0.6463516364885421</v>
      </c>
      <c r="L42" s="5">
        <f t="shared" si="151"/>
        <v>0.58514035972432343</v>
      </c>
      <c r="M42" s="5">
        <f t="shared" ref="M42:R42" si="152">M25/M23</f>
        <v>0.6502083710817177</v>
      </c>
      <c r="N42" s="5">
        <f t="shared" si="152"/>
        <v>0.64</v>
      </c>
      <c r="O42" s="5">
        <f t="shared" si="152"/>
        <v>0.63</v>
      </c>
      <c r="P42" s="5">
        <f t="shared" si="152"/>
        <v>0.63</v>
      </c>
      <c r="Q42" s="5">
        <f t="shared" si="152"/>
        <v>0.63</v>
      </c>
      <c r="R42" s="5">
        <f t="shared" si="152"/>
        <v>0.63</v>
      </c>
      <c r="V42" s="5">
        <f t="shared" ref="V42" si="153">V25/V23</f>
        <v>0.82724357526760306</v>
      </c>
      <c r="W42" s="5">
        <f t="shared" ref="W42:X42" si="154">W25/W23</f>
        <v>0.79083369195258402</v>
      </c>
      <c r="X42" s="5">
        <f t="shared" si="154"/>
        <v>0.80804369414101296</v>
      </c>
      <c r="Y42" s="5">
        <f t="shared" ref="Y42:Z42" si="155">Y25/Y23</f>
        <v>0.79199822030562828</v>
      </c>
      <c r="Z42" s="5">
        <f t="shared" si="155"/>
        <v>0.80162921707957235</v>
      </c>
      <c r="AA42" s="5">
        <f t="shared" ref="AA42:AB42" si="156">AA25/AA23</f>
        <v>0.77729007906438097</v>
      </c>
      <c r="AB42" s="5">
        <f t="shared" ref="AB42:AC42" si="157">AB25/AB23</f>
        <v>0.76221803236439101</v>
      </c>
      <c r="AC42" s="5">
        <f t="shared" ref="AC42:AF42" si="158">AC25/AC23</f>
        <v>0.73814692545825888</v>
      </c>
      <c r="AD42" s="5">
        <f t="shared" si="158"/>
        <v>0.68816003132449644</v>
      </c>
      <c r="AE42" s="5">
        <f t="shared" si="158"/>
        <v>0.64695447745244705</v>
      </c>
      <c r="AF42" s="5">
        <f t="shared" ref="AF42:AT42" si="159">AF25/AF23</f>
        <v>0.6292218909082663</v>
      </c>
      <c r="AG42" s="5">
        <f t="shared" si="159"/>
        <v>0.62999999999999989</v>
      </c>
      <c r="AH42" s="5">
        <f t="shared" si="159"/>
        <v>0.63</v>
      </c>
      <c r="AI42" s="5">
        <f t="shared" si="159"/>
        <v>0.63</v>
      </c>
      <c r="AJ42" s="5">
        <f t="shared" si="159"/>
        <v>0.63</v>
      </c>
      <c r="AK42" s="5">
        <f t="shared" si="159"/>
        <v>0.63</v>
      </c>
      <c r="AL42" s="5">
        <f t="shared" si="159"/>
        <v>0.63</v>
      </c>
      <c r="AM42" s="5">
        <f t="shared" si="159"/>
        <v>0.63</v>
      </c>
      <c r="AN42" s="5">
        <f t="shared" si="159"/>
        <v>0.63</v>
      </c>
      <c r="AO42" s="5">
        <f t="shared" si="159"/>
        <v>0.63</v>
      </c>
      <c r="AP42" s="5">
        <f t="shared" si="159"/>
        <v>0.63</v>
      </c>
      <c r="AQ42" s="5">
        <f t="shared" si="159"/>
        <v>0.63000000000000012</v>
      </c>
      <c r="AR42" s="5">
        <f t="shared" si="159"/>
        <v>0.63</v>
      </c>
      <c r="AS42" s="5">
        <f t="shared" si="159"/>
        <v>0.63</v>
      </c>
      <c r="AT42" s="5">
        <f t="shared" si="159"/>
        <v>0.63</v>
      </c>
      <c r="AV42" t="s">
        <v>106</v>
      </c>
      <c r="AW42" s="2">
        <f>AW40+AW41</f>
        <v>731214.79186119686</v>
      </c>
    </row>
    <row r="43" spans="2:149" x14ac:dyDescent="0.2">
      <c r="B43" t="s">
        <v>27</v>
      </c>
      <c r="E43" s="5">
        <f t="shared" ref="E43:L43" si="160">E30/E23</f>
        <v>0.34181247855707492</v>
      </c>
      <c r="F43" s="5">
        <f t="shared" si="160"/>
        <v>0.28265332306902746</v>
      </c>
      <c r="G43" s="5">
        <f t="shared" si="160"/>
        <v>0.30102150769363389</v>
      </c>
      <c r="H43" s="5">
        <f t="shared" si="160"/>
        <v>0.30294673214960333</v>
      </c>
      <c r="I43" s="5">
        <f t="shared" si="160"/>
        <v>0.31220948962216394</v>
      </c>
      <c r="J43" s="5">
        <f t="shared" si="160"/>
        <v>0.28787195671776378</v>
      </c>
      <c r="K43" s="5">
        <f t="shared" si="160"/>
        <v>0.28426321213013395</v>
      </c>
      <c r="L43" s="5">
        <f t="shared" si="160"/>
        <v>0.253235837955959</v>
      </c>
      <c r="M43" s="5">
        <f t="shared" ref="M43:R43" si="161">M30/M23</f>
        <v>0.30929516216705927</v>
      </c>
      <c r="N43" s="5">
        <f t="shared" si="161"/>
        <v>0.26063781321184509</v>
      </c>
      <c r="O43" s="5">
        <f t="shared" si="161"/>
        <v>0.27149660954613053</v>
      </c>
      <c r="P43" s="5">
        <f t="shared" si="161"/>
        <v>0.3013816616154808</v>
      </c>
      <c r="Q43" s="5">
        <f t="shared" si="161"/>
        <v>0.29246216939142722</v>
      </c>
      <c r="R43" s="5">
        <f t="shared" si="161"/>
        <v>0.25439387446717338</v>
      </c>
      <c r="V43" s="27">
        <f t="shared" ref="V43" si="162">V30/V23</f>
        <v>0.37197958538458065</v>
      </c>
      <c r="W43" s="27">
        <f t="shared" ref="W43:X43" si="163">W30/W23</f>
        <v>0.3606666405852666</v>
      </c>
      <c r="X43" s="27">
        <f t="shared" si="163"/>
        <v>0.36860311155246606</v>
      </c>
      <c r="Y43" s="27">
        <f t="shared" ref="Y43:Z43" si="164">Y30/Y23</f>
        <v>0.348460735492924</v>
      </c>
      <c r="Z43" s="27">
        <f t="shared" si="164"/>
        <v>0.38566673068305485</v>
      </c>
      <c r="AA43" s="27">
        <f t="shared" ref="AA43:AB43" si="165">AA30/AA23</f>
        <v>0.38833049769097694</v>
      </c>
      <c r="AB43" s="27">
        <f t="shared" ref="AB43:AC43" si="166">AB30/AB23</f>
        <v>0.37920323372624554</v>
      </c>
      <c r="AC43" s="27">
        <f t="shared" ref="AC43:AF43" si="167">AC30/AC23</f>
        <v>0.34379375457616668</v>
      </c>
      <c r="AD43" s="27">
        <f t="shared" si="167"/>
        <v>0.32114518673776099</v>
      </c>
      <c r="AE43" s="27">
        <f t="shared" si="167"/>
        <v>0.30104723231459712</v>
      </c>
      <c r="AF43" s="27">
        <f>AF30/AF23</f>
        <v>0.27627804673416401</v>
      </c>
      <c r="AG43" s="27">
        <f>AG30/AG23</f>
        <v>0.28055064933257184</v>
      </c>
      <c r="AV43" t="s">
        <v>104</v>
      </c>
      <c r="AW43" s="1">
        <f>AW42/Main!K3</f>
        <v>92.911663514764527</v>
      </c>
    </row>
    <row r="44" spans="2:149" x14ac:dyDescent="0.2">
      <c r="B44" t="s">
        <v>33</v>
      </c>
      <c r="E44" s="5">
        <f t="shared" ref="E44:L44" si="168">E33/E32</f>
        <v>0.18643093287336496</v>
      </c>
      <c r="F44" s="5">
        <f t="shared" si="168"/>
        <v>0.29310859188544153</v>
      </c>
      <c r="G44" s="5">
        <f t="shared" si="168"/>
        <v>0.19272313814667424</v>
      </c>
      <c r="H44" s="5">
        <f t="shared" si="168"/>
        <v>0.24552082046212775</v>
      </c>
      <c r="I44" s="5">
        <f t="shared" si="168"/>
        <v>0.22841807067243178</v>
      </c>
      <c r="J44" s="5">
        <f t="shared" si="168"/>
        <v>0.21535468422627957</v>
      </c>
      <c r="K44" s="5">
        <f t="shared" si="168"/>
        <v>0.16198077271902775</v>
      </c>
      <c r="L44" s="5">
        <f t="shared" si="168"/>
        <v>0.14637062339880444</v>
      </c>
      <c r="M44" s="5">
        <f t="shared" ref="M44:R44" si="169">M33/M32</f>
        <v>0.19449931621334143</v>
      </c>
      <c r="N44" s="5">
        <f t="shared" si="169"/>
        <v>0.22000000000000003</v>
      </c>
      <c r="O44" s="5">
        <f t="shared" si="169"/>
        <v>0.19</v>
      </c>
      <c r="P44" s="5">
        <f t="shared" si="169"/>
        <v>0.19</v>
      </c>
      <c r="Q44" s="5">
        <f t="shared" si="169"/>
        <v>0.19</v>
      </c>
      <c r="R44" s="5">
        <f t="shared" si="169"/>
        <v>0.19</v>
      </c>
      <c r="AV44" t="s">
        <v>107</v>
      </c>
      <c r="AW44" s="27">
        <f>AW43/Main!K2-1</f>
        <v>0.8207263083434162</v>
      </c>
    </row>
    <row r="47" spans="2:149" x14ac:dyDescent="0.2">
      <c r="B47" t="s">
        <v>35</v>
      </c>
      <c r="I47" s="9">
        <f>I48-I59</f>
        <v>75589</v>
      </c>
      <c r="J47" s="9">
        <f>J48-J59</f>
        <v>73287</v>
      </c>
      <c r="K47" s="9">
        <f>K48-K59</f>
        <v>72226</v>
      </c>
      <c r="L47" s="9">
        <f>L48-L59</f>
        <v>69725</v>
      </c>
      <c r="M47" s="9">
        <f>M48-M59</f>
        <v>70473</v>
      </c>
      <c r="N47" s="9">
        <f t="shared" ref="N47:R47" si="170">+M47+N34</f>
        <v>74935.38</v>
      </c>
      <c r="O47" s="9">
        <f t="shared" si="170"/>
        <v>79461.787737000006</v>
      </c>
      <c r="P47" s="9">
        <f t="shared" si="170"/>
        <v>85328.937525000001</v>
      </c>
      <c r="Q47" s="9">
        <f t="shared" si="170"/>
        <v>90610.914153000005</v>
      </c>
      <c r="R47" s="9">
        <f t="shared" si="170"/>
        <v>95179.140003000008</v>
      </c>
      <c r="AE47" s="2">
        <f>+AE48-AE59</f>
        <v>73287</v>
      </c>
      <c r="AF47" s="2">
        <f>+AE47+AF34</f>
        <v>92668.38</v>
      </c>
      <c r="AG47" s="2">
        <f>+AF47+AG34</f>
        <v>112912.14000299999</v>
      </c>
      <c r="AH47" s="2">
        <f>+AG47+AH34</f>
        <v>135810.46639424801</v>
      </c>
      <c r="AI47" s="2">
        <f>+AH47+AI34</f>
        <v>160210.97877229197</v>
      </c>
      <c r="AJ47" s="2">
        <f t="shared" ref="AJ47:AT47" si="171">+AI47+AJ34</f>
        <v>186176.81710385671</v>
      </c>
      <c r="AK47" s="2">
        <f t="shared" si="171"/>
        <v>213773.35505094274</v>
      </c>
      <c r="AL47" s="2">
        <f t="shared" si="171"/>
        <v>243068.27291668567</v>
      </c>
      <c r="AM47" s="2">
        <f t="shared" si="171"/>
        <v>274131.63287958218</v>
      </c>
      <c r="AN47" s="2">
        <f t="shared" si="171"/>
        <v>307035.95658638322</v>
      </c>
      <c r="AO47" s="2">
        <f t="shared" si="171"/>
        <v>341856.30517609237</v>
      </c>
      <c r="AP47" s="2">
        <f t="shared" si="171"/>
        <v>378670.36180970591</v>
      </c>
      <c r="AQ47" s="2">
        <f t="shared" si="171"/>
        <v>417558.51678259979</v>
      </c>
      <c r="AR47" s="2">
        <f t="shared" si="171"/>
        <v>458603.95529880293</v>
      </c>
      <c r="AS47" s="2">
        <f t="shared" si="171"/>
        <v>501892.74798880285</v>
      </c>
      <c r="AT47" s="2">
        <f t="shared" si="171"/>
        <v>547513.94425500743</v>
      </c>
    </row>
    <row r="48" spans="2:149" s="2" customFormat="1" x14ac:dyDescent="0.2">
      <c r="B48" s="2" t="s">
        <v>3</v>
      </c>
      <c r="C48" s="6"/>
      <c r="D48" s="6"/>
      <c r="E48" s="6"/>
      <c r="F48" s="6"/>
      <c r="G48" s="6"/>
      <c r="H48" s="6"/>
      <c r="I48" s="6">
        <f>7414+88024+12019</f>
        <v>107457</v>
      </c>
      <c r="J48" s="6">
        <f>96526+12053</f>
        <v>108579</v>
      </c>
      <c r="K48" s="6">
        <f>5431+93924+11438</f>
        <v>110793</v>
      </c>
      <c r="L48" s="6">
        <f>102640+11514</f>
        <v>114154</v>
      </c>
      <c r="M48" s="6">
        <f>7170+98382+11315</f>
        <v>116867</v>
      </c>
      <c r="N48" s="6"/>
      <c r="AE48" s="2">
        <f>5595+90931+12053</f>
        <v>108579</v>
      </c>
    </row>
    <row r="49" spans="2:31" s="2" customFormat="1" x14ac:dyDescent="0.2">
      <c r="B49" s="2" t="s">
        <v>36</v>
      </c>
      <c r="C49" s="6"/>
      <c r="D49" s="6"/>
      <c r="E49" s="6"/>
      <c r="F49" s="6"/>
      <c r="G49" s="6"/>
      <c r="H49" s="6"/>
      <c r="I49" s="6">
        <v>12427</v>
      </c>
      <c r="J49" s="6">
        <v>17908</v>
      </c>
      <c r="K49" s="6">
        <v>11444</v>
      </c>
      <c r="L49" s="6">
        <v>14507</v>
      </c>
      <c r="M49" s="6">
        <v>12247</v>
      </c>
      <c r="N49" s="6"/>
      <c r="AE49" s="2">
        <v>17908</v>
      </c>
    </row>
    <row r="50" spans="2:31" s="2" customFormat="1" x14ac:dyDescent="0.2">
      <c r="B50" s="2" t="s">
        <v>37</v>
      </c>
      <c r="C50" s="6"/>
      <c r="D50" s="6"/>
      <c r="E50" s="6"/>
      <c r="F50" s="6"/>
      <c r="G50" s="6"/>
      <c r="H50" s="6"/>
      <c r="I50" s="6">
        <v>2469</v>
      </c>
      <c r="J50" s="6">
        <v>2902</v>
      </c>
      <c r="K50" s="6">
        <v>3816</v>
      </c>
      <c r="L50" s="6">
        <v>2702</v>
      </c>
      <c r="M50" s="6">
        <v>2450</v>
      </c>
      <c r="N50" s="6"/>
      <c r="AE50" s="2">
        <v>2902</v>
      </c>
    </row>
    <row r="51" spans="2:31" s="2" customFormat="1" x14ac:dyDescent="0.2">
      <c r="B51" s="2" t="s">
        <v>38</v>
      </c>
      <c r="C51" s="6"/>
      <c r="D51" s="6"/>
      <c r="E51" s="6"/>
      <c r="F51" s="6"/>
      <c r="G51" s="6"/>
      <c r="H51" s="6"/>
      <c r="I51" s="6">
        <v>1688</v>
      </c>
      <c r="J51" s="6">
        <v>1915</v>
      </c>
      <c r="K51" s="6">
        <v>1447</v>
      </c>
      <c r="L51" s="6">
        <v>1618</v>
      </c>
      <c r="M51" s="6">
        <v>1574</v>
      </c>
      <c r="N51" s="6"/>
      <c r="AE51" s="2">
        <v>1915</v>
      </c>
    </row>
    <row r="52" spans="2:31" s="2" customFormat="1" x14ac:dyDescent="0.2">
      <c r="B52" s="2" t="s">
        <v>39</v>
      </c>
      <c r="C52" s="6"/>
      <c r="D52" s="6"/>
      <c r="E52" s="6"/>
      <c r="F52" s="6"/>
      <c r="G52" s="6"/>
      <c r="H52" s="6"/>
      <c r="I52" s="6">
        <v>6376</v>
      </c>
      <c r="J52" s="6">
        <v>5461</v>
      </c>
      <c r="K52" s="6">
        <v>5594</v>
      </c>
      <c r="L52" s="6">
        <v>6345</v>
      </c>
      <c r="M52" s="6">
        <v>6598</v>
      </c>
      <c r="N52" s="6"/>
      <c r="AE52" s="2">
        <v>5461</v>
      </c>
    </row>
    <row r="53" spans="2:31" s="2" customFormat="1" x14ac:dyDescent="0.2">
      <c r="B53" s="12" t="s">
        <v>40</v>
      </c>
      <c r="C53" s="13"/>
      <c r="D53" s="13"/>
      <c r="E53" s="13"/>
      <c r="F53" s="13"/>
      <c r="G53" s="13"/>
      <c r="H53" s="13"/>
      <c r="I53" s="13">
        <v>14375</v>
      </c>
      <c r="J53" s="13">
        <v>14731</v>
      </c>
      <c r="K53" s="13">
        <v>15046</v>
      </c>
      <c r="L53" s="13">
        <v>15789</v>
      </c>
      <c r="M53" s="6">
        <v>16831</v>
      </c>
      <c r="N53" s="6"/>
      <c r="AE53" s="2">
        <v>14731</v>
      </c>
    </row>
    <row r="54" spans="2:31" s="2" customFormat="1" x14ac:dyDescent="0.2">
      <c r="B54" s="12" t="s">
        <v>41</v>
      </c>
      <c r="C54" s="6"/>
      <c r="D54" s="6"/>
      <c r="E54" s="6"/>
      <c r="F54" s="6"/>
      <c r="G54" s="6"/>
      <c r="H54" s="6"/>
      <c r="I54" s="6">
        <f>21728+6963</f>
        <v>28691</v>
      </c>
      <c r="J54" s="6">
        <f>16939+4835</f>
        <v>21774</v>
      </c>
      <c r="K54" s="6">
        <f>17142+4745</f>
        <v>21887</v>
      </c>
      <c r="L54" s="6">
        <f>17436+4619</f>
        <v>22055</v>
      </c>
      <c r="M54" s="6">
        <f>17948+4459</f>
        <v>22407</v>
      </c>
      <c r="N54" s="6"/>
      <c r="AE54" s="2">
        <f>16939+4835</f>
        <v>21774</v>
      </c>
    </row>
    <row r="55" spans="2:31" s="2" customFormat="1" x14ac:dyDescent="0.2">
      <c r="B55" s="12" t="s">
        <v>42</v>
      </c>
      <c r="C55" s="6"/>
      <c r="D55" s="6"/>
      <c r="E55" s="6"/>
      <c r="F55" s="6"/>
      <c r="G55" s="6"/>
      <c r="H55" s="6"/>
      <c r="I55" s="6">
        <v>3200</v>
      </c>
      <c r="J55" s="6">
        <v>2953</v>
      </c>
      <c r="K55" s="6">
        <v>2869</v>
      </c>
      <c r="L55" s="6">
        <v>2928</v>
      </c>
      <c r="M55" s="6">
        <v>2895</v>
      </c>
      <c r="N55" s="6"/>
      <c r="AE55" s="2">
        <v>2953</v>
      </c>
    </row>
    <row r="56" spans="2:31" x14ac:dyDescent="0.2">
      <c r="B56" s="12" t="s">
        <v>61</v>
      </c>
      <c r="I56" s="6">
        <f>SUM(I48:I55)</f>
        <v>176683</v>
      </c>
      <c r="J56" s="6">
        <f>SUM(J48:J55)</f>
        <v>176223</v>
      </c>
      <c r="K56" s="6">
        <f>SUM(K48:K55)</f>
        <v>172896</v>
      </c>
      <c r="L56" s="6">
        <f>SUM(L48:L55)</f>
        <v>180098</v>
      </c>
      <c r="M56" s="6">
        <f>SUM(M48:M55)</f>
        <v>181869</v>
      </c>
      <c r="AE56" s="6">
        <f>SUM(AE48:AE55)</f>
        <v>176223</v>
      </c>
    </row>
    <row r="58" spans="2:31" s="2" customFormat="1" x14ac:dyDescent="0.2">
      <c r="B58" s="2" t="s">
        <v>49</v>
      </c>
      <c r="C58" s="6"/>
      <c r="D58" s="6"/>
      <c r="E58" s="6"/>
      <c r="F58" s="6"/>
      <c r="G58" s="6"/>
      <c r="H58" s="6"/>
      <c r="I58" s="6">
        <v>6690</v>
      </c>
      <c r="J58" s="6">
        <v>6591</v>
      </c>
      <c r="K58" s="6">
        <v>6630</v>
      </c>
      <c r="L58" s="6">
        <v>6936</v>
      </c>
      <c r="M58" s="6">
        <v>6759</v>
      </c>
      <c r="N58" s="6"/>
      <c r="AE58" s="2">
        <v>6591</v>
      </c>
    </row>
    <row r="59" spans="2:31" s="2" customFormat="1" x14ac:dyDescent="0.2">
      <c r="B59" s="2" t="s">
        <v>4</v>
      </c>
      <c r="C59" s="6"/>
      <c r="D59" s="6"/>
      <c r="E59" s="6"/>
      <c r="F59" s="6"/>
      <c r="G59" s="6"/>
      <c r="H59" s="6"/>
      <c r="I59" s="6">
        <f>1725+2499+27644</f>
        <v>31868</v>
      </c>
      <c r="J59" s="6">
        <f>4985+27808+2499</f>
        <v>35292</v>
      </c>
      <c r="K59" s="6">
        <f>9998+27819+750</f>
        <v>38567</v>
      </c>
      <c r="L59" s="6">
        <f>3750+40679</f>
        <v>44429</v>
      </c>
      <c r="M59" s="6">
        <f>40896+5498</f>
        <v>46394</v>
      </c>
      <c r="N59" s="6"/>
      <c r="AE59" s="2">
        <f>4985+2499+27808</f>
        <v>35292</v>
      </c>
    </row>
    <row r="60" spans="2:31" s="2" customFormat="1" x14ac:dyDescent="0.2">
      <c r="B60" s="2" t="s">
        <v>48</v>
      </c>
      <c r="C60" s="6"/>
      <c r="D60" s="6"/>
      <c r="E60" s="6"/>
      <c r="F60" s="6"/>
      <c r="G60" s="6"/>
      <c r="H60" s="6"/>
      <c r="I60" s="6">
        <v>3902</v>
      </c>
      <c r="J60" s="6">
        <v>5096</v>
      </c>
      <c r="K60" s="6">
        <v>3450</v>
      </c>
      <c r="L60" s="6">
        <v>3649</v>
      </c>
      <c r="M60" s="6">
        <v>4276</v>
      </c>
      <c r="N60" s="6"/>
      <c r="AE60" s="2">
        <v>5096</v>
      </c>
    </row>
    <row r="61" spans="2:31" s="2" customFormat="1" x14ac:dyDescent="0.2">
      <c r="B61" s="2" t="s">
        <v>30</v>
      </c>
      <c r="C61" s="6"/>
      <c r="D61" s="6"/>
      <c r="E61" s="6"/>
      <c r="F61" s="6"/>
      <c r="G61" s="6"/>
      <c r="H61" s="6"/>
      <c r="I61" s="6">
        <v>758</v>
      </c>
      <c r="J61" s="6">
        <v>606</v>
      </c>
      <c r="K61" s="6">
        <v>607</v>
      </c>
      <c r="L61" s="6">
        <v>493</v>
      </c>
      <c r="M61" s="6">
        <v>685</v>
      </c>
      <c r="N61" s="6"/>
      <c r="AE61" s="2">
        <v>606</v>
      </c>
    </row>
    <row r="62" spans="2:31" s="2" customFormat="1" x14ac:dyDescent="0.2">
      <c r="B62" s="2" t="s">
        <v>47</v>
      </c>
      <c r="C62" s="6"/>
      <c r="D62" s="6"/>
      <c r="E62" s="6"/>
      <c r="F62" s="6"/>
      <c r="G62" s="6"/>
      <c r="H62" s="6"/>
      <c r="I62" s="6">
        <f>18232+1966</f>
        <v>20198</v>
      </c>
      <c r="J62" s="6">
        <f>23223+2095</f>
        <v>25318</v>
      </c>
      <c r="K62" s="6">
        <f>21603+2784</f>
        <v>24387</v>
      </c>
      <c r="L62" s="6">
        <f>20929+4102</f>
        <v>25031</v>
      </c>
      <c r="M62" s="6">
        <f>20876+5017</f>
        <v>25893</v>
      </c>
      <c r="N62" s="6"/>
      <c r="AE62" s="2">
        <f>23223+2095</f>
        <v>25318</v>
      </c>
    </row>
    <row r="63" spans="2:31" s="2" customFormat="1" x14ac:dyDescent="0.2">
      <c r="B63" s="2" t="s">
        <v>46</v>
      </c>
      <c r="C63" s="6"/>
      <c r="D63" s="6"/>
      <c r="E63" s="6"/>
      <c r="F63" s="6"/>
      <c r="G63" s="6"/>
      <c r="H63" s="6"/>
      <c r="I63" s="6">
        <v>96</v>
      </c>
      <c r="J63" s="6">
        <v>92</v>
      </c>
      <c r="K63" s="6">
        <v>154</v>
      </c>
      <c r="L63" s="6">
        <v>439</v>
      </c>
      <c r="M63" s="6">
        <v>373</v>
      </c>
      <c r="N63" s="6"/>
      <c r="AE63" s="2">
        <v>92</v>
      </c>
    </row>
    <row r="64" spans="2:31" s="2" customFormat="1" x14ac:dyDescent="0.2">
      <c r="B64" s="2" t="s">
        <v>45</v>
      </c>
      <c r="C64" s="6"/>
      <c r="D64" s="6"/>
      <c r="E64" s="6"/>
      <c r="F64" s="6"/>
      <c r="G64" s="6"/>
      <c r="H64" s="6"/>
      <c r="I64" s="6">
        <v>6846</v>
      </c>
      <c r="J64" s="6">
        <v>6766</v>
      </c>
      <c r="K64" s="6">
        <v>6207</v>
      </c>
      <c r="L64" s="6">
        <v>6447</v>
      </c>
      <c r="M64" s="6">
        <v>5887</v>
      </c>
      <c r="N64" s="6"/>
      <c r="AE64" s="2">
        <v>6766</v>
      </c>
    </row>
    <row r="65" spans="2:31" s="2" customFormat="1" x14ac:dyDescent="0.2">
      <c r="B65" s="2" t="s">
        <v>38</v>
      </c>
      <c r="C65" s="6"/>
      <c r="D65" s="6"/>
      <c r="E65" s="6"/>
      <c r="F65" s="6"/>
      <c r="G65" s="6"/>
      <c r="H65" s="6"/>
      <c r="I65" s="6">
        <v>2919</v>
      </c>
      <c r="J65" s="6">
        <v>2835</v>
      </c>
      <c r="K65" s="6">
        <v>2169</v>
      </c>
      <c r="L65" s="6">
        <v>2194</v>
      </c>
      <c r="M65" s="6">
        <v>2674</v>
      </c>
      <c r="N65" s="6"/>
      <c r="AE65" s="2">
        <v>2835</v>
      </c>
    </row>
    <row r="66" spans="2:31" s="2" customFormat="1" x14ac:dyDescent="0.2">
      <c r="B66" s="2" t="s">
        <v>44</v>
      </c>
      <c r="C66" s="6"/>
      <c r="D66" s="6"/>
      <c r="E66" s="6"/>
      <c r="F66" s="6"/>
      <c r="G66" s="6"/>
      <c r="H66" s="6"/>
      <c r="I66" s="6">
        <v>13274</v>
      </c>
      <c r="J66" s="6">
        <v>13544</v>
      </c>
      <c r="K66" s="6">
        <v>13280</v>
      </c>
      <c r="L66" s="6">
        <v>13700</v>
      </c>
      <c r="M66" s="6">
        <v>14122</v>
      </c>
      <c r="N66" s="6"/>
      <c r="AE66" s="2">
        <v>13544</v>
      </c>
    </row>
    <row r="67" spans="2:31" s="2" customFormat="1" x14ac:dyDescent="0.2">
      <c r="B67" s="2" t="s">
        <v>50</v>
      </c>
      <c r="C67" s="6"/>
      <c r="D67" s="6"/>
      <c r="E67" s="6"/>
      <c r="F67" s="6"/>
      <c r="G67" s="6"/>
      <c r="H67" s="6"/>
      <c r="I67" s="6">
        <v>90132</v>
      </c>
      <c r="J67" s="6">
        <v>80083</v>
      </c>
      <c r="K67" s="6">
        <v>77445</v>
      </c>
      <c r="L67" s="6">
        <v>76780</v>
      </c>
      <c r="M67" s="6">
        <v>74806</v>
      </c>
      <c r="N67" s="6"/>
      <c r="AE67" s="2">
        <v>80083</v>
      </c>
    </row>
    <row r="68" spans="2:31" s="2" customFormat="1" x14ac:dyDescent="0.2">
      <c r="B68" s="2" t="s">
        <v>43</v>
      </c>
      <c r="C68" s="6"/>
      <c r="D68" s="6"/>
      <c r="E68" s="6"/>
      <c r="F68" s="6"/>
      <c r="G68" s="6"/>
      <c r="H68" s="6"/>
      <c r="I68" s="6">
        <f>SUM(I58:I67)</f>
        <v>176683</v>
      </c>
      <c r="J68" s="6">
        <f>SUM(J58:J67)</f>
        <v>176223</v>
      </c>
      <c r="K68" s="6">
        <f>SUM(K58:K67)</f>
        <v>172896</v>
      </c>
      <c r="L68" s="6">
        <f>SUM(L58:L67)</f>
        <v>180098</v>
      </c>
      <c r="M68" s="6">
        <f>SUM(M58:M67)</f>
        <v>181869</v>
      </c>
      <c r="N68" s="6"/>
      <c r="AE68" s="2">
        <f>SUM(AE58:AE67)</f>
        <v>176223</v>
      </c>
    </row>
    <row r="70" spans="2:31" s="2" customFormat="1" x14ac:dyDescent="0.2">
      <c r="B70" s="8" t="s">
        <v>51</v>
      </c>
      <c r="C70" s="9"/>
      <c r="D70" s="9"/>
      <c r="E70" s="9"/>
      <c r="F70" s="9"/>
      <c r="G70" s="9"/>
      <c r="H70" s="9"/>
      <c r="I70" s="9">
        <f>I34</f>
        <v>5175</v>
      </c>
      <c r="J70" s="9">
        <f>J34</f>
        <v>5243</v>
      </c>
      <c r="K70" s="9">
        <f>K34</f>
        <v>4620</v>
      </c>
      <c r="L70" s="9">
        <f>L34</f>
        <v>4998</v>
      </c>
      <c r="M70" s="6"/>
      <c r="N70" s="6"/>
    </row>
    <row r="71" spans="2:31" s="2" customFormat="1" x14ac:dyDescent="0.2">
      <c r="B71" s="2" t="s">
        <v>52</v>
      </c>
      <c r="C71" s="6"/>
      <c r="D71" s="6"/>
      <c r="E71" s="6"/>
      <c r="F71" s="6"/>
      <c r="G71" s="6"/>
      <c r="H71" s="6"/>
      <c r="I71" s="6">
        <v>4985</v>
      </c>
      <c r="J71" s="6">
        <v>-3195</v>
      </c>
      <c r="K71" s="6">
        <v>4620</v>
      </c>
      <c r="L71" s="6">
        <v>4998</v>
      </c>
      <c r="M71" s="6"/>
      <c r="N71" s="6"/>
    </row>
    <row r="72" spans="2:31" s="2" customFormat="1" x14ac:dyDescent="0.2">
      <c r="B72" s="2" t="s">
        <v>60</v>
      </c>
      <c r="C72" s="6"/>
      <c r="D72" s="6"/>
      <c r="E72" s="6"/>
      <c r="F72" s="6"/>
      <c r="G72" s="6"/>
      <c r="H72" s="6"/>
      <c r="I72" s="6">
        <v>0</v>
      </c>
      <c r="J72" s="6">
        <v>7498</v>
      </c>
      <c r="K72" s="6">
        <v>0</v>
      </c>
      <c r="L72" s="6">
        <v>0</v>
      </c>
      <c r="M72" s="6"/>
      <c r="N72" s="6"/>
    </row>
    <row r="73" spans="2:31" s="2" customFormat="1" x14ac:dyDescent="0.2">
      <c r="B73" s="2" t="s">
        <v>53</v>
      </c>
      <c r="C73" s="6"/>
      <c r="D73" s="6"/>
      <c r="E73" s="6"/>
      <c r="F73" s="6"/>
      <c r="G73" s="6"/>
      <c r="H73" s="6"/>
      <c r="I73" s="6">
        <v>1515</v>
      </c>
      <c r="J73" s="6">
        <v>1493</v>
      </c>
      <c r="K73" s="6">
        <v>1461</v>
      </c>
      <c r="L73" s="6">
        <v>1544</v>
      </c>
      <c r="M73" s="6"/>
      <c r="N73" s="6"/>
    </row>
    <row r="74" spans="2:31" s="2" customFormat="1" x14ac:dyDescent="0.2">
      <c r="B74" s="2" t="s">
        <v>54</v>
      </c>
      <c r="C74" s="6"/>
      <c r="D74" s="6"/>
      <c r="E74" s="6"/>
      <c r="F74" s="6"/>
      <c r="G74" s="6"/>
      <c r="H74" s="6"/>
      <c r="I74" s="6">
        <v>641</v>
      </c>
      <c r="J74" s="6">
        <v>654</v>
      </c>
      <c r="K74" s="6">
        <v>674</v>
      </c>
      <c r="L74" s="6">
        <v>658</v>
      </c>
      <c r="M74" s="6"/>
      <c r="N74" s="6"/>
    </row>
    <row r="75" spans="2:31" s="2" customFormat="1" x14ac:dyDescent="0.2">
      <c r="B75" s="2" t="s">
        <v>56</v>
      </c>
      <c r="C75" s="6"/>
      <c r="D75" s="6"/>
      <c r="E75" s="6"/>
      <c r="F75" s="6"/>
      <c r="G75" s="6"/>
      <c r="H75" s="6"/>
      <c r="I75" s="6">
        <v>-55</v>
      </c>
      <c r="J75" s="6">
        <v>-264</v>
      </c>
      <c r="K75" s="6">
        <v>101</v>
      </c>
      <c r="L75" s="6">
        <v>50</v>
      </c>
      <c r="M75" s="6"/>
      <c r="N75" s="6"/>
    </row>
    <row r="76" spans="2:31" s="2" customFormat="1" x14ac:dyDescent="0.2">
      <c r="B76" s="2" t="s">
        <v>55</v>
      </c>
      <c r="C76" s="6"/>
      <c r="D76" s="6"/>
      <c r="E76" s="6"/>
      <c r="F76" s="6"/>
      <c r="G76" s="6"/>
      <c r="H76" s="6"/>
      <c r="I76" s="6">
        <v>-31</v>
      </c>
      <c r="J76" s="6">
        <v>-33</v>
      </c>
      <c r="K76" s="6">
        <v>-282</v>
      </c>
      <c r="L76" s="6">
        <v>-20</v>
      </c>
      <c r="M76" s="6"/>
      <c r="N76" s="6"/>
    </row>
    <row r="77" spans="2:31" s="2" customFormat="1" x14ac:dyDescent="0.2">
      <c r="B77" s="2" t="s">
        <v>38</v>
      </c>
      <c r="C77" s="6"/>
      <c r="D77" s="6"/>
      <c r="E77" s="6"/>
      <c r="F77" s="6"/>
      <c r="G77" s="6"/>
      <c r="H77" s="6"/>
      <c r="I77" s="6">
        <v>253</v>
      </c>
      <c r="J77" s="6">
        <v>-644</v>
      </c>
      <c r="K77" s="6">
        <v>73</v>
      </c>
      <c r="L77" s="6">
        <v>-247</v>
      </c>
      <c r="M77" s="6"/>
      <c r="N77" s="6"/>
    </row>
    <row r="78" spans="2:31" s="2" customFormat="1" x14ac:dyDescent="0.2">
      <c r="B78" s="2" t="s">
        <v>47</v>
      </c>
      <c r="C78" s="6"/>
      <c r="D78" s="6"/>
      <c r="E78" s="6"/>
      <c r="F78" s="6"/>
      <c r="G78" s="6"/>
      <c r="H78" s="6"/>
      <c r="I78" s="6">
        <f>10163-11209</f>
        <v>-1046</v>
      </c>
      <c r="J78" s="6">
        <f>16687-11573</f>
        <v>5114</v>
      </c>
      <c r="K78" s="6">
        <f>10423-11355</f>
        <v>-932</v>
      </c>
      <c r="L78" s="6">
        <f>12570-11929</f>
        <v>641</v>
      </c>
      <c r="M78" s="6"/>
      <c r="N78" s="6"/>
    </row>
    <row r="79" spans="2:31" s="2" customFormat="1" x14ac:dyDescent="0.2">
      <c r="B79" s="2" t="s">
        <v>36</v>
      </c>
      <c r="C79" s="6"/>
      <c r="D79" s="6"/>
      <c r="E79" s="6"/>
      <c r="F79" s="6"/>
      <c r="G79" s="6"/>
      <c r="H79" s="6"/>
      <c r="I79" s="13">
        <v>3655</v>
      </c>
      <c r="J79" s="13">
        <v>-5448</v>
      </c>
      <c r="K79" s="13">
        <v>6376</v>
      </c>
      <c r="L79" s="6">
        <v>-3118</v>
      </c>
      <c r="M79" s="6"/>
      <c r="N79" s="6"/>
    </row>
    <row r="80" spans="2:31" s="2" customFormat="1" x14ac:dyDescent="0.2">
      <c r="B80" s="2" t="s">
        <v>37</v>
      </c>
      <c r="C80" s="6"/>
      <c r="D80" s="6"/>
      <c r="E80" s="6"/>
      <c r="F80" s="6"/>
      <c r="G80" s="6"/>
      <c r="H80" s="6"/>
      <c r="I80" s="6">
        <v>-430</v>
      </c>
      <c r="J80" s="6">
        <v>-429</v>
      </c>
      <c r="K80" s="6">
        <v>-937</v>
      </c>
      <c r="L80" s="6">
        <v>1104</v>
      </c>
      <c r="M80" s="6"/>
      <c r="N80" s="6"/>
    </row>
    <row r="81" spans="2:14" s="2" customFormat="1" x14ac:dyDescent="0.2">
      <c r="B81" s="2" t="s">
        <v>59</v>
      </c>
      <c r="C81" s="6"/>
      <c r="D81" s="6"/>
      <c r="E81" s="6"/>
      <c r="F81" s="6"/>
      <c r="G81" s="6"/>
      <c r="H81" s="6"/>
      <c r="I81" s="6">
        <v>-111</v>
      </c>
      <c r="J81" s="6">
        <v>612</v>
      </c>
      <c r="K81" s="6">
        <v>-280</v>
      </c>
      <c r="L81" s="6">
        <v>-912</v>
      </c>
      <c r="M81" s="6"/>
      <c r="N81" s="6"/>
    </row>
    <row r="82" spans="2:14" s="2" customFormat="1" x14ac:dyDescent="0.2">
      <c r="B82" s="2" t="s">
        <v>42</v>
      </c>
      <c r="C82" s="6"/>
      <c r="D82" s="6"/>
      <c r="E82" s="6"/>
      <c r="F82" s="6"/>
      <c r="G82" s="6"/>
      <c r="H82" s="6"/>
      <c r="I82" s="6">
        <v>-108</v>
      </c>
      <c r="J82" s="6">
        <v>5</v>
      </c>
      <c r="K82" s="6">
        <v>-5</v>
      </c>
      <c r="L82" s="6">
        <v>56</v>
      </c>
      <c r="M82" s="6"/>
      <c r="N82" s="6"/>
    </row>
    <row r="83" spans="2:14" s="2" customFormat="1" x14ac:dyDescent="0.2">
      <c r="B83" s="2" t="s">
        <v>49</v>
      </c>
      <c r="C83" s="6"/>
      <c r="D83" s="6"/>
      <c r="E83" s="6"/>
      <c r="F83" s="6"/>
      <c r="G83" s="6"/>
      <c r="H83" s="6"/>
      <c r="I83" s="6">
        <v>-390</v>
      </c>
      <c r="J83" s="6">
        <v>-142</v>
      </c>
      <c r="K83" s="6">
        <v>-135</v>
      </c>
      <c r="L83" s="6">
        <v>369</v>
      </c>
      <c r="M83" s="6"/>
      <c r="N83" s="6"/>
    </row>
    <row r="84" spans="2:14" x14ac:dyDescent="0.2">
      <c r="B84" t="s">
        <v>58</v>
      </c>
      <c r="I84" s="3">
        <v>200</v>
      </c>
      <c r="J84" s="3">
        <v>1328</v>
      </c>
      <c r="K84" s="3">
        <v>-2024</v>
      </c>
      <c r="L84" s="3">
        <v>105</v>
      </c>
    </row>
    <row r="85" spans="2:14" x14ac:dyDescent="0.2">
      <c r="B85" t="s">
        <v>44</v>
      </c>
      <c r="I85" s="3">
        <v>492</v>
      </c>
      <c r="J85" s="3">
        <v>267</v>
      </c>
      <c r="K85" s="3">
        <v>-116</v>
      </c>
      <c r="L85" s="3">
        <v>370</v>
      </c>
    </row>
    <row r="86" spans="2:14" x14ac:dyDescent="0.2">
      <c r="B86" s="10" t="s">
        <v>57</v>
      </c>
      <c r="I86" s="9">
        <f>SUM(I71:I85)</f>
        <v>9570</v>
      </c>
      <c r="J86" s="9">
        <f>SUM(J71:J85)</f>
        <v>6816</v>
      </c>
      <c r="K86" s="9">
        <f>SUM(K71:K85)</f>
        <v>8594</v>
      </c>
      <c r="L86" s="9">
        <f>SUM(L71:L85)</f>
        <v>5598</v>
      </c>
    </row>
    <row r="88" spans="2:14" s="2" customFormat="1" x14ac:dyDescent="0.2">
      <c r="B88" s="2" t="s">
        <v>62</v>
      </c>
      <c r="C88" s="6"/>
      <c r="D88" s="6"/>
      <c r="E88" s="6"/>
      <c r="F88" s="6"/>
      <c r="G88" s="6"/>
      <c r="H88" s="6"/>
      <c r="I88" s="6">
        <v>1391</v>
      </c>
      <c r="J88" s="6">
        <v>1781</v>
      </c>
      <c r="K88" s="6">
        <v>1356</v>
      </c>
      <c r="L88" s="6">
        <v>2024</v>
      </c>
      <c r="M88" s="6"/>
      <c r="N88" s="6"/>
    </row>
    <row r="89" spans="2:14" s="10" customFormat="1" x14ac:dyDescent="0.2">
      <c r="B89" s="10" t="s">
        <v>63</v>
      </c>
      <c r="C89" s="11"/>
      <c r="D89" s="11"/>
      <c r="E89" s="11"/>
      <c r="F89" s="11"/>
      <c r="G89" s="11"/>
      <c r="H89" s="11"/>
      <c r="I89" s="9">
        <f>+I86-I88</f>
        <v>8179</v>
      </c>
      <c r="J89" s="9">
        <f t="shared" ref="J89:L89" si="172">+J86-J88</f>
        <v>5035</v>
      </c>
      <c r="K89" s="9">
        <f t="shared" si="172"/>
        <v>7238</v>
      </c>
      <c r="L89" s="9">
        <f t="shared" si="172"/>
        <v>3574</v>
      </c>
      <c r="M89" s="11"/>
      <c r="N89" s="11"/>
    </row>
    <row r="90" spans="2:14" s="10" customFormat="1" x14ac:dyDescent="0.2">
      <c r="C90" s="11"/>
      <c r="D90" s="11"/>
      <c r="E90" s="11"/>
      <c r="F90" s="11"/>
      <c r="G90" s="11"/>
      <c r="H90" s="11"/>
      <c r="I90" s="9"/>
      <c r="J90" s="9"/>
      <c r="K90" s="9"/>
      <c r="L90" s="9"/>
      <c r="M90" s="11"/>
      <c r="N90" s="11"/>
    </row>
    <row r="91" spans="2:14" x14ac:dyDescent="0.2">
      <c r="B91" s="10" t="s">
        <v>67</v>
      </c>
      <c r="I91" s="6"/>
      <c r="J91" s="6"/>
      <c r="K91" s="6"/>
      <c r="L91" s="9">
        <f>SUM(I89:L89)</f>
        <v>24026</v>
      </c>
    </row>
    <row r="92" spans="2:14" x14ac:dyDescent="0.2">
      <c r="B92" s="10" t="s">
        <v>68</v>
      </c>
      <c r="I92" s="6"/>
      <c r="J92" s="6"/>
      <c r="K92" s="6"/>
      <c r="L92" s="9">
        <f>SUM(I70:L70)</f>
        <v>20036</v>
      </c>
    </row>
    <row r="93" spans="2:14" x14ac:dyDescent="0.2">
      <c r="I93" s="6"/>
      <c r="J93" s="6"/>
      <c r="K93" s="6"/>
      <c r="L93" s="6"/>
    </row>
    <row r="95" spans="2:14" s="2" customFormat="1" x14ac:dyDescent="0.2">
      <c r="B95" s="2" t="s">
        <v>64</v>
      </c>
      <c r="C95" s="6"/>
      <c r="D95" s="6"/>
      <c r="E95" s="6"/>
      <c r="F95" s="6"/>
      <c r="G95" s="6"/>
      <c r="H95" s="6"/>
      <c r="I95" s="6">
        <v>-162</v>
      </c>
      <c r="J95" s="6">
        <v>-626</v>
      </c>
      <c r="K95" s="6">
        <v>-390</v>
      </c>
      <c r="L95" s="6">
        <v>-381</v>
      </c>
      <c r="M95" s="6"/>
      <c r="N95" s="6"/>
    </row>
    <row r="96" spans="2:14" s="2" customFormat="1" x14ac:dyDescent="0.2">
      <c r="B96" s="2" t="s">
        <v>65</v>
      </c>
      <c r="C96" s="6"/>
      <c r="D96" s="6"/>
      <c r="E96" s="6"/>
      <c r="F96" s="6"/>
      <c r="G96" s="6"/>
      <c r="H96" s="6"/>
      <c r="I96" s="6">
        <f>-5131+146</f>
        <v>-4985</v>
      </c>
      <c r="J96" s="6">
        <f>-4279+151</f>
        <v>-4128</v>
      </c>
      <c r="K96" s="6">
        <f>-4757+219</f>
        <v>-4538</v>
      </c>
      <c r="L96" s="6">
        <f>-3678+117</f>
        <v>-3561</v>
      </c>
      <c r="M96" s="6"/>
      <c r="N96" s="6"/>
    </row>
    <row r="97" spans="2:14" s="2" customFormat="1" x14ac:dyDescent="0.2">
      <c r="B97" s="2" t="s">
        <v>66</v>
      </c>
      <c r="C97" s="6"/>
      <c r="D97" s="6"/>
      <c r="E97" s="6"/>
      <c r="F97" s="6"/>
      <c r="G97" s="6"/>
      <c r="H97" s="6"/>
      <c r="I97" s="6">
        <v>-2532</v>
      </c>
      <c r="J97" s="6">
        <v>-2496</v>
      </c>
      <c r="K97" s="6">
        <v>-2475</v>
      </c>
      <c r="L97" s="6">
        <v>-2868</v>
      </c>
      <c r="M97" s="6"/>
      <c r="N97" s="6"/>
    </row>
    <row r="101" spans="2:14" x14ac:dyDescent="0.2">
      <c r="B101" t="s">
        <v>70</v>
      </c>
      <c r="L101" s="6">
        <v>200000</v>
      </c>
    </row>
    <row r="102" spans="2:14" s="2" customFormat="1" x14ac:dyDescent="0.2">
      <c r="B102" s="2" t="s">
        <v>75</v>
      </c>
      <c r="C102" s="6"/>
      <c r="D102" s="6"/>
      <c r="E102" s="6"/>
      <c r="F102" s="6"/>
      <c r="G102" s="6"/>
      <c r="H102" s="6"/>
      <c r="I102" s="6"/>
      <c r="J102" s="6"/>
      <c r="K102" s="6">
        <v>18200</v>
      </c>
      <c r="L102" s="6">
        <v>20600</v>
      </c>
      <c r="M102" s="6"/>
      <c r="N102" s="6"/>
    </row>
    <row r="103" spans="2:14" s="2" customFormat="1" x14ac:dyDescent="0.2">
      <c r="B103" s="2" t="s">
        <v>84</v>
      </c>
      <c r="C103" s="6"/>
      <c r="D103" s="6"/>
      <c r="E103" s="6"/>
      <c r="F103" s="6"/>
      <c r="G103" s="6"/>
      <c r="H103" s="6"/>
      <c r="I103" s="6"/>
      <c r="J103" s="6"/>
      <c r="K103" s="6">
        <v>39000</v>
      </c>
      <c r="L103" s="6">
        <v>48000</v>
      </c>
      <c r="M103" s="6"/>
      <c r="N103" s="6"/>
    </row>
    <row r="105" spans="2:14" x14ac:dyDescent="0.2">
      <c r="B105" t="s">
        <v>101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2016-03-08T01:24:04Z</dcterms:created>
  <dcterms:modified xsi:type="dcterms:W3CDTF">2016-04-25T08:49:36Z</dcterms:modified>
</cp:coreProperties>
</file>