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70" windowHeight="1237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2" l="1"/>
  <c r="Y111" i="2" l="1"/>
  <c r="Y110" i="2"/>
  <c r="Y109" i="2"/>
  <c r="Y108" i="2"/>
  <c r="Y105" i="2"/>
  <c r="Y99" i="2"/>
  <c r="Y91" i="2" l="1"/>
  <c r="Y75" i="2"/>
  <c r="Y73" i="2"/>
  <c r="Y71" i="2"/>
  <c r="Y65" i="2"/>
  <c r="Y63" i="2"/>
  <c r="Y59" i="2"/>
  <c r="Y58" i="2"/>
  <c r="Y54" i="2"/>
  <c r="Y53" i="2"/>
  <c r="Y28" i="2"/>
  <c r="Y27" i="2"/>
  <c r="Y26" i="2"/>
  <c r="Y22" i="2"/>
  <c r="L27" i="1" l="1"/>
  <c r="Y38" i="2"/>
  <c r="Y10" i="2"/>
  <c r="X10" i="2"/>
  <c r="W10" i="2"/>
  <c r="X38" i="2"/>
  <c r="X39" i="2"/>
  <c r="AK8" i="2" l="1"/>
  <c r="AK10" i="2"/>
  <c r="K39" i="2" l="1"/>
  <c r="K38" i="2"/>
  <c r="J38" i="2"/>
  <c r="I38" i="2"/>
  <c r="H38" i="2"/>
  <c r="O39" i="2"/>
  <c r="N39" i="2"/>
  <c r="M39" i="2"/>
  <c r="L39" i="2"/>
  <c r="O38" i="2"/>
  <c r="N38" i="2"/>
  <c r="M38" i="2"/>
  <c r="L38" i="2"/>
  <c r="G7" i="2"/>
  <c r="F7" i="2"/>
  <c r="E7" i="2"/>
  <c r="D7" i="2"/>
  <c r="C7" i="2"/>
  <c r="S42" i="2"/>
  <c r="R42" i="2"/>
  <c r="Q42" i="2"/>
  <c r="P42" i="2"/>
  <c r="S41" i="2"/>
  <c r="R41" i="2"/>
  <c r="Q41" i="2"/>
  <c r="P41" i="2"/>
  <c r="S39" i="2"/>
  <c r="R39" i="2"/>
  <c r="Q39" i="2"/>
  <c r="P39" i="2"/>
  <c r="S38" i="2"/>
  <c r="R38" i="2"/>
  <c r="Q38" i="2"/>
  <c r="P38" i="2"/>
  <c r="S37" i="2"/>
  <c r="R37" i="2"/>
  <c r="Q37" i="2"/>
  <c r="P37" i="2"/>
  <c r="O45" i="2"/>
  <c r="N45" i="2"/>
  <c r="M45" i="2"/>
  <c r="L45" i="2"/>
  <c r="Y14" i="2"/>
  <c r="X14" i="2"/>
  <c r="O16" i="2"/>
  <c r="O46" i="2" s="1"/>
  <c r="N16" i="2"/>
  <c r="N46" i="2" s="1"/>
  <c r="M16" i="2"/>
  <c r="M46" i="2" s="1"/>
  <c r="L16" i="2"/>
  <c r="L46" i="2" s="1"/>
  <c r="K16" i="2"/>
  <c r="J16" i="2"/>
  <c r="I16" i="2"/>
  <c r="H16" i="2"/>
  <c r="O15" i="2"/>
  <c r="N15" i="2"/>
  <c r="M15" i="2"/>
  <c r="L15" i="2"/>
  <c r="K15" i="2"/>
  <c r="J15" i="2"/>
  <c r="I15" i="2"/>
  <c r="H15" i="2"/>
  <c r="O14" i="2"/>
  <c r="N14" i="2"/>
  <c r="M14" i="2"/>
  <c r="L14" i="2"/>
  <c r="N3" i="2"/>
  <c r="M3" i="2"/>
  <c r="L3" i="2"/>
  <c r="K3" i="2"/>
  <c r="J3" i="2"/>
  <c r="I3" i="2"/>
  <c r="H3" i="2"/>
  <c r="H14" i="2" s="1"/>
  <c r="O3" i="2"/>
  <c r="O7" i="2"/>
  <c r="O37" i="2" s="1"/>
  <c r="N7" i="2"/>
  <c r="N37" i="2" s="1"/>
  <c r="M7" i="2"/>
  <c r="M37" i="2" s="1"/>
  <c r="L7" i="2"/>
  <c r="L37" i="2" s="1"/>
  <c r="K7" i="2"/>
  <c r="K37" i="2" s="1"/>
  <c r="J7" i="2"/>
  <c r="J37" i="2" s="1"/>
  <c r="I7" i="2"/>
  <c r="I14" i="2" s="1"/>
  <c r="H7" i="2"/>
  <c r="H37" i="2" s="1"/>
  <c r="M44" i="2" l="1"/>
  <c r="I37" i="2"/>
  <c r="J14" i="2"/>
  <c r="N44" i="2" s="1"/>
  <c r="K14" i="2"/>
  <c r="O44" i="2" s="1"/>
  <c r="L44" i="2"/>
  <c r="AJ18" i="2" l="1"/>
  <c r="AK18" i="2"/>
  <c r="AI16" i="2"/>
  <c r="AI15" i="2"/>
  <c r="AK16" i="2"/>
  <c r="AK14" i="2"/>
  <c r="AJ5" i="2"/>
  <c r="AJ16" i="2" s="1"/>
  <c r="AJ4" i="2"/>
  <c r="AJ15" i="2" s="1"/>
  <c r="AJ3" i="2"/>
  <c r="AJ14" i="2" s="1"/>
  <c r="AI9" i="2"/>
  <c r="AI8" i="2"/>
  <c r="AI10" i="2" s="1"/>
  <c r="AI7" i="2"/>
  <c r="AI14" i="2" s="1"/>
  <c r="AJ9" i="2"/>
  <c r="AK39" i="2" s="1"/>
  <c r="AJ8" i="2"/>
  <c r="AJ10" i="2" s="1"/>
  <c r="AJ7" i="2"/>
  <c r="AJ37" i="2" s="1"/>
  <c r="AK9" i="2"/>
  <c r="AK7" i="2"/>
  <c r="AK5" i="2"/>
  <c r="AK4" i="2"/>
  <c r="AK15" i="2" s="1"/>
  <c r="AK3" i="2"/>
  <c r="Z8" i="2"/>
  <c r="Z10" i="2" s="1"/>
  <c r="W42" i="2"/>
  <c r="V42" i="2"/>
  <c r="U42" i="2"/>
  <c r="T42" i="2"/>
  <c r="W41" i="2"/>
  <c r="V41" i="2"/>
  <c r="U41" i="2"/>
  <c r="T41" i="2"/>
  <c r="W39" i="2"/>
  <c r="V39" i="2"/>
  <c r="U39" i="2"/>
  <c r="T39" i="2"/>
  <c r="W38" i="2"/>
  <c r="V38" i="2"/>
  <c r="U38" i="2"/>
  <c r="T38" i="2"/>
  <c r="W37" i="2"/>
  <c r="V37" i="2"/>
  <c r="U37" i="2"/>
  <c r="T37" i="2"/>
  <c r="T35" i="2"/>
  <c r="P28" i="2"/>
  <c r="P26" i="2"/>
  <c r="P22" i="2"/>
  <c r="S18" i="2"/>
  <c r="R18" i="2"/>
  <c r="Q18" i="2"/>
  <c r="P18" i="2"/>
  <c r="S16" i="2"/>
  <c r="S46" i="2" s="1"/>
  <c r="R16" i="2"/>
  <c r="R46" i="2" s="1"/>
  <c r="Q16" i="2"/>
  <c r="Q46" i="2" s="1"/>
  <c r="P16" i="2"/>
  <c r="P46" i="2" s="1"/>
  <c r="S15" i="2"/>
  <c r="S45" i="2" s="1"/>
  <c r="R15" i="2"/>
  <c r="R45" i="2" s="1"/>
  <c r="Q15" i="2"/>
  <c r="Q45" i="2" s="1"/>
  <c r="P15" i="2"/>
  <c r="P45" i="2" s="1"/>
  <c r="S14" i="2"/>
  <c r="S44" i="2" s="1"/>
  <c r="R14" i="2"/>
  <c r="R44" i="2" s="1"/>
  <c r="Q14" i="2"/>
  <c r="Q44" i="2" s="1"/>
  <c r="P14" i="2"/>
  <c r="P44" i="2" s="1"/>
  <c r="AK37" i="2" l="1"/>
  <c r="AK38" i="2"/>
  <c r="AJ39" i="2"/>
  <c r="AA8" i="2"/>
  <c r="AJ38" i="2"/>
  <c r="AK44" i="2"/>
  <c r="P27" i="2"/>
  <c r="P29" i="2" s="1"/>
  <c r="P31" i="2" s="1"/>
  <c r="P32" i="2" s="1"/>
  <c r="AL28" i="2"/>
  <c r="Z33" i="2"/>
  <c r="AA33" i="2" s="1"/>
  <c r="AB33" i="2" s="1"/>
  <c r="AB28" i="2"/>
  <c r="AA28" i="2"/>
  <c r="Z28" i="2"/>
  <c r="AB25" i="2"/>
  <c r="AB50" i="2" s="1"/>
  <c r="AA25" i="2"/>
  <c r="AA50" i="2" s="1"/>
  <c r="Z25" i="2"/>
  <c r="Z50" i="2" s="1"/>
  <c r="Y50" i="2"/>
  <c r="AB24" i="2"/>
  <c r="AB49" i="2" s="1"/>
  <c r="AA24" i="2"/>
  <c r="AA49" i="2" s="1"/>
  <c r="Z24" i="2"/>
  <c r="Z49" i="2" s="1"/>
  <c r="Y49" i="2"/>
  <c r="AB23" i="2"/>
  <c r="AB48" i="2" s="1"/>
  <c r="AA23" i="2"/>
  <c r="AA48" i="2" s="1"/>
  <c r="Z23" i="2"/>
  <c r="Z48" i="2" s="1"/>
  <c r="Y48" i="2"/>
  <c r="Y18" i="2"/>
  <c r="X18" i="2"/>
  <c r="W18" i="2"/>
  <c r="V18" i="2"/>
  <c r="U18" i="2"/>
  <c r="T18" i="2"/>
  <c r="Z9" i="2"/>
  <c r="Z39" i="2" s="1"/>
  <c r="F40" i="1"/>
  <c r="F35" i="1"/>
  <c r="G35" i="1"/>
  <c r="F34" i="1"/>
  <c r="G34" i="1" s="1"/>
  <c r="F31" i="1"/>
  <c r="G31" i="1" s="1"/>
  <c r="F26" i="1"/>
  <c r="G26" i="1" s="1"/>
  <c r="F25" i="1"/>
  <c r="G25" i="1" s="1"/>
  <c r="F24" i="1"/>
  <c r="G24" i="1"/>
  <c r="F23" i="1"/>
  <c r="G23" i="1" s="1"/>
  <c r="F22" i="1"/>
  <c r="G22" i="1" s="1"/>
  <c r="F21" i="1"/>
  <c r="G21" i="1" s="1"/>
  <c r="F20" i="1"/>
  <c r="G20" i="1" s="1"/>
  <c r="F19" i="1"/>
  <c r="G19" i="1" s="1"/>
  <c r="F8" i="1"/>
  <c r="G8" i="1" s="1"/>
  <c r="F7" i="1"/>
  <c r="G7" i="1" s="1"/>
  <c r="F6" i="1"/>
  <c r="G6" i="1" s="1"/>
  <c r="G2" i="1"/>
  <c r="F28" i="1" s="1"/>
  <c r="G28" i="1" s="1"/>
  <c r="X16" i="2"/>
  <c r="W16" i="2"/>
  <c r="V16" i="2"/>
  <c r="U16" i="2"/>
  <c r="T16" i="2"/>
  <c r="T46" i="2" s="1"/>
  <c r="X15" i="2"/>
  <c r="W15" i="2"/>
  <c r="V15" i="2"/>
  <c r="U15" i="2"/>
  <c r="T15" i="2"/>
  <c r="T45" i="2" s="1"/>
  <c r="W14" i="2"/>
  <c r="W44" i="2" s="1"/>
  <c r="V14" i="2"/>
  <c r="V44" i="2" s="1"/>
  <c r="U14" i="2"/>
  <c r="T14" i="2"/>
  <c r="Y39" i="2"/>
  <c r="Y42" i="2"/>
  <c r="X42" i="2"/>
  <c r="Y41" i="2"/>
  <c r="X41" i="2"/>
  <c r="Y37" i="2"/>
  <c r="X37" i="2"/>
  <c r="X105" i="2"/>
  <c r="X99" i="2"/>
  <c r="X91" i="2"/>
  <c r="X65" i="2"/>
  <c r="X71" i="2"/>
  <c r="X73" i="2" s="1"/>
  <c r="X59" i="2"/>
  <c r="X58" i="2"/>
  <c r="X57" i="2"/>
  <c r="T54" i="2"/>
  <c r="X50" i="2"/>
  <c r="X49" i="2"/>
  <c r="X48" i="2"/>
  <c r="T28" i="2"/>
  <c r="T26" i="2"/>
  <c r="T22" i="2"/>
  <c r="T27" i="2" s="1"/>
  <c r="T29" i="2" s="1"/>
  <c r="T31" i="2" s="1"/>
  <c r="T32" i="2" s="1"/>
  <c r="X28" i="2"/>
  <c r="X26" i="2"/>
  <c r="X51" i="2" s="1"/>
  <c r="X22" i="2"/>
  <c r="X53" i="2" s="1"/>
  <c r="X35" i="2"/>
  <c r="U101" i="2"/>
  <c r="U105" i="2" s="1"/>
  <c r="U99" i="2"/>
  <c r="U91" i="2"/>
  <c r="U65" i="2"/>
  <c r="U71" i="2" s="1"/>
  <c r="U73" i="2" s="1"/>
  <c r="U59" i="2"/>
  <c r="U58" i="2"/>
  <c r="U57" i="2" s="1"/>
  <c r="Q28" i="2"/>
  <c r="Q26" i="2"/>
  <c r="Q22" i="2"/>
  <c r="Q53" i="2" s="1"/>
  <c r="U50" i="2"/>
  <c r="U49" i="2"/>
  <c r="U48" i="2"/>
  <c r="U35" i="2"/>
  <c r="U28" i="2"/>
  <c r="U26" i="2"/>
  <c r="U22" i="2"/>
  <c r="U53" i="2" s="1"/>
  <c r="V101" i="2"/>
  <c r="V105" i="2" s="1"/>
  <c r="V99" i="2"/>
  <c r="V91" i="2"/>
  <c r="V65" i="2"/>
  <c r="V71" i="2" s="1"/>
  <c r="V73" i="2" s="1"/>
  <c r="V59" i="2"/>
  <c r="V58" i="2"/>
  <c r="R28" i="2"/>
  <c r="R26" i="2"/>
  <c r="R22" i="2"/>
  <c r="R53" i="2" s="1"/>
  <c r="V50" i="2"/>
  <c r="V49" i="2"/>
  <c r="V48" i="2"/>
  <c r="V35" i="2"/>
  <c r="V28" i="2"/>
  <c r="V26" i="2"/>
  <c r="V22" i="2"/>
  <c r="V53" i="2" s="1"/>
  <c r="W105" i="2"/>
  <c r="W99" i="2"/>
  <c r="W91" i="2"/>
  <c r="W65" i="2"/>
  <c r="W71" i="2" s="1"/>
  <c r="W73" i="2" s="1"/>
  <c r="W59" i="2"/>
  <c r="W58" i="2"/>
  <c r="W57" i="2" s="1"/>
  <c r="W50" i="2"/>
  <c r="W49" i="2"/>
  <c r="W48" i="2"/>
  <c r="S28" i="2"/>
  <c r="S26" i="2"/>
  <c r="S22" i="2"/>
  <c r="S53" i="2" s="1"/>
  <c r="W28" i="2"/>
  <c r="W26" i="2"/>
  <c r="W22" i="2"/>
  <c r="W53" i="2" s="1"/>
  <c r="W35" i="2"/>
  <c r="AK50" i="2"/>
  <c r="AJ50" i="2"/>
  <c r="AK49" i="2"/>
  <c r="AJ49" i="2"/>
  <c r="AJ48" i="2"/>
  <c r="AK48" i="2"/>
  <c r="AJ35" i="2"/>
  <c r="AK35" i="2"/>
  <c r="AJ28" i="2"/>
  <c r="AI28" i="2"/>
  <c r="AI26" i="2"/>
  <c r="AI22" i="2"/>
  <c r="AI53" i="2" s="1"/>
  <c r="AJ26" i="2"/>
  <c r="AJ22" i="2"/>
  <c r="AJ53" i="2" s="1"/>
  <c r="AK28" i="2"/>
  <c r="AK26" i="2"/>
  <c r="AK22" i="2"/>
  <c r="AK27" i="2" s="1"/>
  <c r="AK54" i="2" s="1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K4" i="1"/>
  <c r="K10" i="1" s="1"/>
  <c r="AL33" i="2" l="1"/>
  <c r="AM33" i="2" s="1"/>
  <c r="AN33" i="2" s="1"/>
  <c r="AO33" i="2" s="1"/>
  <c r="Y35" i="2"/>
  <c r="T44" i="2"/>
  <c r="X44" i="2"/>
  <c r="Z18" i="2"/>
  <c r="AA10" i="2"/>
  <c r="AB8" i="2"/>
  <c r="U51" i="2"/>
  <c r="F32" i="1"/>
  <c r="G32" i="1" s="1"/>
  <c r="F33" i="1"/>
  <c r="T53" i="2"/>
  <c r="Y16" i="2"/>
  <c r="Y46" i="2" s="1"/>
  <c r="U46" i="2"/>
  <c r="AA16" i="2"/>
  <c r="AA46" i="2" s="1"/>
  <c r="W46" i="2"/>
  <c r="Z16" i="2"/>
  <c r="Z46" i="2" s="1"/>
  <c r="V46" i="2"/>
  <c r="U44" i="2"/>
  <c r="Y44" i="2"/>
  <c r="Y15" i="2"/>
  <c r="Y45" i="2" s="1"/>
  <c r="U45" i="2"/>
  <c r="Z15" i="2"/>
  <c r="Z45" i="2" s="1"/>
  <c r="V45" i="2"/>
  <c r="AA15" i="2"/>
  <c r="AA45" i="2" s="1"/>
  <c r="W45" i="2"/>
  <c r="AB15" i="2"/>
  <c r="AB45" i="2" s="1"/>
  <c r="X45" i="2"/>
  <c r="AB16" i="2"/>
  <c r="X46" i="2"/>
  <c r="Z26" i="2"/>
  <c r="Z51" i="2" s="1"/>
  <c r="AA26" i="2"/>
  <c r="AA51" i="2" s="1"/>
  <c r="AB26" i="2"/>
  <c r="AB51" i="2" s="1"/>
  <c r="AL23" i="2"/>
  <c r="AL24" i="2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AL25" i="2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F36" i="1"/>
  <c r="G36" i="1" s="1"/>
  <c r="F27" i="1"/>
  <c r="G27" i="1" s="1"/>
  <c r="F37" i="1"/>
  <c r="G37" i="1" s="1"/>
  <c r="F12" i="1"/>
  <c r="G12" i="1" s="1"/>
  <c r="F54" i="1"/>
  <c r="G54" i="1" s="1"/>
  <c r="F51" i="1"/>
  <c r="G51" i="1" s="1"/>
  <c r="F50" i="1"/>
  <c r="G50" i="1" s="1"/>
  <c r="F49" i="1"/>
  <c r="G49" i="1" s="1"/>
  <c r="F48" i="1"/>
  <c r="G48" i="1" s="1"/>
  <c r="F57" i="1"/>
  <c r="G57" i="1" s="1"/>
  <c r="F45" i="1"/>
  <c r="G45" i="1" s="1"/>
  <c r="F53" i="1"/>
  <c r="G53" i="1" s="1"/>
  <c r="F43" i="1"/>
  <c r="G43" i="1" s="1"/>
  <c r="F41" i="1"/>
  <c r="G41" i="1" s="1"/>
  <c r="F58" i="1"/>
  <c r="G58" i="1" s="1"/>
  <c r="F46" i="1"/>
  <c r="G46" i="1" s="1"/>
  <c r="F55" i="1"/>
  <c r="G55" i="1" s="1"/>
  <c r="F42" i="1"/>
  <c r="G42" i="1" s="1"/>
  <c r="F52" i="1"/>
  <c r="G52" i="1" s="1"/>
  <c r="F47" i="1"/>
  <c r="G47" i="1" s="1"/>
  <c r="F56" i="1"/>
  <c r="G56" i="1" s="1"/>
  <c r="F44" i="1"/>
  <c r="G44" i="1" s="1"/>
  <c r="F29" i="1"/>
  <c r="G29" i="1" s="1"/>
  <c r="F38" i="1"/>
  <c r="G38" i="1" s="1"/>
  <c r="F5" i="1"/>
  <c r="F30" i="1"/>
  <c r="G30" i="1" s="1"/>
  <c r="F39" i="1"/>
  <c r="G39" i="1" s="1"/>
  <c r="Z5" i="2"/>
  <c r="AP33" i="2"/>
  <c r="V63" i="2"/>
  <c r="AK51" i="2"/>
  <c r="W108" i="2"/>
  <c r="X108" i="2"/>
  <c r="X109" i="2"/>
  <c r="AK29" i="2"/>
  <c r="AK31" i="2" s="1"/>
  <c r="AK32" i="2" s="1"/>
  <c r="AJ51" i="2"/>
  <c r="V108" i="2"/>
  <c r="AA9" i="2"/>
  <c r="AA5" i="2" s="1"/>
  <c r="AA42" i="2" s="1"/>
  <c r="V51" i="2"/>
  <c r="U63" i="2"/>
  <c r="W27" i="2"/>
  <c r="W63" i="2"/>
  <c r="X63" i="2"/>
  <c r="AK53" i="2"/>
  <c r="W51" i="2"/>
  <c r="Z7" i="2"/>
  <c r="Z37" i="2" s="1"/>
  <c r="AA38" i="2"/>
  <c r="Z38" i="2"/>
  <c r="G40" i="1"/>
  <c r="G33" i="1"/>
  <c r="K7" i="1"/>
  <c r="F17" i="1"/>
  <c r="G17" i="1" s="1"/>
  <c r="F14" i="1"/>
  <c r="G14" i="1" s="1"/>
  <c r="F13" i="1"/>
  <c r="G13" i="1" s="1"/>
  <c r="F15" i="1"/>
  <c r="F16" i="1"/>
  <c r="G16" i="1" s="1"/>
  <c r="F9" i="1"/>
  <c r="F10" i="1"/>
  <c r="G10" i="1" s="1"/>
  <c r="F11" i="1"/>
  <c r="G11" i="1" s="1"/>
  <c r="F18" i="1"/>
  <c r="G18" i="1" s="1"/>
  <c r="X27" i="2"/>
  <c r="Q27" i="2"/>
  <c r="U27" i="2"/>
  <c r="V57" i="2"/>
  <c r="V109" i="2" s="1"/>
  <c r="R27" i="2"/>
  <c r="V27" i="2"/>
  <c r="S27" i="2"/>
  <c r="AJ27" i="2"/>
  <c r="AI27" i="2"/>
  <c r="AI54" i="2" s="1"/>
  <c r="AI29" i="2"/>
  <c r="AI31" i="2" s="1"/>
  <c r="AI32" i="2" s="1"/>
  <c r="AB10" i="2" l="1"/>
  <c r="AL8" i="2"/>
  <c r="AA18" i="2"/>
  <c r="AB18" i="2" s="1"/>
  <c r="AL18" i="2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Z4" i="2"/>
  <c r="AB4" i="2"/>
  <c r="AB3" i="2" s="1"/>
  <c r="AA4" i="2"/>
  <c r="AL4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AB46" i="2"/>
  <c r="Y29" i="2"/>
  <c r="Y51" i="2"/>
  <c r="AM23" i="2"/>
  <c r="AL26" i="2"/>
  <c r="G5" i="1"/>
  <c r="F63" i="1"/>
  <c r="AB38" i="2"/>
  <c r="Z42" i="2"/>
  <c r="AQ33" i="2"/>
  <c r="S29" i="2"/>
  <c r="S31" i="2" s="1"/>
  <c r="S32" i="2" s="1"/>
  <c r="S54" i="2"/>
  <c r="AB9" i="2"/>
  <c r="AB5" i="2" s="1"/>
  <c r="AB42" i="2" s="1"/>
  <c r="AA39" i="2"/>
  <c r="R29" i="2"/>
  <c r="R31" i="2" s="1"/>
  <c r="R32" i="2" s="1"/>
  <c r="R54" i="2"/>
  <c r="U29" i="2"/>
  <c r="U31" i="2" s="1"/>
  <c r="U54" i="2"/>
  <c r="X29" i="2"/>
  <c r="X31" i="2" s="1"/>
  <c r="X54" i="2"/>
  <c r="W29" i="2"/>
  <c r="W31" i="2" s="1"/>
  <c r="W54" i="2"/>
  <c r="AJ29" i="2"/>
  <c r="AJ31" i="2" s="1"/>
  <c r="AJ32" i="2" s="1"/>
  <c r="AJ54" i="2"/>
  <c r="V29" i="2"/>
  <c r="V31" i="2" s="1"/>
  <c r="V54" i="2"/>
  <c r="AA7" i="2"/>
  <c r="AA37" i="2" s="1"/>
  <c r="Q29" i="2"/>
  <c r="Q31" i="2" s="1"/>
  <c r="Q32" i="2" s="1"/>
  <c r="Q54" i="2"/>
  <c r="AB7" i="2"/>
  <c r="W109" i="2"/>
  <c r="G15" i="1"/>
  <c r="G9" i="1"/>
  <c r="AB39" i="2" l="1"/>
  <c r="AL9" i="2"/>
  <c r="AB41" i="2"/>
  <c r="AM8" i="2"/>
  <c r="AL10" i="2"/>
  <c r="AL38" i="2"/>
  <c r="AL5" i="2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AB20" i="2"/>
  <c r="AB14" i="2"/>
  <c r="AB44" i="2" s="1"/>
  <c r="AA3" i="2"/>
  <c r="AA41" i="2"/>
  <c r="Z3" i="2"/>
  <c r="AL3" i="2" s="1"/>
  <c r="AL14" i="2" s="1"/>
  <c r="AL44" i="2" s="1"/>
  <c r="Z41" i="2"/>
  <c r="AM26" i="2"/>
  <c r="AN23" i="2"/>
  <c r="Y31" i="2"/>
  <c r="AB37" i="2"/>
  <c r="AL7" i="2"/>
  <c r="AL37" i="2" s="1"/>
  <c r="AR33" i="2"/>
  <c r="V32" i="2"/>
  <c r="V75" i="2"/>
  <c r="X32" i="2"/>
  <c r="X75" i="2"/>
  <c r="X111" i="2" s="1"/>
  <c r="W75" i="2"/>
  <c r="W32" i="2"/>
  <c r="U32" i="2"/>
  <c r="U75" i="2"/>
  <c r="AN8" i="2" l="1"/>
  <c r="AM10" i="2"/>
  <c r="AM38" i="2"/>
  <c r="AM9" i="2"/>
  <c r="AL39" i="2"/>
  <c r="Z14" i="2"/>
  <c r="Z44" i="2" s="1"/>
  <c r="Z20" i="2"/>
  <c r="AA20" i="2"/>
  <c r="AA14" i="2"/>
  <c r="AA44" i="2" s="1"/>
  <c r="AB35" i="2"/>
  <c r="AB22" i="2"/>
  <c r="Y32" i="2"/>
  <c r="AO23" i="2"/>
  <c r="AN26" i="2"/>
  <c r="AS33" i="2"/>
  <c r="U111" i="2"/>
  <c r="U110" i="2"/>
  <c r="W111" i="2"/>
  <c r="W110" i="2"/>
  <c r="X110" i="2"/>
  <c r="V110" i="2"/>
  <c r="V111" i="2"/>
  <c r="AN9" i="2" l="1"/>
  <c r="AM39" i="2"/>
  <c r="AM7" i="2"/>
  <c r="AM37" i="2" s="1"/>
  <c r="AO8" i="2"/>
  <c r="AN10" i="2"/>
  <c r="AN38" i="2"/>
  <c r="AB27" i="2"/>
  <c r="AB29" i="2" s="1"/>
  <c r="AB30" i="2" s="1"/>
  <c r="AB31" i="2" s="1"/>
  <c r="AB32" i="2" s="1"/>
  <c r="AB21" i="2"/>
  <c r="Z35" i="2"/>
  <c r="Z22" i="2"/>
  <c r="AL20" i="2"/>
  <c r="AL35" i="2" s="1"/>
  <c r="AA35" i="2"/>
  <c r="AA22" i="2"/>
  <c r="Z21" i="2"/>
  <c r="AP23" i="2"/>
  <c r="AO26" i="2"/>
  <c r="AT33" i="2"/>
  <c r="AP8" i="2" l="1"/>
  <c r="AO10" i="2"/>
  <c r="AO38" i="2"/>
  <c r="AO9" i="2"/>
  <c r="AN39" i="2"/>
  <c r="AN7" i="2"/>
  <c r="AN37" i="2" s="1"/>
  <c r="AA21" i="2"/>
  <c r="AA27" i="2"/>
  <c r="AA29" i="2" s="1"/>
  <c r="AA30" i="2" s="1"/>
  <c r="AA31" i="2" s="1"/>
  <c r="AA32" i="2" s="1"/>
  <c r="Z27" i="2"/>
  <c r="Z29" i="2" s="1"/>
  <c r="AL22" i="2"/>
  <c r="AL53" i="2" s="1"/>
  <c r="AQ23" i="2"/>
  <c r="AP26" i="2"/>
  <c r="AU33" i="2"/>
  <c r="AP9" i="2" l="1"/>
  <c r="AO39" i="2"/>
  <c r="AO7" i="2"/>
  <c r="AO37" i="2" s="1"/>
  <c r="AQ8" i="2"/>
  <c r="AR8" i="2" s="1"/>
  <c r="AS8" i="2" s="1"/>
  <c r="AT8" i="2" s="1"/>
  <c r="AU8" i="2" s="1"/>
  <c r="AV8" i="2" s="1"/>
  <c r="AW8" i="2" s="1"/>
  <c r="AX8" i="2" s="1"/>
  <c r="AP10" i="2"/>
  <c r="AP38" i="2"/>
  <c r="AQ38" i="2"/>
  <c r="AQ10" i="2"/>
  <c r="Z30" i="2"/>
  <c r="AL30" i="2" s="1"/>
  <c r="Z31" i="2"/>
  <c r="AL27" i="2"/>
  <c r="AL21" i="2"/>
  <c r="AR23" i="2"/>
  <c r="AQ26" i="2"/>
  <c r="AV33" i="2"/>
  <c r="AL29" i="2" l="1"/>
  <c r="AL31" i="2" s="1"/>
  <c r="AL32" i="2" s="1"/>
  <c r="AL54" i="2"/>
  <c r="AQ9" i="2"/>
  <c r="AP39" i="2"/>
  <c r="AP7" i="2"/>
  <c r="AP37" i="2" s="1"/>
  <c r="AR38" i="2"/>
  <c r="AR10" i="2"/>
  <c r="Z32" i="2"/>
  <c r="Z57" i="2"/>
  <c r="AA57" i="2" s="1"/>
  <c r="AB57" i="2" s="1"/>
  <c r="AL57" i="2" s="1"/>
  <c r="AS23" i="2"/>
  <c r="AR26" i="2"/>
  <c r="AW33" i="2"/>
  <c r="AR9" i="2" l="1"/>
  <c r="AQ39" i="2"/>
  <c r="AQ7" i="2"/>
  <c r="AQ37" i="2" s="1"/>
  <c r="AS38" i="2"/>
  <c r="AS10" i="2"/>
  <c r="AT23" i="2"/>
  <c r="AS26" i="2"/>
  <c r="AX33" i="2"/>
  <c r="AS9" i="2" l="1"/>
  <c r="AR39" i="2"/>
  <c r="AR7" i="2"/>
  <c r="AR37" i="2" s="1"/>
  <c r="AT38" i="2"/>
  <c r="AT10" i="2"/>
  <c r="AU23" i="2"/>
  <c r="AT26" i="2"/>
  <c r="AY33" i="2"/>
  <c r="AT9" i="2" l="1"/>
  <c r="AS39" i="2"/>
  <c r="AS7" i="2"/>
  <c r="AS37" i="2" s="1"/>
  <c r="AU38" i="2"/>
  <c r="AU10" i="2"/>
  <c r="AV23" i="2"/>
  <c r="AU26" i="2"/>
  <c r="AZ33" i="2"/>
  <c r="AU9" i="2" l="1"/>
  <c r="AT39" i="2"/>
  <c r="AT7" i="2"/>
  <c r="AT37" i="2" s="1"/>
  <c r="AV38" i="2"/>
  <c r="AV10" i="2"/>
  <c r="AW23" i="2"/>
  <c r="AV26" i="2"/>
  <c r="AV9" i="2" l="1"/>
  <c r="AU39" i="2"/>
  <c r="AU7" i="2"/>
  <c r="AU37" i="2" s="1"/>
  <c r="AW38" i="2"/>
  <c r="AW10" i="2"/>
  <c r="AX23" i="2"/>
  <c r="AW26" i="2"/>
  <c r="AW9" i="2" l="1"/>
  <c r="AV39" i="2"/>
  <c r="AV7" i="2"/>
  <c r="AV37" i="2" s="1"/>
  <c r="AX38" i="2"/>
  <c r="AX10" i="2"/>
  <c r="AY23" i="2"/>
  <c r="AX26" i="2"/>
  <c r="AY8" i="2"/>
  <c r="AZ8" i="2" s="1"/>
  <c r="AZ4" i="2" s="1"/>
  <c r="AX9" i="2" l="1"/>
  <c r="AW39" i="2"/>
  <c r="AW7" i="2"/>
  <c r="AW37" i="2" s="1"/>
  <c r="AY38" i="2"/>
  <c r="AY10" i="2"/>
  <c r="AZ23" i="2"/>
  <c r="AZ26" i="2" s="1"/>
  <c r="AY26" i="2"/>
  <c r="AZ10" i="2"/>
  <c r="AY9" i="2" l="1"/>
  <c r="AX39" i="2"/>
  <c r="AX7" i="2"/>
  <c r="AX37" i="2" s="1"/>
  <c r="AZ38" i="2"/>
  <c r="AN5" i="2"/>
  <c r="AT5" i="2"/>
  <c r="AS5" i="2"/>
  <c r="AY5" i="2"/>
  <c r="AO5" i="2"/>
  <c r="AX5" i="2"/>
  <c r="AR5" i="2"/>
  <c r="AP5" i="2"/>
  <c r="AV4" i="2"/>
  <c r="AQ4" i="2"/>
  <c r="AY4" i="2"/>
  <c r="AQ5" i="2"/>
  <c r="AV5" i="2"/>
  <c r="AO4" i="2"/>
  <c r="AR4" i="2"/>
  <c r="AT4" i="2"/>
  <c r="AU4" i="2"/>
  <c r="AP4" i="2"/>
  <c r="AM5" i="2"/>
  <c r="AW4" i="2"/>
  <c r="AU5" i="2"/>
  <c r="AN4" i="2"/>
  <c r="AN3" i="2" s="1"/>
  <c r="AX4" i="2"/>
  <c r="AS4" i="2"/>
  <c r="AS3" i="2" s="1"/>
  <c r="AW5" i="2"/>
  <c r="AM4" i="2"/>
  <c r="AY39" i="2" l="1"/>
  <c r="AZ9" i="2"/>
  <c r="AY7" i="2"/>
  <c r="AY37" i="2" s="1"/>
  <c r="AS20" i="2"/>
  <c r="AS22" i="2" s="1"/>
  <c r="AS53" i="2" s="1"/>
  <c r="AS14" i="2"/>
  <c r="AO3" i="2"/>
  <c r="AN20" i="2"/>
  <c r="AN14" i="2"/>
  <c r="AR3" i="2"/>
  <c r="AM3" i="2"/>
  <c r="AW3" i="2"/>
  <c r="AY3" i="2"/>
  <c r="AQ3" i="2"/>
  <c r="AP3" i="2"/>
  <c r="AU3" i="2"/>
  <c r="AV3" i="2"/>
  <c r="AT3" i="2"/>
  <c r="AX3" i="2"/>
  <c r="AZ39" i="2" l="1"/>
  <c r="AZ7" i="2"/>
  <c r="AZ37" i="2" s="1"/>
  <c r="AZ5" i="2"/>
  <c r="AZ3" i="2" s="1"/>
  <c r="AN22" i="2"/>
  <c r="AN53" i="2" s="1"/>
  <c r="AS27" i="2"/>
  <c r="AS54" i="2" s="1"/>
  <c r="AP20" i="2"/>
  <c r="AP22" i="2" s="1"/>
  <c r="AP53" i="2" s="1"/>
  <c r="AP14" i="2"/>
  <c r="AT20" i="2"/>
  <c r="AT14" i="2"/>
  <c r="AT44" i="2" s="1"/>
  <c r="AQ20" i="2"/>
  <c r="AQ22" i="2" s="1"/>
  <c r="AQ53" i="2" s="1"/>
  <c r="AQ14" i="2"/>
  <c r="AQ44" i="2" s="1"/>
  <c r="AY20" i="2"/>
  <c r="AY14" i="2"/>
  <c r="AW20" i="2"/>
  <c r="AW14" i="2"/>
  <c r="AR20" i="2"/>
  <c r="AR14" i="2"/>
  <c r="AO20" i="2"/>
  <c r="AO22" i="2" s="1"/>
  <c r="AO53" i="2" s="1"/>
  <c r="AO14" i="2"/>
  <c r="AO44" i="2" s="1"/>
  <c r="AV20" i="2"/>
  <c r="AV14" i="2"/>
  <c r="AU20" i="2"/>
  <c r="AU14" i="2"/>
  <c r="AM20" i="2"/>
  <c r="AM22" i="2" s="1"/>
  <c r="AM53" i="2" s="1"/>
  <c r="AM14" i="2"/>
  <c r="AM44" i="2" s="1"/>
  <c r="AX20" i="2"/>
  <c r="AX14" i="2"/>
  <c r="AU35" i="2"/>
  <c r="AY35" i="2"/>
  <c r="AS21" i="2"/>
  <c r="AN21" i="2"/>
  <c r="AZ20" i="2" l="1"/>
  <c r="AZ22" i="2" s="1"/>
  <c r="AZ14" i="2"/>
  <c r="AZ44" i="2" s="1"/>
  <c r="AR44" i="2"/>
  <c r="AR35" i="2"/>
  <c r="AR22" i="2"/>
  <c r="AR53" i="2" s="1"/>
  <c r="AY22" i="2"/>
  <c r="AY53" i="2" s="1"/>
  <c r="BC21" i="2"/>
  <c r="AW22" i="2"/>
  <c r="AW53" i="2" s="1"/>
  <c r="AT22" i="2"/>
  <c r="AT53" i="2" s="1"/>
  <c r="AX22" i="2"/>
  <c r="AX53" i="2" s="1"/>
  <c r="AV22" i="2"/>
  <c r="AV53" i="2" s="1"/>
  <c r="AU22" i="2"/>
  <c r="AN27" i="2"/>
  <c r="AN54" i="2" s="1"/>
  <c r="AY44" i="2"/>
  <c r="AX35" i="2"/>
  <c r="AW44" i="2"/>
  <c r="AX44" i="2"/>
  <c r="AP44" i="2"/>
  <c r="AV44" i="2"/>
  <c r="AS44" i="2"/>
  <c r="AU44" i="2"/>
  <c r="AT35" i="2"/>
  <c r="AN44" i="2"/>
  <c r="AZ21" i="2"/>
  <c r="AO35" i="2"/>
  <c r="AO27" i="2"/>
  <c r="AO54" i="2" s="1"/>
  <c r="AR27" i="2"/>
  <c r="AR54" i="2" s="1"/>
  <c r="AS35" i="2"/>
  <c r="AV35" i="2"/>
  <c r="AZ35" i="2"/>
  <c r="AQ27" i="2"/>
  <c r="AQ54" i="2" s="1"/>
  <c r="AQ35" i="2"/>
  <c r="AW35" i="2"/>
  <c r="AM27" i="2"/>
  <c r="AM35" i="2"/>
  <c r="AN35" i="2"/>
  <c r="AP35" i="2"/>
  <c r="AW21" i="2" l="1"/>
  <c r="AY21" i="2"/>
  <c r="AZ53" i="2"/>
  <c r="AZ27" i="2"/>
  <c r="AZ54" i="2" s="1"/>
  <c r="AT21" i="2"/>
  <c r="AU53" i="2"/>
  <c r="AU21" i="2"/>
  <c r="AX21" i="2"/>
  <c r="AU27" i="2"/>
  <c r="AU54" i="2" s="1"/>
  <c r="AV27" i="2"/>
  <c r="AV54" i="2" s="1"/>
  <c r="AV21" i="2"/>
  <c r="AY27" i="2"/>
  <c r="AX27" i="2"/>
  <c r="AX54" i="2" s="1"/>
  <c r="AT27" i="2"/>
  <c r="AT54" i="2" s="1"/>
  <c r="AW27" i="2"/>
  <c r="AW54" i="2" s="1"/>
  <c r="AM29" i="2"/>
  <c r="AM30" i="2" s="1"/>
  <c r="AM31" i="2" s="1"/>
  <c r="AM32" i="2" s="1"/>
  <c r="AM54" i="2"/>
  <c r="AO21" i="2"/>
  <c r="AM21" i="2"/>
  <c r="AR21" i="2"/>
  <c r="AQ21" i="2"/>
  <c r="AP27" i="2"/>
  <c r="AP54" i="2" s="1"/>
  <c r="AP21" i="2"/>
  <c r="AM57" i="2" l="1"/>
  <c r="AN28" i="2" s="1"/>
  <c r="AN29" i="2" s="1"/>
  <c r="AN30" i="2" s="1"/>
  <c r="AN31" i="2" s="1"/>
  <c r="AY54" i="2"/>
  <c r="BC27" i="2"/>
  <c r="BD27" i="2" s="1"/>
  <c r="AN32" i="2" l="1"/>
  <c r="AN57" i="2"/>
  <c r="AO28" i="2" l="1"/>
  <c r="AO29" i="2" s="1"/>
  <c r="AO30" i="2" l="1"/>
  <c r="AO31" i="2" s="1"/>
  <c r="AO32" i="2" l="1"/>
  <c r="AO57" i="2"/>
  <c r="AP28" i="2" l="1"/>
  <c r="AP29" i="2" s="1"/>
  <c r="AP30" i="2" l="1"/>
  <c r="AP31" i="2" s="1"/>
  <c r="AP32" i="2" l="1"/>
  <c r="AP57" i="2"/>
  <c r="AQ28" i="2" l="1"/>
  <c r="AQ29" i="2" s="1"/>
  <c r="AQ30" i="2" l="1"/>
  <c r="AQ31" i="2" s="1"/>
  <c r="AQ32" i="2" l="1"/>
  <c r="AQ57" i="2"/>
  <c r="AR28" i="2" l="1"/>
  <c r="AR29" i="2" s="1"/>
  <c r="AR30" i="2" l="1"/>
  <c r="AR31" i="2" s="1"/>
  <c r="AR32" i="2" l="1"/>
  <c r="AR57" i="2"/>
  <c r="AS28" i="2" l="1"/>
  <c r="AS29" i="2" s="1"/>
  <c r="AS30" i="2" l="1"/>
  <c r="AS31" i="2" s="1"/>
  <c r="AS32" i="2" l="1"/>
  <c r="AS57" i="2"/>
  <c r="AT28" i="2" l="1"/>
  <c r="AT29" i="2" s="1"/>
  <c r="AT30" i="2" l="1"/>
  <c r="AT31" i="2" s="1"/>
  <c r="AT32" i="2" l="1"/>
  <c r="AT57" i="2"/>
  <c r="AU28" i="2" l="1"/>
  <c r="AU29" i="2" s="1"/>
  <c r="AU30" i="2" l="1"/>
  <c r="AU31" i="2" s="1"/>
  <c r="AU32" i="2" l="1"/>
  <c r="AU57" i="2"/>
  <c r="AV28" i="2" l="1"/>
  <c r="AV29" i="2" s="1"/>
  <c r="AV30" i="2" l="1"/>
  <c r="AV31" i="2" s="1"/>
  <c r="AV32" i="2" l="1"/>
  <c r="AV57" i="2"/>
  <c r="AW28" i="2" l="1"/>
  <c r="AW29" i="2" s="1"/>
  <c r="AW30" i="2" l="1"/>
  <c r="AW31" i="2" s="1"/>
  <c r="AW32" i="2" l="1"/>
  <c r="AW57" i="2"/>
  <c r="AX28" i="2" l="1"/>
  <c r="AX29" i="2" s="1"/>
  <c r="AX30" i="2" l="1"/>
  <c r="AX31" i="2" s="1"/>
  <c r="AX32" i="2" l="1"/>
  <c r="AX57" i="2"/>
  <c r="AY28" i="2" l="1"/>
  <c r="AY29" i="2" s="1"/>
  <c r="AY30" i="2" l="1"/>
  <c r="AY31" i="2" s="1"/>
  <c r="AY32" i="2" l="1"/>
  <c r="AY57" i="2"/>
  <c r="AZ28" i="2" l="1"/>
  <c r="AZ29" i="2" s="1"/>
  <c r="AZ30" i="2" l="1"/>
  <c r="AZ31" i="2" s="1"/>
  <c r="BA31" i="2" l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BC36" i="2" s="1"/>
  <c r="BC38" i="2" s="1"/>
  <c r="AZ32" i="2"/>
  <c r="AZ57" i="2"/>
  <c r="BC39" i="2" l="1"/>
</calcChain>
</file>

<file path=xl/comments1.xml><?xml version="1.0" encoding="utf-8"?>
<comments xmlns="http://schemas.openxmlformats.org/spreadsheetml/2006/main">
  <authors>
    <author>Martin Shkreli</author>
  </authors>
  <commentList>
    <comment ref="Z7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In Q116 guided to +2.5m incremental members - below my expectation of +6m</t>
        </r>
      </text>
    </comment>
  </commentList>
</comments>
</file>

<file path=xl/sharedStrings.xml><?xml version="1.0" encoding="utf-8"?>
<sst xmlns="http://schemas.openxmlformats.org/spreadsheetml/2006/main" count="209" uniqueCount="195">
  <si>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</si>
  <si>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</si>
  <si>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</si>
  <si>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</si>
  <si>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</si>
  <si>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</si>
  <si>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</si>
  <si>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</si>
  <si>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</si>
  <si>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</si>
  <si>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</si>
  <si>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</si>
  <si>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</si>
  <si>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</si>
  <si>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</si>
  <si>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</si>
  <si>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</si>
  <si>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</si>
  <si>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</si>
  <si>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</si>
  <si>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Q113</t>
  </si>
  <si>
    <t>Q213</t>
  </si>
  <si>
    <t>Q313</t>
  </si>
  <si>
    <t>Q413</t>
  </si>
  <si>
    <t>COGS</t>
  </si>
  <si>
    <t>Gross Profit</t>
  </si>
  <si>
    <t>Marketing</t>
  </si>
  <si>
    <t>R&amp;D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</si>
  <si>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</si>
  <si>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</si>
  <si>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</si>
  <si>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</si>
  <si>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</si>
  <si>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</si>
  <si>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</si>
  <si>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</si>
  <si>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 Y/Y</t>
  </si>
  <si>
    <t>Gross Margin</t>
  </si>
  <si>
    <t>Marketing Y/Y</t>
  </si>
  <si>
    <t>R&amp;D Y/Y</t>
  </si>
  <si>
    <t>G&amp;A Y/Y</t>
  </si>
  <si>
    <t>Operating Expenses Y/Y</t>
  </si>
  <si>
    <t>Operating Margin</t>
  </si>
  <si>
    <t>Model NI</t>
  </si>
  <si>
    <t>Content</t>
  </si>
  <si>
    <t>Assets</t>
  </si>
  <si>
    <t>L+S/E</t>
  </si>
  <si>
    <t>Liabilities</t>
  </si>
  <si>
    <t>Net Cash</t>
  </si>
  <si>
    <t>PP&amp;E</t>
  </si>
  <si>
    <t>OLTA</t>
  </si>
  <si>
    <t>OCA</t>
  </si>
  <si>
    <t>A/P</t>
  </si>
  <si>
    <t>A/E</t>
  </si>
  <si>
    <t>D/R</t>
  </si>
  <si>
    <t>ONCL</t>
  </si>
  <si>
    <t>Reported NI</t>
  </si>
  <si>
    <t>Library Additions</t>
  </si>
  <si>
    <t>Change in Content Liabilities</t>
  </si>
  <si>
    <t>Amort of Library</t>
  </si>
  <si>
    <t>D&amp;A</t>
  </si>
  <si>
    <t>SBC</t>
  </si>
  <si>
    <t>SBC Tax</t>
  </si>
  <si>
    <t>Other</t>
  </si>
  <si>
    <t>D/T</t>
  </si>
  <si>
    <t>Amort of DVD</t>
  </si>
  <si>
    <t>ONCAL</t>
  </si>
  <si>
    <t>CFFO</t>
  </si>
  <si>
    <t>Acquisition of DVD Content</t>
  </si>
  <si>
    <t>CapEx</t>
  </si>
  <si>
    <t>CFFI</t>
  </si>
  <si>
    <t>OA</t>
  </si>
  <si>
    <t>Purchase of ST</t>
  </si>
  <si>
    <t>Sale of ST</t>
  </si>
  <si>
    <t>Maturities of ST</t>
  </si>
  <si>
    <t>Change in Cash</t>
  </si>
  <si>
    <t>FX</t>
  </si>
  <si>
    <t>CFFF</t>
  </si>
  <si>
    <t>Lease</t>
  </si>
  <si>
    <t>Tax SBC</t>
  </si>
  <si>
    <t>Stock Issuance</t>
  </si>
  <si>
    <t>S/E</t>
  </si>
  <si>
    <t>Change in NC from BS</t>
  </si>
  <si>
    <t>Model NI-SBC-DA+CapEx</t>
  </si>
  <si>
    <t>Issuance of Debt</t>
  </si>
  <si>
    <t>Streaming</t>
  </si>
  <si>
    <t>US</t>
  </si>
  <si>
    <t>International</t>
  </si>
  <si>
    <t>Global Paid Members</t>
  </si>
  <si>
    <t>US Paid Members</t>
  </si>
  <si>
    <t>Global Members Y/Y</t>
  </si>
  <si>
    <t>US Members Y/Y</t>
  </si>
  <si>
    <t>International Members Y/Y</t>
  </si>
  <si>
    <t>US Revenue Y/Y</t>
  </si>
  <si>
    <t>International Revenue Y/Y</t>
  </si>
  <si>
    <t>International Paid Members</t>
  </si>
  <si>
    <t>Global ARPU</t>
  </si>
  <si>
    <t>US ARPU</t>
  </si>
  <si>
    <t>International ARPU</t>
  </si>
  <si>
    <t>Country Launches</t>
  </si>
  <si>
    <t>Japan</t>
  </si>
  <si>
    <t>Spain</t>
  </si>
  <si>
    <t>Portugal</t>
  </si>
  <si>
    <t>Italy</t>
  </si>
  <si>
    <t>Population</t>
  </si>
  <si>
    <t>Date</t>
  </si>
  <si>
    <t>GDPPC</t>
  </si>
  <si>
    <t>Brazil</t>
  </si>
  <si>
    <t>Russia</t>
  </si>
  <si>
    <t>Germany</t>
  </si>
  <si>
    <t>Switzerland</t>
  </si>
  <si>
    <t>Poland</t>
  </si>
  <si>
    <t>Argentina</t>
  </si>
  <si>
    <t>Canada</t>
  </si>
  <si>
    <t>Mexico</t>
  </si>
  <si>
    <t>India</t>
  </si>
  <si>
    <t>UK</t>
  </si>
  <si>
    <t>American Equivalents</t>
  </si>
  <si>
    <t>Penetration</t>
  </si>
  <si>
    <t>Australia</t>
  </si>
  <si>
    <t>Indonesia</t>
  </si>
  <si>
    <t>Pakistan</t>
  </si>
  <si>
    <t>Nigeria</t>
  </si>
  <si>
    <t>Bangladesh</t>
  </si>
  <si>
    <t>Phillipines</t>
  </si>
  <si>
    <t>Ethiopia</t>
  </si>
  <si>
    <t>Vietnam</t>
  </si>
  <si>
    <t>Egypt</t>
  </si>
  <si>
    <t>Iran</t>
  </si>
  <si>
    <t>DR Congo</t>
  </si>
  <si>
    <t>Turkey</t>
  </si>
  <si>
    <t>Thailand</t>
  </si>
  <si>
    <t>France</t>
  </si>
  <si>
    <t>Tanzania</t>
  </si>
  <si>
    <t>South Africa</t>
  </si>
  <si>
    <t>Myanmar</t>
  </si>
  <si>
    <t>South Korea</t>
  </si>
  <si>
    <t>Colombia</t>
  </si>
  <si>
    <t>Kenya</t>
  </si>
  <si>
    <t>Ukraine</t>
  </si>
  <si>
    <t>Algeria</t>
  </si>
  <si>
    <t>Non-Streaming</t>
  </si>
  <si>
    <t>Maturity</t>
  </si>
  <si>
    <t>Discount</t>
  </si>
  <si>
    <t>NPV</t>
  </si>
  <si>
    <t>ROIC</t>
  </si>
  <si>
    <t>Share</t>
  </si>
  <si>
    <t>Current</t>
  </si>
  <si>
    <t>Sudan</t>
  </si>
  <si>
    <t>Uganda</t>
  </si>
  <si>
    <t>Iraq</t>
  </si>
  <si>
    <t>Morocco</t>
  </si>
  <si>
    <t>Afghanistan</t>
  </si>
  <si>
    <t>Saudi Arabia</t>
  </si>
  <si>
    <t>Peru</t>
  </si>
  <si>
    <t>Venezuela</t>
  </si>
  <si>
    <t>Malaysia</t>
  </si>
  <si>
    <t>Uzbekistan</t>
  </si>
  <si>
    <t>Nepal</t>
  </si>
  <si>
    <t>Mozambique</t>
  </si>
  <si>
    <t>Ghana</t>
  </si>
  <si>
    <t>Yemen</t>
  </si>
  <si>
    <t>Angola</t>
  </si>
  <si>
    <t>Madagascar</t>
  </si>
  <si>
    <t>Cameroon</t>
  </si>
  <si>
    <t>Taiwan</t>
  </si>
  <si>
    <t>Q112</t>
  </si>
  <si>
    <t>Q212</t>
  </si>
  <si>
    <t>Q312</t>
  </si>
  <si>
    <t>Q412</t>
  </si>
  <si>
    <t>Q411</t>
  </si>
  <si>
    <t>Global ARPU Y/Y</t>
  </si>
  <si>
    <t>US ARPU Y/Y</t>
  </si>
  <si>
    <t>International ARPU Y/Y</t>
  </si>
  <si>
    <t>Domestic</t>
  </si>
  <si>
    <t>Q410</t>
  </si>
  <si>
    <t>Q409</t>
  </si>
  <si>
    <t>Q110</t>
  </si>
  <si>
    <t>Q210</t>
  </si>
  <si>
    <t>Q310</t>
  </si>
  <si>
    <t>US Penetration</t>
  </si>
  <si>
    <t>Facebook Overlap</t>
  </si>
  <si>
    <t xml:space="preserve"> </t>
  </si>
  <si>
    <t>Cable Television</t>
  </si>
  <si>
    <t>Comcast</t>
  </si>
  <si>
    <t>Time Warner</t>
  </si>
  <si>
    <t>Cablevision</t>
  </si>
  <si>
    <t>Charter</t>
  </si>
  <si>
    <t>DirectTV</t>
  </si>
  <si>
    <t>Mediacom</t>
  </si>
  <si>
    <t>Cox</t>
  </si>
  <si>
    <t>DISH</t>
  </si>
  <si>
    <t>Bright House</t>
  </si>
  <si>
    <t>Contribution Margin</t>
  </si>
  <si>
    <t>ADJUST FOR HOUSEHOLD INSTEAD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</si>
</sst>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0" fillId="0" borderId="0" xfId="0" applyNumberFormat="1"/>
    <xf numFmtId="9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Model!$H$9:$X$9</c:f>
              <c:numCache>
                <c:formatCode>#,##0</c:formatCode>
                <c:ptCount val="17"/>
                <c:pt idx="0">
                  <c:v>1860</c:v>
                </c:pt>
                <c:pt idx="1">
                  <c:v>3070</c:v>
                </c:pt>
                <c:pt idx="2">
                  <c:v>3620</c:v>
                </c:pt>
                <c:pt idx="3">
                  <c:v>4310</c:v>
                </c:pt>
                <c:pt idx="4">
                  <c:v>4890</c:v>
                </c:pt>
                <c:pt idx="5">
                  <c:v>6330</c:v>
                </c:pt>
                <c:pt idx="6">
                  <c:v>7010</c:v>
                </c:pt>
                <c:pt idx="7">
                  <c:v>8080</c:v>
                </c:pt>
                <c:pt idx="8">
                  <c:v>9720</c:v>
                </c:pt>
                <c:pt idx="9">
                  <c:v>11760</c:v>
                </c:pt>
                <c:pt idx="10">
                  <c:v>12910</c:v>
                </c:pt>
                <c:pt idx="11">
                  <c:v>14390</c:v>
                </c:pt>
                <c:pt idx="12">
                  <c:v>16780</c:v>
                </c:pt>
                <c:pt idx="13">
                  <c:v>19300</c:v>
                </c:pt>
                <c:pt idx="14">
                  <c:v>21650</c:v>
                </c:pt>
                <c:pt idx="15">
                  <c:v>23950</c:v>
                </c:pt>
                <c:pt idx="16">
                  <c:v>27440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5-41AE-AFA4-E5BA34C9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95352"/>
        <c:axId val="743622352"/>
      </c:lineChart>
      <c:catAx>
        <c:axId val="79699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22352"/>
        <c:crosses val="autoZero"/>
        <c:auto val="1"/>
        <c:lblAlgn val="ctr"/>
        <c:lblOffset val="100"/>
        <c:noMultiLvlLbl val="0"/>
      </c:catAx>
      <c:valAx>
        <c:axId val="7436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Model!$D$8:$X$8</c:f>
              <c:numCache>
                <c:formatCode>#,##0</c:formatCode>
                <c:ptCount val="21"/>
                <c:pt idx="0">
                  <c:v>13970</c:v>
                </c:pt>
                <c:pt idx="1">
                  <c:v>15000</c:v>
                </c:pt>
                <c:pt idx="2">
                  <c:v>16800</c:v>
                </c:pt>
                <c:pt idx="3">
                  <c:v>19500</c:v>
                </c:pt>
                <c:pt idx="4">
                  <c:v>20150</c:v>
                </c:pt>
                <c:pt idx="5">
                  <c:v>22020</c:v>
                </c:pt>
                <c:pt idx="6">
                  <c:v>22690</c:v>
                </c:pt>
                <c:pt idx="7">
                  <c:v>23800</c:v>
                </c:pt>
                <c:pt idx="8">
                  <c:v>25470</c:v>
                </c:pt>
                <c:pt idx="9">
                  <c:v>27910</c:v>
                </c:pt>
                <c:pt idx="10">
                  <c:v>28620</c:v>
                </c:pt>
                <c:pt idx="11">
                  <c:v>29930</c:v>
                </c:pt>
                <c:pt idx="12">
                  <c:v>31710</c:v>
                </c:pt>
                <c:pt idx="13">
                  <c:v>34380</c:v>
                </c:pt>
                <c:pt idx="14">
                  <c:v>35090</c:v>
                </c:pt>
                <c:pt idx="15">
                  <c:v>36270</c:v>
                </c:pt>
                <c:pt idx="16">
                  <c:v>37700</c:v>
                </c:pt>
                <c:pt idx="17">
                  <c:v>40320</c:v>
                </c:pt>
                <c:pt idx="18">
                  <c:v>41060</c:v>
                </c:pt>
                <c:pt idx="19">
                  <c:v>42070</c:v>
                </c:pt>
                <c:pt idx="20">
                  <c:v>43400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0-42DA-BCBE-DED348E5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25096"/>
        <c:axId val="743622744"/>
      </c:lineChart>
      <c:catAx>
        <c:axId val="74362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22744"/>
        <c:crosses val="autoZero"/>
        <c:auto val="1"/>
        <c:lblAlgn val="ctr"/>
        <c:lblOffset val="100"/>
        <c:noMultiLvlLbl val="0"/>
      </c:catAx>
      <c:valAx>
        <c:axId val="7436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2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47625</xdr:colOff>
      <xdr:row>0</xdr:row>
      <xdr:rowOff>0</xdr:rowOff>
    </xdr:from>
    <xdr:to>
      <xdr:col>37</xdr:col>
      <xdr:colOff>47625</xdr:colOff>
      <xdr:row>78</xdr:row>
      <xdr:rowOff>38100</xdr:rowOff>
    </xdr:to>
    <xdr:cxnSp macro="">
      <xdr:nvCxnSpPr>
        <xdr:cNvPr id="3" name="Straight Connector 2"/>
        <xdr:cNvCxnSpPr/>
      </xdr:nvCxnSpPr>
      <xdr:spPr>
        <a:xfrm>
          <a:off x="16830675" y="0"/>
          <a:ext cx="0" cy="7000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0</xdr:row>
      <xdr:rowOff>0</xdr:rowOff>
    </xdr:from>
    <xdr:to>
      <xdr:col>25</xdr:col>
      <xdr:colOff>47625</xdr:colOff>
      <xdr:row>118</xdr:row>
      <xdr:rowOff>0</xdr:rowOff>
    </xdr:to>
    <xdr:cxnSp macro="">
      <xdr:nvCxnSpPr>
        <xdr:cNvPr id="5" name="Straight Connector 4"/>
        <xdr:cNvCxnSpPr/>
      </xdr:nvCxnSpPr>
      <xdr:spPr>
        <a:xfrm>
          <a:off x="16068675" y="0"/>
          <a:ext cx="0" cy="19107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119</xdr:row>
      <xdr:rowOff>0</xdr:rowOff>
    </xdr:from>
    <xdr:to>
      <xdr:col>16</xdr:col>
      <xdr:colOff>361950</xdr:colOff>
      <xdr:row>135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47631</xdr:colOff>
      <xdr:row>138</xdr:row>
      <xdr:rowOff>38100</xdr:rowOff>
    </xdr:from>
    <xdr:to>
      <xdr:col>16</xdr:col>
      <xdr:colOff>352431</xdr:colOff>
      <xdr:row>155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abSelected="1" workbookViewId="0">
      <selection activeCell="K3" sqref="K3"/>
    </sheetView>
  </sheetViews>
  <sheetFormatPr defaultRowHeight="12.75" x14ac:dyDescent="0.2"/>
  <cols>
    <col min="2" max="2" width="18.85546875" customWidth="1"/>
    <col min="3" max="3" width="9.140625" style="13"/>
    <col min="4" max="4" width="12.140625" style="13" customWidth="1"/>
    <col min="5" max="5" width="9.140625" style="13"/>
    <col min="6" max="6" width="21" style="13" bestFit="1" customWidth="1"/>
    <col min="7" max="7" width="11.5703125" style="13" bestFit="1" customWidth="1"/>
  </cols>
  <sheetData>
    <row r="2" spans="2:12" x14ac:dyDescent="0.2">
      <c r="B2" t="s">
        <v>86</v>
      </c>
      <c r="D2" s="15">
        <v>318900</v>
      </c>
      <c r="E2" s="15">
        <v>54629</v>
      </c>
      <c r="F2" s="15">
        <v>67000</v>
      </c>
      <c r="G2" s="17">
        <f>+F2/D2</f>
        <v>0.2100972091564754</v>
      </c>
      <c r="J2" t="s">
        <v>0</v>
      </c>
      <c r="K2" s="1">
        <v>98.36</v>
      </c>
    </row>
    <row r="3" spans="2:12" x14ac:dyDescent="0.2">
      <c r="D3" s="15"/>
      <c r="E3" s="15"/>
      <c r="F3" s="15"/>
      <c r="J3" t="s">
        <v>1</v>
      </c>
      <c r="K3" s="2">
        <v>438</v>
      </c>
      <c r="L3" s="3" t="s">
        <v>16</v>
      </c>
    </row>
    <row r="4" spans="2:12" x14ac:dyDescent="0.2">
      <c r="B4" s="18" t="s">
        <v>99</v>
      </c>
      <c r="C4" s="19" t="s">
        <v>105</v>
      </c>
      <c r="D4" s="19" t="s">
        <v>104</v>
      </c>
      <c r="E4" s="19" t="s">
        <v>106</v>
      </c>
      <c r="F4" s="19" t="s">
        <v>117</v>
      </c>
      <c r="G4" s="19" t="s">
        <v>118</v>
      </c>
      <c r="J4" t="s">
        <v>2</v>
      </c>
      <c r="K4" s="2">
        <f>+K3*K2</f>
        <v>43081.68</v>
      </c>
      <c r="L4" s="3"/>
    </row>
    <row r="5" spans="2:12" x14ac:dyDescent="0.2">
      <c r="B5" t="s">
        <v>100</v>
      </c>
      <c r="C5" s="14">
        <v>42248</v>
      </c>
      <c r="D5" s="15">
        <v>127300</v>
      </c>
      <c r="E5" s="15">
        <v>36194.400000000001</v>
      </c>
      <c r="F5" s="15">
        <f t="shared" ref="F5:F8" si="0">E5/$E$2*D5*$G$2</f>
        <v>17720.12650733046</v>
      </c>
      <c r="G5" s="17">
        <f t="shared" ref="G5:G8" si="1">+F5/D5</f>
        <v>0.1391997368996894</v>
      </c>
      <c r="J5" t="s">
        <v>3</v>
      </c>
      <c r="K5" s="2">
        <v>2072</v>
      </c>
      <c r="L5" s="3" t="s">
        <v>16</v>
      </c>
    </row>
    <row r="6" spans="2:12" x14ac:dyDescent="0.2">
      <c r="B6" t="s">
        <v>101</v>
      </c>
      <c r="C6" s="14">
        <v>42278</v>
      </c>
      <c r="D6" s="15">
        <v>46770</v>
      </c>
      <c r="E6" s="15">
        <v>29767.4</v>
      </c>
      <c r="F6" s="15">
        <f t="shared" si="0"/>
        <v>5354.3321173370487</v>
      </c>
      <c r="G6" s="17">
        <f t="shared" si="1"/>
        <v>0.11448219194648383</v>
      </c>
      <c r="J6" t="s">
        <v>4</v>
      </c>
      <c r="K6" s="2">
        <v>2372</v>
      </c>
      <c r="L6" s="3" t="s">
        <v>16</v>
      </c>
    </row>
    <row r="7" spans="2:12" x14ac:dyDescent="0.2">
      <c r="B7" t="s">
        <v>102</v>
      </c>
      <c r="C7" s="14">
        <v>42278</v>
      </c>
      <c r="D7" s="15">
        <v>10460</v>
      </c>
      <c r="E7" s="15">
        <v>22132.2</v>
      </c>
      <c r="F7" s="15">
        <f t="shared" si="0"/>
        <v>890.33470708005268</v>
      </c>
      <c r="G7" s="17">
        <f t="shared" si="1"/>
        <v>8.5118040829832958E-2</v>
      </c>
      <c r="J7" t="s">
        <v>5</v>
      </c>
      <c r="K7" s="2">
        <f>+K4-K5+K6</f>
        <v>43381.68</v>
      </c>
    </row>
    <row r="8" spans="2:12" x14ac:dyDescent="0.2">
      <c r="B8" t="s">
        <v>103</v>
      </c>
      <c r="C8" s="14">
        <v>42278</v>
      </c>
      <c r="D8" s="15">
        <v>59830</v>
      </c>
      <c r="E8" s="15">
        <v>34908.5</v>
      </c>
      <c r="F8" s="15">
        <f t="shared" si="0"/>
        <v>8032.4350659528218</v>
      </c>
      <c r="G8" s="17">
        <f t="shared" si="1"/>
        <v>0.13425430496327631</v>
      </c>
    </row>
    <row r="9" spans="2:12" x14ac:dyDescent="0.2">
      <c r="B9" t="s">
        <v>107</v>
      </c>
      <c r="D9" s="15">
        <v>200400</v>
      </c>
      <c r="E9" s="15">
        <v>11384</v>
      </c>
      <c r="F9" s="15">
        <f t="shared" ref="F9:F58" si="2">E9/$E$2*D9*$G$2</f>
        <v>8773.8385190847002</v>
      </c>
      <c r="G9" s="17">
        <f t="shared" ref="G9:G18" si="3">+F9/D9</f>
        <v>4.3781629336749998E-2</v>
      </c>
      <c r="K9">
        <v>146000</v>
      </c>
    </row>
    <row r="10" spans="2:12" x14ac:dyDescent="0.2">
      <c r="B10" t="s">
        <v>108</v>
      </c>
      <c r="D10" s="15">
        <v>119900</v>
      </c>
      <c r="E10" s="15">
        <v>12735.9</v>
      </c>
      <c r="F10" s="15">
        <f t="shared" si="2"/>
        <v>5872.8087247964449</v>
      </c>
      <c r="G10" s="17">
        <f t="shared" si="3"/>
        <v>4.8980890115066261E-2</v>
      </c>
      <c r="K10" s="29">
        <f>K9/K4</f>
        <v>3.3889114816320998</v>
      </c>
    </row>
    <row r="11" spans="2:12" x14ac:dyDescent="0.2">
      <c r="B11" t="s">
        <v>109</v>
      </c>
      <c r="D11" s="15">
        <v>80219</v>
      </c>
      <c r="E11" s="15">
        <v>47821.9</v>
      </c>
      <c r="F11" s="15">
        <f t="shared" si="2"/>
        <v>14753.705273333226</v>
      </c>
      <c r="G11" s="17">
        <f t="shared" si="3"/>
        <v>0.18391784082740031</v>
      </c>
    </row>
    <row r="12" spans="2:12" x14ac:dyDescent="0.2">
      <c r="B12" t="s">
        <v>110</v>
      </c>
      <c r="D12" s="15">
        <v>8081</v>
      </c>
      <c r="E12" s="15">
        <v>85594.3</v>
      </c>
      <c r="F12" s="15">
        <f t="shared" si="2"/>
        <v>2660.1552546292755</v>
      </c>
      <c r="G12" s="17">
        <f t="shared" si="3"/>
        <v>0.32918639458350146</v>
      </c>
      <c r="J12" s="18" t="s">
        <v>183</v>
      </c>
    </row>
    <row r="13" spans="2:12" x14ac:dyDescent="0.2">
      <c r="B13" t="s">
        <v>111</v>
      </c>
      <c r="D13" s="15">
        <v>38530</v>
      </c>
      <c r="E13" s="15">
        <v>14342.9</v>
      </c>
      <c r="F13" s="15">
        <f t="shared" si="2"/>
        <v>2125.3624934455534</v>
      </c>
      <c r="G13" s="17">
        <f t="shared" si="3"/>
        <v>5.5161237826253658E-2</v>
      </c>
      <c r="J13" t="s">
        <v>184</v>
      </c>
    </row>
    <row r="14" spans="2:12" x14ac:dyDescent="0.2">
      <c r="B14" s="16" t="s">
        <v>112</v>
      </c>
      <c r="D14" s="15">
        <v>41450</v>
      </c>
      <c r="E14" s="15">
        <v>12509.5</v>
      </c>
      <c r="F14" s="15">
        <f t="shared" si="2"/>
        <v>1994.1669721710887</v>
      </c>
      <c r="G14" s="17">
        <f t="shared" si="3"/>
        <v>4.8110180269507564E-2</v>
      </c>
      <c r="J14" t="s">
        <v>185</v>
      </c>
    </row>
    <row r="15" spans="2:12" x14ac:dyDescent="0.2">
      <c r="B15" s="16" t="s">
        <v>113</v>
      </c>
      <c r="D15" s="15">
        <v>36286</v>
      </c>
      <c r="E15" s="15">
        <v>50235.4</v>
      </c>
      <c r="F15" s="15">
        <f t="shared" si="2"/>
        <v>7010.4515738969612</v>
      </c>
      <c r="G15" s="17">
        <f t="shared" si="3"/>
        <v>0.19319990006881335</v>
      </c>
      <c r="J15" t="s">
        <v>186</v>
      </c>
    </row>
    <row r="16" spans="2:12" x14ac:dyDescent="0.2">
      <c r="B16" s="16" t="s">
        <v>114</v>
      </c>
      <c r="D16" s="15">
        <v>122300</v>
      </c>
      <c r="E16" s="15">
        <v>10325.6</v>
      </c>
      <c r="F16" s="15">
        <f t="shared" si="2"/>
        <v>4856.6721439624434</v>
      </c>
      <c r="G16" s="17">
        <f t="shared" si="3"/>
        <v>3.971113772659398E-2</v>
      </c>
      <c r="J16" t="s">
        <v>187</v>
      </c>
    </row>
    <row r="17" spans="2:12" x14ac:dyDescent="0.2">
      <c r="B17" s="16" t="s">
        <v>115</v>
      </c>
      <c r="D17" s="15">
        <v>1252000</v>
      </c>
      <c r="E17" s="15">
        <v>1581.5</v>
      </c>
      <c r="F17" s="15">
        <f t="shared" si="2"/>
        <v>7615.0114009732779</v>
      </c>
      <c r="G17" s="17">
        <f t="shared" si="3"/>
        <v>6.0822774768157168E-3</v>
      </c>
      <c r="J17" t="s">
        <v>188</v>
      </c>
    </row>
    <row r="18" spans="2:12" x14ac:dyDescent="0.2">
      <c r="B18" s="16" t="s">
        <v>116</v>
      </c>
      <c r="D18" s="15">
        <v>52400</v>
      </c>
      <c r="E18" s="15">
        <v>46332</v>
      </c>
      <c r="F18" s="15">
        <f t="shared" si="2"/>
        <v>9337.0431836391235</v>
      </c>
      <c r="G18" s="17">
        <f t="shared" si="3"/>
        <v>0.17818784701601381</v>
      </c>
      <c r="J18" t="s">
        <v>189</v>
      </c>
    </row>
    <row r="19" spans="2:12" x14ac:dyDescent="0.2">
      <c r="B19" s="16" t="s">
        <v>119</v>
      </c>
      <c r="D19" s="15">
        <v>23130</v>
      </c>
      <c r="E19" s="15">
        <v>61925.5</v>
      </c>
      <c r="F19" s="15">
        <f t="shared" si="2"/>
        <v>5508.6120449500231</v>
      </c>
      <c r="G19" s="17">
        <f t="shared" ref="G19" si="4">+F19/D19</f>
        <v>0.23815875680717782</v>
      </c>
      <c r="J19" t="s">
        <v>190</v>
      </c>
    </row>
    <row r="20" spans="2:12" x14ac:dyDescent="0.2">
      <c r="B20" s="16" t="s">
        <v>120</v>
      </c>
      <c r="D20" s="15">
        <v>260581</v>
      </c>
      <c r="E20" s="15">
        <v>3491</v>
      </c>
      <c r="F20" s="15">
        <f t="shared" si="2"/>
        <v>3498.5624291032136</v>
      </c>
      <c r="G20" s="17">
        <f t="shared" ref="G20:G24" si="5">+F20/D20</f>
        <v>1.3426007380059227E-2</v>
      </c>
      <c r="J20" t="s">
        <v>191</v>
      </c>
    </row>
    <row r="21" spans="2:12" x14ac:dyDescent="0.2">
      <c r="B21" s="16" t="s">
        <v>121</v>
      </c>
      <c r="D21" s="15">
        <v>192826</v>
      </c>
      <c r="E21" s="15">
        <v>1316</v>
      </c>
      <c r="F21" s="15">
        <f t="shared" si="2"/>
        <v>975.92965384490628</v>
      </c>
      <c r="G21" s="17">
        <f t="shared" si="5"/>
        <v>5.0611932718871225E-3</v>
      </c>
      <c r="J21" t="s">
        <v>192</v>
      </c>
    </row>
    <row r="22" spans="2:12" x14ac:dyDescent="0.2">
      <c r="B22" s="16" t="s">
        <v>122</v>
      </c>
      <c r="D22" s="15">
        <v>186987</v>
      </c>
      <c r="E22" s="15">
        <v>3203</v>
      </c>
      <c r="F22" s="15">
        <f t="shared" si="2"/>
        <v>2303.3789060001022</v>
      </c>
      <c r="G22" s="17">
        <f t="shared" si="5"/>
        <v>1.2318390615390921E-2</v>
      </c>
    </row>
    <row r="23" spans="2:12" x14ac:dyDescent="0.2">
      <c r="B23" s="16" t="s">
        <v>123</v>
      </c>
      <c r="D23" s="15">
        <v>162910</v>
      </c>
      <c r="E23" s="15">
        <v>1086</v>
      </c>
      <c r="F23" s="15">
        <f t="shared" si="2"/>
        <v>680.41613189401244</v>
      </c>
      <c r="G23" s="17">
        <f t="shared" si="5"/>
        <v>4.1766382167700723E-3</v>
      </c>
    </row>
    <row r="24" spans="2:12" x14ac:dyDescent="0.2">
      <c r="B24" s="16" t="s">
        <v>124</v>
      </c>
      <c r="D24" s="15">
        <v>102250</v>
      </c>
      <c r="E24" s="15">
        <v>2872</v>
      </c>
      <c r="F24" s="15">
        <f t="shared" si="2"/>
        <v>1129.3922025903616</v>
      </c>
      <c r="G24" s="17">
        <f t="shared" si="5"/>
        <v>1.1045400514331165E-2</v>
      </c>
      <c r="J24">
        <v>1978</v>
      </c>
      <c r="K24">
        <v>1990</v>
      </c>
    </row>
    <row r="25" spans="2:12" x14ac:dyDescent="0.2">
      <c r="B25" s="16" t="s">
        <v>125</v>
      </c>
      <c r="D25" s="15">
        <v>101853</v>
      </c>
      <c r="E25" s="15">
        <v>573.6</v>
      </c>
      <c r="F25" s="15">
        <f t="shared" si="2"/>
        <v>224.6880632440907</v>
      </c>
      <c r="G25" s="17">
        <f t="shared" ref="G25" si="6">+F25/D25</f>
        <v>2.2060033896310438E-3</v>
      </c>
      <c r="J25" s="29">
        <v>0.18</v>
      </c>
      <c r="K25" s="29">
        <v>0.6</v>
      </c>
    </row>
    <row r="26" spans="2:12" x14ac:dyDescent="0.2">
      <c r="B26" s="16" t="s">
        <v>126</v>
      </c>
      <c r="D26" s="15">
        <v>94444</v>
      </c>
      <c r="E26" s="15">
        <v>2052.3000000000002</v>
      </c>
      <c r="F26" s="15">
        <f t="shared" si="2"/>
        <v>745.43924018592054</v>
      </c>
      <c r="G26" s="17">
        <f t="shared" ref="G26:G27" si="7">+F26/D26</f>
        <v>7.8929232157248803E-3</v>
      </c>
    </row>
    <row r="27" spans="2:12" x14ac:dyDescent="0.2">
      <c r="B27" s="16" t="s">
        <v>127</v>
      </c>
      <c r="D27" s="15">
        <v>93383</v>
      </c>
      <c r="E27" s="15">
        <v>3198</v>
      </c>
      <c r="F27" s="15">
        <f t="shared" si="2"/>
        <v>1148.5325663867898</v>
      </c>
      <c r="G27" s="17">
        <f t="shared" si="7"/>
        <v>1.2299161157670987E-2</v>
      </c>
      <c r="J27">
        <v>18</v>
      </c>
      <c r="K27">
        <v>60</v>
      </c>
      <c r="L27" s="29">
        <f>RATE(12,0,-J27,K27)</f>
        <v>0.1055368642991899</v>
      </c>
    </row>
    <row r="28" spans="2:12" x14ac:dyDescent="0.2">
      <c r="B28" s="16" t="s">
        <v>128</v>
      </c>
      <c r="D28" s="15">
        <v>80043</v>
      </c>
      <c r="E28" s="15">
        <v>5442</v>
      </c>
      <c r="F28" s="15">
        <f t="shared" si="2"/>
        <v>1675.247304286899</v>
      </c>
      <c r="G28" s="17">
        <f t="shared" ref="G28" si="8">+F28/D28</f>
        <v>2.0929341782378208E-2</v>
      </c>
    </row>
    <row r="29" spans="2:12" x14ac:dyDescent="0.2">
      <c r="B29" s="16" t="s">
        <v>129</v>
      </c>
      <c r="D29" s="15">
        <v>79722</v>
      </c>
      <c r="E29" s="15">
        <v>442</v>
      </c>
      <c r="F29" s="15">
        <f t="shared" si="2"/>
        <v>135.51815722602754</v>
      </c>
      <c r="G29" s="17">
        <f t="shared" ref="G29" si="9">+F29/D29</f>
        <v>1.6998840624423313E-3</v>
      </c>
    </row>
    <row r="30" spans="2:12" x14ac:dyDescent="0.2">
      <c r="B30" s="16" t="s">
        <v>130</v>
      </c>
      <c r="D30" s="15">
        <v>79622</v>
      </c>
      <c r="E30" s="15">
        <v>10515</v>
      </c>
      <c r="F30" s="15">
        <f t="shared" si="2"/>
        <v>3219.8778170588726</v>
      </c>
      <c r="G30" s="17">
        <f t="shared" ref="G30:G58" si="10">+F30/D30</f>
        <v>4.0439549585025152E-2</v>
      </c>
    </row>
    <row r="31" spans="2:12" x14ac:dyDescent="0.2">
      <c r="B31" s="16" t="s">
        <v>131</v>
      </c>
      <c r="D31" s="15">
        <v>68146</v>
      </c>
      <c r="E31" s="15">
        <v>5997</v>
      </c>
      <c r="F31" s="15">
        <f t="shared" si="2"/>
        <v>1571.7065045638308</v>
      </c>
      <c r="G31" s="17">
        <f t="shared" si="10"/>
        <v>2.3063811589291092E-2</v>
      </c>
    </row>
    <row r="32" spans="2:12" x14ac:dyDescent="0.2">
      <c r="B32" s="16" t="s">
        <v>132</v>
      </c>
      <c r="D32" s="15">
        <v>64668</v>
      </c>
      <c r="E32" s="15">
        <v>42732</v>
      </c>
      <c r="F32" s="15">
        <f t="shared" si="2"/>
        <v>10627.709679111955</v>
      </c>
      <c r="G32" s="17">
        <f t="shared" si="10"/>
        <v>0.16434263745765998</v>
      </c>
    </row>
    <row r="33" spans="2:7" x14ac:dyDescent="0.2">
      <c r="B33" s="16" t="s">
        <v>133</v>
      </c>
      <c r="D33" s="15">
        <v>55155</v>
      </c>
      <c r="E33" s="15">
        <v>955</v>
      </c>
      <c r="F33" s="15">
        <f t="shared" si="2"/>
        <v>202.57474144372512</v>
      </c>
      <c r="G33" s="17">
        <f t="shared" si="10"/>
        <v>3.6728264245077529E-3</v>
      </c>
    </row>
    <row r="34" spans="2:7" x14ac:dyDescent="0.2">
      <c r="B34" s="16" t="s">
        <v>134</v>
      </c>
      <c r="D34" s="15">
        <v>54978</v>
      </c>
      <c r="E34" s="15">
        <v>6482</v>
      </c>
      <c r="F34" s="15">
        <f t="shared" si="2"/>
        <v>1370.550354829129</v>
      </c>
      <c r="G34" s="17">
        <f t="shared" si="10"/>
        <v>2.4929068988124869E-2</v>
      </c>
    </row>
    <row r="35" spans="2:7" x14ac:dyDescent="0.2">
      <c r="B35" s="16" t="s">
        <v>135</v>
      </c>
      <c r="D35" s="15">
        <v>54363</v>
      </c>
      <c r="E35" s="15">
        <v>1203</v>
      </c>
      <c r="F35" s="15">
        <f t="shared" si="2"/>
        <v>251.51626501294709</v>
      </c>
      <c r="G35" s="17">
        <f t="shared" si="10"/>
        <v>4.6266075274165718E-3</v>
      </c>
    </row>
    <row r="36" spans="2:7" x14ac:dyDescent="0.2">
      <c r="B36" s="16" t="s">
        <v>136</v>
      </c>
      <c r="D36" s="15">
        <v>50503</v>
      </c>
      <c r="E36" s="15">
        <v>27970</v>
      </c>
      <c r="F36" s="15">
        <f t="shared" si="2"/>
        <v>5432.5868262681815</v>
      </c>
      <c r="G36" s="17">
        <f t="shared" si="10"/>
        <v>0.10756958648532129</v>
      </c>
    </row>
    <row r="37" spans="2:7" x14ac:dyDescent="0.2">
      <c r="B37" s="16" t="s">
        <v>137</v>
      </c>
      <c r="D37" s="15">
        <v>48654</v>
      </c>
      <c r="E37" s="15">
        <v>7903</v>
      </c>
      <c r="F37" s="15">
        <f t="shared" si="2"/>
        <v>1478.7936107526443</v>
      </c>
      <c r="G37" s="17">
        <f t="shared" si="10"/>
        <v>3.0394080872130642E-2</v>
      </c>
    </row>
    <row r="38" spans="2:7" x14ac:dyDescent="0.2">
      <c r="B38" s="16" t="s">
        <v>138</v>
      </c>
      <c r="D38" s="15">
        <v>47251</v>
      </c>
      <c r="E38" s="15">
        <v>1358</v>
      </c>
      <c r="F38" s="15">
        <f t="shared" si="2"/>
        <v>246.77877658642583</v>
      </c>
      <c r="G38" s="17">
        <f t="shared" si="10"/>
        <v>5.2227207167345841E-3</v>
      </c>
    </row>
    <row r="39" spans="2:7" x14ac:dyDescent="0.2">
      <c r="B39" s="16" t="s">
        <v>139</v>
      </c>
      <c r="D39" s="15">
        <v>44624</v>
      </c>
      <c r="E39" s="15">
        <v>3082</v>
      </c>
      <c r="F39" s="15">
        <f t="shared" si="2"/>
        <v>528.92995604587963</v>
      </c>
      <c r="G39" s="17">
        <f t="shared" si="10"/>
        <v>1.1853037738568476E-2</v>
      </c>
    </row>
    <row r="40" spans="2:7" x14ac:dyDescent="0.2">
      <c r="B40" s="16" t="s">
        <v>140</v>
      </c>
      <c r="D40" s="15">
        <v>40375</v>
      </c>
      <c r="E40" s="15">
        <v>5484</v>
      </c>
      <c r="F40" s="15">
        <f t="shared" si="2"/>
        <v>851.54384504923632</v>
      </c>
      <c r="G40" s="17">
        <f t="shared" si="10"/>
        <v>2.1090869227225667E-2</v>
      </c>
    </row>
    <row r="41" spans="2:7" x14ac:dyDescent="0.2">
      <c r="B41" s="16" t="s">
        <v>148</v>
      </c>
      <c r="D41" s="15">
        <v>41175</v>
      </c>
      <c r="E41" s="15">
        <v>1875</v>
      </c>
      <c r="F41" s="15">
        <f t="shared" si="2"/>
        <v>296.91484560688491</v>
      </c>
      <c r="G41" s="17">
        <f t="shared" si="10"/>
        <v>7.2110466449759542E-3</v>
      </c>
    </row>
    <row r="42" spans="2:7" x14ac:dyDescent="0.2">
      <c r="B42" s="16" t="s">
        <v>149</v>
      </c>
      <c r="D42" s="15">
        <v>40322</v>
      </c>
      <c r="E42" s="15">
        <v>714</v>
      </c>
      <c r="F42" s="15">
        <f t="shared" si="2"/>
        <v>110.72286372936874</v>
      </c>
      <c r="G42" s="17">
        <f t="shared" si="10"/>
        <v>2.7459665624068436E-3</v>
      </c>
    </row>
    <row r="43" spans="2:7" x14ac:dyDescent="0.2">
      <c r="B43" s="16" t="s">
        <v>150</v>
      </c>
      <c r="D43" s="15">
        <v>37547</v>
      </c>
      <c r="E43" s="15">
        <v>6420</v>
      </c>
      <c r="F43" s="15">
        <f t="shared" si="2"/>
        <v>927.05884852939528</v>
      </c>
      <c r="G43" s="17">
        <f t="shared" si="10"/>
        <v>2.469062371239767E-2</v>
      </c>
    </row>
    <row r="44" spans="2:7" x14ac:dyDescent="0.2">
      <c r="B44" s="16" t="s">
        <v>151</v>
      </c>
      <c r="D44" s="15">
        <v>34817</v>
      </c>
      <c r="E44" s="15">
        <v>3190</v>
      </c>
      <c r="F44" s="15">
        <f t="shared" si="2"/>
        <v>427.14867477953476</v>
      </c>
      <c r="G44" s="17">
        <f t="shared" si="10"/>
        <v>1.2268394025319091E-2</v>
      </c>
    </row>
    <row r="45" spans="2:7" x14ac:dyDescent="0.2">
      <c r="B45" s="16" t="s">
        <v>152</v>
      </c>
      <c r="D45" s="15">
        <v>33369</v>
      </c>
      <c r="E45" s="15">
        <v>633</v>
      </c>
      <c r="F45" s="15">
        <f t="shared" si="2"/>
        <v>81.235140271517992</v>
      </c>
      <c r="G45" s="17">
        <f t="shared" si="10"/>
        <v>2.4344493473438819E-3</v>
      </c>
    </row>
    <row r="46" spans="2:7" x14ac:dyDescent="0.2">
      <c r="B46" s="16" t="s">
        <v>153</v>
      </c>
      <c r="D46" s="15">
        <v>32157</v>
      </c>
      <c r="E46" s="15">
        <v>24161</v>
      </c>
      <c r="F46" s="15">
        <f t="shared" si="2"/>
        <v>2988.0472709550736</v>
      </c>
      <c r="G46" s="17">
        <f t="shared" si="10"/>
        <v>9.2920585594274144E-2</v>
      </c>
    </row>
    <row r="47" spans="2:7" x14ac:dyDescent="0.2">
      <c r="B47" s="16" t="s">
        <v>154</v>
      </c>
      <c r="D47" s="15">
        <v>31774</v>
      </c>
      <c r="E47" s="15">
        <v>6541</v>
      </c>
      <c r="F47" s="15">
        <f t="shared" si="2"/>
        <v>799.30600014587992</v>
      </c>
      <c r="G47" s="17">
        <f t="shared" si="10"/>
        <v>2.5155976589220114E-2</v>
      </c>
    </row>
    <row r="48" spans="2:7" x14ac:dyDescent="0.2">
      <c r="B48" s="16" t="s">
        <v>155</v>
      </c>
      <c r="D48" s="15">
        <v>31518</v>
      </c>
      <c r="E48" s="15">
        <v>5000</v>
      </c>
      <c r="F48" s="15">
        <f t="shared" si="2"/>
        <v>606.07404841693892</v>
      </c>
      <c r="G48" s="17">
        <f t="shared" si="10"/>
        <v>1.9229457719935877E-2</v>
      </c>
    </row>
    <row r="49" spans="2:7" x14ac:dyDescent="0.2">
      <c r="B49" s="16" t="s">
        <v>156</v>
      </c>
      <c r="D49" s="15">
        <v>30751</v>
      </c>
      <c r="E49" s="15">
        <v>11307</v>
      </c>
      <c r="F49" s="15">
        <f t="shared" si="2"/>
        <v>1337.2224778974748</v>
      </c>
      <c r="G49" s="17">
        <f t="shared" si="10"/>
        <v>4.3485495687862995E-2</v>
      </c>
    </row>
    <row r="50" spans="2:7" x14ac:dyDescent="0.2">
      <c r="B50" s="16" t="s">
        <v>157</v>
      </c>
      <c r="D50" s="15">
        <v>30300</v>
      </c>
      <c r="E50" s="15">
        <v>2036</v>
      </c>
      <c r="F50" s="15">
        <f t="shared" si="2"/>
        <v>237.25612606180405</v>
      </c>
      <c r="G50" s="17">
        <f t="shared" si="10"/>
        <v>7.830235183557889E-3</v>
      </c>
    </row>
    <row r="51" spans="2:7" x14ac:dyDescent="0.2">
      <c r="B51" s="16" t="s">
        <v>158</v>
      </c>
      <c r="D51" s="15">
        <v>28850</v>
      </c>
      <c r="E51" s="15">
        <v>701</v>
      </c>
      <c r="F51" s="15">
        <f t="shared" si="2"/>
        <v>77.778733701865036</v>
      </c>
      <c r="G51" s="17">
        <f t="shared" si="10"/>
        <v>2.6959699723350101E-3</v>
      </c>
    </row>
    <row r="52" spans="2:7" x14ac:dyDescent="0.2">
      <c r="B52" s="16" t="s">
        <v>159</v>
      </c>
      <c r="D52" s="15">
        <v>28751</v>
      </c>
      <c r="E52" s="15">
        <v>585</v>
      </c>
      <c r="F52" s="15">
        <f t="shared" si="2"/>
        <v>64.685338251987531</v>
      </c>
      <c r="G52" s="17">
        <f t="shared" si="10"/>
        <v>2.2498465532324974E-3</v>
      </c>
    </row>
    <row r="53" spans="2:7" x14ac:dyDescent="0.2">
      <c r="B53" s="16" t="s">
        <v>160</v>
      </c>
      <c r="D53" s="15">
        <v>28033</v>
      </c>
      <c r="E53" s="15">
        <v>1441</v>
      </c>
      <c r="F53" s="15">
        <f t="shared" si="2"/>
        <v>155.35691569738577</v>
      </c>
      <c r="G53" s="17">
        <f t="shared" si="10"/>
        <v>5.5419297148855198E-3</v>
      </c>
    </row>
    <row r="54" spans="2:7" x14ac:dyDescent="0.2">
      <c r="B54" s="16" t="s">
        <v>161</v>
      </c>
      <c r="D54" s="15">
        <v>27477</v>
      </c>
      <c r="E54" s="15">
        <v>1408</v>
      </c>
      <c r="F54" s="15">
        <f t="shared" si="2"/>
        <v>148.78837523142295</v>
      </c>
      <c r="G54" s="17">
        <f t="shared" si="10"/>
        <v>5.4150152939339427E-3</v>
      </c>
    </row>
    <row r="55" spans="2:7" x14ac:dyDescent="0.2">
      <c r="B55" s="16" t="s">
        <v>162</v>
      </c>
      <c r="D55" s="15">
        <v>25830</v>
      </c>
      <c r="E55" s="15">
        <v>5900</v>
      </c>
      <c r="F55" s="15">
        <f t="shared" si="2"/>
        <v>586.10233362901351</v>
      </c>
      <c r="G55" s="17">
        <f t="shared" si="10"/>
        <v>2.2690760109524331E-2</v>
      </c>
    </row>
    <row r="56" spans="2:7" x14ac:dyDescent="0.2">
      <c r="B56" s="16" t="s">
        <v>163</v>
      </c>
      <c r="D56" s="15">
        <v>22920</v>
      </c>
      <c r="E56" s="15">
        <v>449</v>
      </c>
      <c r="F56" s="15">
        <f t="shared" si="2"/>
        <v>39.578377550495539</v>
      </c>
      <c r="G56" s="17">
        <f t="shared" si="10"/>
        <v>1.7268053032502416E-3</v>
      </c>
    </row>
    <row r="57" spans="2:7" x14ac:dyDescent="0.2">
      <c r="B57" s="16" t="s">
        <v>164</v>
      </c>
      <c r="D57" s="15">
        <v>22250</v>
      </c>
      <c r="E57" s="15">
        <v>1407</v>
      </c>
      <c r="F57" s="15">
        <f t="shared" si="2"/>
        <v>120.39851920317652</v>
      </c>
      <c r="G57" s="17">
        <f t="shared" si="10"/>
        <v>5.411169402389956E-3</v>
      </c>
    </row>
    <row r="58" spans="2:7" x14ac:dyDescent="0.2">
      <c r="B58" s="16" t="s">
        <v>165</v>
      </c>
      <c r="D58" s="15">
        <v>23480</v>
      </c>
      <c r="E58" s="15">
        <v>31900</v>
      </c>
      <c r="F58" s="15">
        <f t="shared" si="2"/>
        <v>2880.6189171449223</v>
      </c>
      <c r="G58" s="17">
        <f t="shared" si="10"/>
        <v>0.1226839402531909</v>
      </c>
    </row>
    <row r="59" spans="2:7" x14ac:dyDescent="0.2">
      <c r="B59" s="16"/>
      <c r="D59" s="15"/>
      <c r="E59" s="15"/>
      <c r="F59" s="15"/>
      <c r="G59" s="17"/>
    </row>
    <row r="60" spans="2:7" x14ac:dyDescent="0.2">
      <c r="B60" s="16"/>
      <c r="D60" s="15"/>
      <c r="E60" s="15"/>
      <c r="F60" s="15"/>
      <c r="G60" s="17"/>
    </row>
    <row r="61" spans="2:7" x14ac:dyDescent="0.2">
      <c r="B61" s="16"/>
      <c r="D61" s="15"/>
      <c r="E61" s="15"/>
      <c r="F61" s="15"/>
      <c r="G61" s="17"/>
    </row>
    <row r="62" spans="2:7" x14ac:dyDescent="0.2">
      <c r="B62" s="16"/>
      <c r="D62" s="15"/>
      <c r="E62" s="15"/>
      <c r="F62" s="15"/>
      <c r="G62" s="17"/>
    </row>
    <row r="63" spans="2:7" x14ac:dyDescent="0.2">
      <c r="F63" s="15">
        <f>SUM(F5:F58)</f>
        <v>152689.02282087182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39"/>
  <sheetViews>
    <sheetView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Y33" sqref="Y33"/>
    </sheetView>
  </sheetViews>
  <sheetFormatPr defaultRowHeight="12.75" x14ac:dyDescent="0.2"/>
  <cols>
    <col min="1" max="1" width="5" bestFit="1" customWidth="1"/>
    <col min="2" max="2" width="25" bestFit="1" customWidth="1"/>
    <col min="3" max="54" width="9.140625" style="3"/>
    <col min="55" max="55" width="9.140625" style="3" customWidth="1"/>
    <col min="56" max="57" width="9.140625" style="3"/>
  </cols>
  <sheetData>
    <row r="1" spans="1:73" x14ac:dyDescent="0.2">
      <c r="A1" s="4" t="s">
        <v>7</v>
      </c>
    </row>
    <row r="2" spans="1:73" x14ac:dyDescent="0.2">
      <c r="C2" s="3" t="s">
        <v>176</v>
      </c>
      <c r="D2" s="3" t="s">
        <v>177</v>
      </c>
      <c r="E2" s="3" t="s">
        <v>178</v>
      </c>
      <c r="F2" s="3" t="s">
        <v>179</v>
      </c>
      <c r="G2" s="3" t="s">
        <v>175</v>
      </c>
      <c r="H2" s="3" t="s">
        <v>170</v>
      </c>
      <c r="I2" s="3" t="s">
        <v>166</v>
      </c>
      <c r="J2" s="3" t="s">
        <v>167</v>
      </c>
      <c r="K2" s="3" t="s">
        <v>168</v>
      </c>
      <c r="L2" s="3" t="s">
        <v>169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6</v>
      </c>
      <c r="Y2" s="3" t="s">
        <v>16</v>
      </c>
      <c r="Z2" s="3" t="s">
        <v>17</v>
      </c>
      <c r="AA2" s="3" t="s">
        <v>18</v>
      </c>
      <c r="AB2" s="3" t="s">
        <v>19</v>
      </c>
      <c r="AE2" s="3">
        <v>2009</v>
      </c>
      <c r="AF2" s="3">
        <f>+AE2+1</f>
        <v>2010</v>
      </c>
      <c r="AG2" s="3">
        <f t="shared" ref="AG2:BU2" si="0">+AF2+1</f>
        <v>2011</v>
      </c>
      <c r="AH2" s="3">
        <f t="shared" si="0"/>
        <v>2012</v>
      </c>
      <c r="AI2" s="3">
        <f t="shared" si="0"/>
        <v>2013</v>
      </c>
      <c r="AJ2" s="3">
        <f t="shared" si="0"/>
        <v>2014</v>
      </c>
      <c r="AK2" s="3">
        <f t="shared" si="0"/>
        <v>2015</v>
      </c>
      <c r="AL2" s="3">
        <f t="shared" si="0"/>
        <v>2016</v>
      </c>
      <c r="AM2" s="3">
        <f t="shared" si="0"/>
        <v>2017</v>
      </c>
      <c r="AN2" s="3">
        <f t="shared" si="0"/>
        <v>2018</v>
      </c>
      <c r="AO2" s="3">
        <f t="shared" si="0"/>
        <v>2019</v>
      </c>
      <c r="AP2" s="3">
        <f t="shared" si="0"/>
        <v>2020</v>
      </c>
      <c r="AQ2" s="3">
        <f t="shared" si="0"/>
        <v>2021</v>
      </c>
      <c r="AR2" s="3">
        <f t="shared" si="0"/>
        <v>2022</v>
      </c>
      <c r="AS2" s="3">
        <f t="shared" si="0"/>
        <v>2023</v>
      </c>
      <c r="AT2" s="3">
        <f t="shared" si="0"/>
        <v>2024</v>
      </c>
      <c r="AU2" s="3">
        <f t="shared" si="0"/>
        <v>2025</v>
      </c>
      <c r="AV2" s="3">
        <f t="shared" si="0"/>
        <v>2026</v>
      </c>
      <c r="AW2" s="3">
        <f t="shared" si="0"/>
        <v>2027</v>
      </c>
      <c r="AX2" s="3">
        <f t="shared" si="0"/>
        <v>2028</v>
      </c>
      <c r="AY2" s="3">
        <f t="shared" si="0"/>
        <v>2029</v>
      </c>
      <c r="AZ2" s="3">
        <f t="shared" si="0"/>
        <v>2030</v>
      </c>
      <c r="BA2" s="3">
        <f t="shared" si="0"/>
        <v>2031</v>
      </c>
      <c r="BB2" s="3">
        <f t="shared" si="0"/>
        <v>2032</v>
      </c>
      <c r="BC2" s="3">
        <f t="shared" si="0"/>
        <v>2033</v>
      </c>
      <c r="BD2" s="3">
        <f t="shared" si="0"/>
        <v>2034</v>
      </c>
      <c r="BE2" s="3">
        <f t="shared" si="0"/>
        <v>2035</v>
      </c>
      <c r="BF2" s="3">
        <f t="shared" si="0"/>
        <v>2036</v>
      </c>
      <c r="BG2" s="3">
        <f t="shared" si="0"/>
        <v>2037</v>
      </c>
      <c r="BH2" s="3">
        <f t="shared" si="0"/>
        <v>2038</v>
      </c>
      <c r="BI2" s="3">
        <f t="shared" si="0"/>
        <v>2039</v>
      </c>
      <c r="BJ2" s="3">
        <f t="shared" si="0"/>
        <v>2040</v>
      </c>
      <c r="BK2" s="3">
        <f t="shared" si="0"/>
        <v>2041</v>
      </c>
      <c r="BL2" s="3">
        <f t="shared" si="0"/>
        <v>2042</v>
      </c>
      <c r="BM2" s="3">
        <f t="shared" si="0"/>
        <v>2043</v>
      </c>
      <c r="BN2" s="3">
        <f t="shared" si="0"/>
        <v>2044</v>
      </c>
      <c r="BO2" s="3">
        <f t="shared" si="0"/>
        <v>2045</v>
      </c>
      <c r="BP2" s="3">
        <f t="shared" si="0"/>
        <v>2046</v>
      </c>
      <c r="BQ2" s="3">
        <f t="shared" si="0"/>
        <v>2047</v>
      </c>
      <c r="BR2" s="3">
        <f t="shared" si="0"/>
        <v>2048</v>
      </c>
      <c r="BS2" s="3">
        <f t="shared" si="0"/>
        <v>2049</v>
      </c>
      <c r="BT2" s="3">
        <f t="shared" si="0"/>
        <v>2050</v>
      </c>
      <c r="BU2" s="3">
        <f t="shared" si="0"/>
        <v>2051</v>
      </c>
    </row>
    <row r="3" spans="1:73" s="12" customFormat="1" x14ac:dyDescent="0.2">
      <c r="B3" s="12" t="s">
        <v>85</v>
      </c>
      <c r="C3" s="8"/>
      <c r="D3" s="8"/>
      <c r="E3" s="8"/>
      <c r="F3" s="8"/>
      <c r="G3" s="8"/>
      <c r="H3" s="8">
        <f t="shared" ref="H3:N3" si="1">+H4+H5</f>
        <v>505</v>
      </c>
      <c r="I3" s="8">
        <f t="shared" si="1"/>
        <v>550</v>
      </c>
      <c r="J3" s="8">
        <f t="shared" si="1"/>
        <v>598</v>
      </c>
      <c r="K3" s="8">
        <f t="shared" si="1"/>
        <v>634</v>
      </c>
      <c r="L3" s="8">
        <f t="shared" si="1"/>
        <v>690</v>
      </c>
      <c r="M3" s="8">
        <f t="shared" si="1"/>
        <v>781</v>
      </c>
      <c r="N3" s="8">
        <f t="shared" si="1"/>
        <v>837</v>
      </c>
      <c r="O3" s="8">
        <f>+O4+O5</f>
        <v>884</v>
      </c>
      <c r="P3" s="8">
        <v>962</v>
      </c>
      <c r="Q3" s="8">
        <v>1066</v>
      </c>
      <c r="R3" s="8">
        <v>1146</v>
      </c>
      <c r="S3" s="8">
        <v>1223</v>
      </c>
      <c r="T3" s="8">
        <v>1305</v>
      </c>
      <c r="U3" s="8">
        <v>1400</v>
      </c>
      <c r="V3" s="8">
        <v>1481</v>
      </c>
      <c r="W3" s="8">
        <v>1581</v>
      </c>
      <c r="X3" s="8">
        <v>1672</v>
      </c>
      <c r="Y3" s="8">
        <v>1813</v>
      </c>
      <c r="Z3" s="8">
        <f>+Z4+Z5</f>
        <v>2025.2855625350835</v>
      </c>
      <c r="AA3" s="8">
        <f t="shared" ref="AA3:AB3" si="2">+AA4+AA5</f>
        <v>2178.0319205777428</v>
      </c>
      <c r="AB3" s="8">
        <f t="shared" si="2"/>
        <v>2260.433217812471</v>
      </c>
      <c r="AC3" s="10"/>
      <c r="AD3" s="10"/>
      <c r="AE3" s="10"/>
      <c r="AF3" s="10"/>
      <c r="AG3" s="10"/>
      <c r="AH3" s="10"/>
      <c r="AI3" s="10"/>
      <c r="AJ3" s="8">
        <f>SUM(Q3:T3)</f>
        <v>4740</v>
      </c>
      <c r="AK3" s="8">
        <f>SUM(U3:X3)</f>
        <v>6134</v>
      </c>
      <c r="AL3" s="8">
        <f>SUM(Y3:AB3)</f>
        <v>8276.7507009252968</v>
      </c>
      <c r="AM3" s="8">
        <f>+AM4+AM5</f>
        <v>10944.17558591269</v>
      </c>
      <c r="AN3" s="8">
        <f t="shared" ref="AN3:AY3" si="3">+AN4+AN5</f>
        <v>14095.400776947978</v>
      </c>
      <c r="AO3" s="8">
        <f t="shared" si="3"/>
        <v>17625.204843050386</v>
      </c>
      <c r="AP3" s="8">
        <f t="shared" si="3"/>
        <v>24174.401263294858</v>
      </c>
      <c r="AQ3" s="8">
        <f t="shared" si="3"/>
        <v>28774.78161861212</v>
      </c>
      <c r="AR3" s="8">
        <f t="shared" si="3"/>
        <v>31983.153430986007</v>
      </c>
      <c r="AS3" s="8">
        <f t="shared" si="3"/>
        <v>35549.269820857764</v>
      </c>
      <c r="AT3" s="8">
        <f t="shared" si="3"/>
        <v>38858.853333861727</v>
      </c>
      <c r="AU3" s="8">
        <f t="shared" si="3"/>
        <v>40937.601296554916</v>
      </c>
      <c r="AV3" s="8">
        <f t="shared" si="3"/>
        <v>43131.143340631636</v>
      </c>
      <c r="AW3" s="8">
        <f t="shared" si="3"/>
        <v>44292.674424368095</v>
      </c>
      <c r="AX3" s="8">
        <f t="shared" si="3"/>
        <v>45489.424465522032</v>
      </c>
      <c r="AY3" s="8">
        <f t="shared" si="3"/>
        <v>46722.579814097691</v>
      </c>
      <c r="AZ3" s="8">
        <f>+AZ4+AZ5</f>
        <v>47993.369947227518</v>
      </c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</row>
    <row r="4" spans="1:73" s="2" customFormat="1" x14ac:dyDescent="0.2">
      <c r="B4" s="2" t="s">
        <v>86</v>
      </c>
      <c r="C4" s="6"/>
      <c r="D4" s="6"/>
      <c r="E4" s="6"/>
      <c r="F4" s="6"/>
      <c r="G4" s="6"/>
      <c r="H4" s="6">
        <v>476</v>
      </c>
      <c r="I4" s="6">
        <v>507</v>
      </c>
      <c r="J4" s="6">
        <v>533</v>
      </c>
      <c r="K4" s="6">
        <v>556</v>
      </c>
      <c r="L4" s="6">
        <v>589</v>
      </c>
      <c r="M4" s="6">
        <v>639</v>
      </c>
      <c r="N4" s="6">
        <v>671</v>
      </c>
      <c r="O4" s="6">
        <v>701</v>
      </c>
      <c r="P4" s="6">
        <v>741</v>
      </c>
      <c r="Q4" s="6">
        <v>799</v>
      </c>
      <c r="R4" s="6">
        <v>838</v>
      </c>
      <c r="S4" s="6">
        <v>877</v>
      </c>
      <c r="T4" s="6">
        <v>917</v>
      </c>
      <c r="U4" s="6">
        <v>985</v>
      </c>
      <c r="V4" s="6">
        <v>1026</v>
      </c>
      <c r="W4" s="6">
        <v>1064</v>
      </c>
      <c r="X4" s="6">
        <v>1106</v>
      </c>
      <c r="Y4" s="6">
        <v>1160</v>
      </c>
      <c r="Z4" s="6">
        <f>+Z8*Z15/1000</f>
        <v>1238.6588650754993</v>
      </c>
      <c r="AA4" s="6">
        <f t="shared" ref="AA4:AB4" si="4">+AA8*AA15/1000</f>
        <v>1280.2522462562397</v>
      </c>
      <c r="AB4" s="6">
        <f t="shared" si="4"/>
        <v>1316.7643548387098</v>
      </c>
      <c r="AC4" s="6"/>
      <c r="AD4" s="6"/>
      <c r="AE4" s="6"/>
      <c r="AF4" s="6"/>
      <c r="AG4" s="6"/>
      <c r="AH4" s="6"/>
      <c r="AI4" s="6"/>
      <c r="AJ4" s="20">
        <f>SUM(Q4:T4)</f>
        <v>3431</v>
      </c>
      <c r="AK4" s="20">
        <f>SUM(U4:X4)</f>
        <v>4181</v>
      </c>
      <c r="AL4" s="6">
        <f>SUM(Y4:AB4)</f>
        <v>4995.675466170449</v>
      </c>
      <c r="AM4" s="6">
        <f>+AM8*AM15/1000</f>
        <v>5874.9143482164482</v>
      </c>
      <c r="AN4" s="6">
        <f t="shared" ref="AN4:AY4" si="5">+AN8*AN15/1000</f>
        <v>6785.5260721899986</v>
      </c>
      <c r="AO4" s="6">
        <f t="shared" si="5"/>
        <v>7837.2826133794506</v>
      </c>
      <c r="AP4" s="6">
        <f t="shared" si="5"/>
        <v>9052.061418453266</v>
      </c>
      <c r="AQ4" s="6">
        <f t="shared" si="5"/>
        <v>10265.037648526006</v>
      </c>
      <c r="AR4" s="6">
        <f t="shared" si="5"/>
        <v>11418.827880220329</v>
      </c>
      <c r="AS4" s="6">
        <f t="shared" si="5"/>
        <v>12702.304133957095</v>
      </c>
      <c r="AT4" s="6">
        <f t="shared" si="5"/>
        <v>13475.874455715084</v>
      </c>
      <c r="AU4" s="6">
        <f t="shared" si="5"/>
        <v>14018.952196280401</v>
      </c>
      <c r="AV4" s="6">
        <f t="shared" si="5"/>
        <v>14583.915969790505</v>
      </c>
      <c r="AW4" s="6">
        <f t="shared" si="5"/>
        <v>15171.647783373062</v>
      </c>
      <c r="AX4" s="6">
        <f t="shared" si="5"/>
        <v>15783.065189042994</v>
      </c>
      <c r="AY4" s="6">
        <f t="shared" si="5"/>
        <v>16419.12271616143</v>
      </c>
      <c r="AZ4" s="6">
        <f>+AZ8*AZ15/1000</f>
        <v>17080.813361622735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</row>
    <row r="5" spans="1:73" s="2" customFormat="1" x14ac:dyDescent="0.2">
      <c r="B5" s="2" t="s">
        <v>87</v>
      </c>
      <c r="C5" s="6"/>
      <c r="D5" s="6"/>
      <c r="E5" s="6"/>
      <c r="F5" s="6"/>
      <c r="G5" s="6"/>
      <c r="H5" s="6">
        <v>29</v>
      </c>
      <c r="I5" s="6">
        <v>43</v>
      </c>
      <c r="J5" s="6">
        <v>65</v>
      </c>
      <c r="K5" s="6">
        <v>78</v>
      </c>
      <c r="L5" s="6">
        <v>101</v>
      </c>
      <c r="M5" s="6">
        <v>142</v>
      </c>
      <c r="N5" s="6">
        <v>166</v>
      </c>
      <c r="O5" s="6">
        <v>183</v>
      </c>
      <c r="P5" s="6">
        <v>221</v>
      </c>
      <c r="Q5" s="6">
        <v>267</v>
      </c>
      <c r="R5" s="6">
        <v>307</v>
      </c>
      <c r="S5" s="6">
        <v>346</v>
      </c>
      <c r="T5" s="6">
        <v>388</v>
      </c>
      <c r="U5" s="6">
        <v>415</v>
      </c>
      <c r="V5" s="6">
        <v>455</v>
      </c>
      <c r="W5" s="6">
        <v>517</v>
      </c>
      <c r="X5" s="6">
        <v>566</v>
      </c>
      <c r="Y5" s="6">
        <v>653</v>
      </c>
      <c r="Z5" s="6">
        <f t="shared" ref="Z5:AB5" si="6">+Z9*Z16/1000</f>
        <v>786.62669745958431</v>
      </c>
      <c r="AA5" s="6">
        <f t="shared" si="6"/>
        <v>897.77967432150319</v>
      </c>
      <c r="AB5" s="6">
        <f t="shared" si="6"/>
        <v>943.66886297376107</v>
      </c>
      <c r="AC5" s="6"/>
      <c r="AD5" s="6"/>
      <c r="AE5" s="6"/>
      <c r="AF5" s="6"/>
      <c r="AG5" s="6"/>
      <c r="AH5" s="6"/>
      <c r="AI5" s="6"/>
      <c r="AJ5" s="20">
        <f>SUM(Q5:T5)</f>
        <v>1308</v>
      </c>
      <c r="AK5" s="20">
        <f>SUM(U5:X5)</f>
        <v>1953</v>
      </c>
      <c r="AL5" s="6">
        <f>SUM(Y5:AB5)</f>
        <v>3281.0752347548482</v>
      </c>
      <c r="AM5" s="6">
        <f>+AM9*AM16/1000</f>
        <v>5069.2612376962406</v>
      </c>
      <c r="AN5" s="6">
        <f t="shared" ref="AN5:AZ5" si="7">+AN9*AN16/1000</f>
        <v>7309.8747047579791</v>
      </c>
      <c r="AO5" s="6">
        <f t="shared" si="7"/>
        <v>9787.922229670934</v>
      </c>
      <c r="AP5" s="6">
        <f t="shared" si="7"/>
        <v>15122.339844841594</v>
      </c>
      <c r="AQ5" s="6">
        <f t="shared" si="7"/>
        <v>18509.743970086114</v>
      </c>
      <c r="AR5" s="6">
        <f t="shared" si="7"/>
        <v>20564.325550765676</v>
      </c>
      <c r="AS5" s="6">
        <f t="shared" si="7"/>
        <v>22846.965686900665</v>
      </c>
      <c r="AT5" s="6">
        <f t="shared" si="7"/>
        <v>25382.978878146641</v>
      </c>
      <c r="AU5" s="6">
        <f t="shared" si="7"/>
        <v>26918.649100274513</v>
      </c>
      <c r="AV5" s="6">
        <f t="shared" si="7"/>
        <v>28547.227370841127</v>
      </c>
      <c r="AW5" s="6">
        <f t="shared" si="7"/>
        <v>29121.026640995035</v>
      </c>
      <c r="AX5" s="6">
        <f t="shared" si="7"/>
        <v>29706.359276479037</v>
      </c>
      <c r="AY5" s="6">
        <f t="shared" si="7"/>
        <v>30303.457097936262</v>
      </c>
      <c r="AZ5" s="6">
        <f t="shared" si="7"/>
        <v>30912.556585604783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1:73" s="2" customFormat="1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3" s="12" customFormat="1" x14ac:dyDescent="0.2">
      <c r="B7" s="12" t="s">
        <v>88</v>
      </c>
      <c r="C7" s="8">
        <f t="shared" ref="C7:G7" si="8">+C8+C9</f>
        <v>0</v>
      </c>
      <c r="D7" s="8">
        <f t="shared" si="8"/>
        <v>13970</v>
      </c>
      <c r="E7" s="8">
        <f t="shared" si="8"/>
        <v>15000</v>
      </c>
      <c r="F7" s="8">
        <f t="shared" si="8"/>
        <v>16930</v>
      </c>
      <c r="G7" s="8">
        <f t="shared" si="8"/>
        <v>20010</v>
      </c>
      <c r="H7" s="8">
        <f>+H8+H9</f>
        <v>22010</v>
      </c>
      <c r="I7" s="8">
        <f t="shared" ref="I7:L7" si="9">+I8+I9</f>
        <v>25090</v>
      </c>
      <c r="J7" s="8">
        <f t="shared" si="9"/>
        <v>26310</v>
      </c>
      <c r="K7" s="8">
        <f t="shared" si="9"/>
        <v>28110</v>
      </c>
      <c r="L7" s="8">
        <f t="shared" si="9"/>
        <v>30360</v>
      </c>
      <c r="M7" s="8">
        <f t="shared" ref="M7" si="10">+M8+M9</f>
        <v>34240</v>
      </c>
      <c r="N7" s="8">
        <f t="shared" ref="N7" si="11">+N8+N9</f>
        <v>35630</v>
      </c>
      <c r="O7" s="8">
        <f t="shared" ref="O7" si="12">+O8+O9</f>
        <v>38010</v>
      </c>
      <c r="P7" s="8">
        <v>41430</v>
      </c>
      <c r="Q7" s="8">
        <v>46140</v>
      </c>
      <c r="R7" s="8">
        <v>47990</v>
      </c>
      <c r="S7" s="8">
        <v>50650</v>
      </c>
      <c r="T7" s="8">
        <v>54480</v>
      </c>
      <c r="U7" s="8">
        <v>59620</v>
      </c>
      <c r="V7" s="8">
        <v>62710</v>
      </c>
      <c r="W7" s="8">
        <v>66020</v>
      </c>
      <c r="X7" s="8">
        <v>70840</v>
      </c>
      <c r="Y7" s="8">
        <v>77190</v>
      </c>
      <c r="Z7" s="8">
        <f>+Z8+Z9</f>
        <v>83200</v>
      </c>
      <c r="AA7" s="8">
        <f t="shared" ref="AA7:AB7" si="13">+AA8+AA9</f>
        <v>88200</v>
      </c>
      <c r="AB7" s="8">
        <f t="shared" si="13"/>
        <v>93200</v>
      </c>
      <c r="AC7" s="10"/>
      <c r="AD7" s="10"/>
      <c r="AE7" s="10"/>
      <c r="AF7" s="10"/>
      <c r="AG7" s="10"/>
      <c r="AH7" s="10"/>
      <c r="AI7" s="8">
        <f>P7</f>
        <v>41430</v>
      </c>
      <c r="AJ7" s="8">
        <f>T7</f>
        <v>54480</v>
      </c>
      <c r="AK7" s="8">
        <f>X7</f>
        <v>70840</v>
      </c>
      <c r="AL7" s="8">
        <f>AB7</f>
        <v>93200</v>
      </c>
      <c r="AM7" s="8">
        <f>+AM8+AM9</f>
        <v>121100.20000000001</v>
      </c>
      <c r="AN7" s="8">
        <f t="shared" ref="AN7:AZ7" si="14">+AN8+AN9</f>
        <v>153005.72</v>
      </c>
      <c r="AO7" s="8">
        <f t="shared" si="14"/>
        <v>186782.092</v>
      </c>
      <c r="AP7" s="8">
        <f t="shared" si="14"/>
        <v>253497.3812</v>
      </c>
      <c r="AQ7" s="8">
        <f t="shared" si="14"/>
        <v>295393.85769600002</v>
      </c>
      <c r="AR7" s="8">
        <f t="shared" si="14"/>
        <v>323348.70351168001</v>
      </c>
      <c r="AS7" s="8">
        <f t="shared" si="14"/>
        <v>353972.27071261447</v>
      </c>
      <c r="AT7" s="8">
        <f t="shared" si="14"/>
        <v>382900.77187599294</v>
      </c>
      <c r="AU7" s="8">
        <f t="shared" si="14"/>
        <v>398238.50322115287</v>
      </c>
      <c r="AV7" s="8">
        <f t="shared" si="14"/>
        <v>414305.04806108447</v>
      </c>
      <c r="AW7" s="8">
        <f t="shared" si="14"/>
        <v>418448.09854169528</v>
      </c>
      <c r="AX7" s="8">
        <f t="shared" si="14"/>
        <v>422632.57952711231</v>
      </c>
      <c r="AY7" s="8">
        <f t="shared" si="14"/>
        <v>426858.90532238339</v>
      </c>
      <c r="AZ7" s="8">
        <f t="shared" si="14"/>
        <v>431127.49437560723</v>
      </c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</row>
    <row r="8" spans="1:73" x14ac:dyDescent="0.2">
      <c r="B8" s="2" t="s">
        <v>89</v>
      </c>
      <c r="C8" s="6"/>
      <c r="D8" s="6">
        <v>13970</v>
      </c>
      <c r="E8" s="6">
        <v>15000</v>
      </c>
      <c r="F8" s="6">
        <v>16800</v>
      </c>
      <c r="G8" s="6">
        <v>19500</v>
      </c>
      <c r="H8" s="6">
        <v>20150</v>
      </c>
      <c r="I8" s="6">
        <v>22020</v>
      </c>
      <c r="J8" s="6">
        <v>22690</v>
      </c>
      <c r="K8" s="6">
        <v>23800</v>
      </c>
      <c r="L8" s="6">
        <v>25470</v>
      </c>
      <c r="M8" s="6">
        <v>27910</v>
      </c>
      <c r="N8" s="6">
        <v>28620</v>
      </c>
      <c r="O8" s="6">
        <v>29930</v>
      </c>
      <c r="P8" s="6">
        <v>31710</v>
      </c>
      <c r="Q8" s="6">
        <v>34380</v>
      </c>
      <c r="R8" s="6">
        <v>35090</v>
      </c>
      <c r="S8" s="6">
        <v>36270</v>
      </c>
      <c r="T8" s="6">
        <v>37700</v>
      </c>
      <c r="U8" s="6">
        <v>40320</v>
      </c>
      <c r="V8" s="6">
        <v>41060</v>
      </c>
      <c r="W8" s="6">
        <v>42070</v>
      </c>
      <c r="X8" s="6">
        <v>43400</v>
      </c>
      <c r="Y8" s="6">
        <v>45710</v>
      </c>
      <c r="Z8" s="6">
        <f>+Y8+1500</f>
        <v>47210</v>
      </c>
      <c r="AA8" s="6">
        <f>+Z8+1000</f>
        <v>48210</v>
      </c>
      <c r="AB8" s="6">
        <f>+AA8+1000</f>
        <v>49210</v>
      </c>
      <c r="AI8" s="20">
        <f>P8</f>
        <v>31710</v>
      </c>
      <c r="AJ8" s="20">
        <f>T8</f>
        <v>37700</v>
      </c>
      <c r="AK8" s="20">
        <f>X8</f>
        <v>43400</v>
      </c>
      <c r="AL8" s="20">
        <f>AB8</f>
        <v>49210</v>
      </c>
      <c r="AM8" s="6">
        <f>+AL8*1.12</f>
        <v>55115.200000000004</v>
      </c>
      <c r="AN8" s="6">
        <f>+AM8*1.1</f>
        <v>60626.720000000008</v>
      </c>
      <c r="AO8" s="6">
        <f>+AN8*1.1</f>
        <v>66689.392000000022</v>
      </c>
      <c r="AP8" s="6">
        <f>+AO8*1.1</f>
        <v>73358.33120000003</v>
      </c>
      <c r="AQ8" s="6">
        <f>+AP8*1.08</f>
        <v>79226.997696000035</v>
      </c>
      <c r="AR8" s="6">
        <f>+AQ8*1.08</f>
        <v>85565.157511680038</v>
      </c>
      <c r="AS8" s="6">
        <f>+AR8*1.08</f>
        <v>92410.370112614444</v>
      </c>
      <c r="AT8" s="6">
        <f>+AS8*1.03</f>
        <v>95182.681215992881</v>
      </c>
      <c r="AU8" s="6">
        <f t="shared" ref="AU8:AY8" si="15">+AT8*1.01</f>
        <v>96134.508028152806</v>
      </c>
      <c r="AV8" s="6">
        <f t="shared" si="15"/>
        <v>97095.853108434341</v>
      </c>
      <c r="AW8" s="6">
        <f t="shared" si="15"/>
        <v>98066.811639518681</v>
      </c>
      <c r="AX8" s="6">
        <f t="shared" si="15"/>
        <v>99047.479755913868</v>
      </c>
      <c r="AY8" s="6">
        <f t="shared" si="15"/>
        <v>100037.95455347301</v>
      </c>
      <c r="AZ8" s="6">
        <f>+AY8*1.01</f>
        <v>101038.33409900774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 x14ac:dyDescent="0.2">
      <c r="B9" s="2" t="s">
        <v>95</v>
      </c>
      <c r="C9" s="6">
        <v>0</v>
      </c>
      <c r="D9" s="6">
        <v>0</v>
      </c>
      <c r="E9" s="6">
        <v>0</v>
      </c>
      <c r="F9" s="6">
        <v>130</v>
      </c>
      <c r="G9" s="6">
        <v>510</v>
      </c>
      <c r="H9" s="6">
        <v>1860</v>
      </c>
      <c r="I9" s="6">
        <v>3070</v>
      </c>
      <c r="J9" s="6">
        <v>3620</v>
      </c>
      <c r="K9" s="6">
        <v>4310</v>
      </c>
      <c r="L9" s="6">
        <v>4890</v>
      </c>
      <c r="M9" s="6">
        <v>6330</v>
      </c>
      <c r="N9" s="6">
        <v>7010</v>
      </c>
      <c r="O9" s="6">
        <v>8080</v>
      </c>
      <c r="P9" s="6">
        <v>9720</v>
      </c>
      <c r="Q9" s="6">
        <v>11760</v>
      </c>
      <c r="R9" s="6">
        <v>12910</v>
      </c>
      <c r="S9" s="6">
        <v>14390</v>
      </c>
      <c r="T9" s="6">
        <v>16780</v>
      </c>
      <c r="U9" s="6">
        <v>19300</v>
      </c>
      <c r="V9" s="6">
        <v>21650</v>
      </c>
      <c r="W9" s="6">
        <v>23950</v>
      </c>
      <c r="X9" s="6">
        <v>27440</v>
      </c>
      <c r="Y9" s="6">
        <v>31990</v>
      </c>
      <c r="Z9" s="6">
        <f>+Y9+4000</f>
        <v>35990</v>
      </c>
      <c r="AA9" s="6">
        <f t="shared" ref="AA9:AB9" si="16">+Z9+4000</f>
        <v>39990</v>
      </c>
      <c r="AB9" s="6">
        <f t="shared" si="16"/>
        <v>43990</v>
      </c>
      <c r="AI9" s="20">
        <f>P9</f>
        <v>9720</v>
      </c>
      <c r="AJ9" s="20">
        <f t="shared" ref="AJ9" si="17">T9</f>
        <v>16780</v>
      </c>
      <c r="AK9" s="20">
        <f>X9</f>
        <v>27440</v>
      </c>
      <c r="AL9" s="20">
        <f>AB9</f>
        <v>43990</v>
      </c>
      <c r="AM9" s="6">
        <f>+AL9*1.5</f>
        <v>65985</v>
      </c>
      <c r="AN9" s="6">
        <f>+AM9*1.4</f>
        <v>92379</v>
      </c>
      <c r="AO9" s="6">
        <f>+AN9*1.3</f>
        <v>120092.7</v>
      </c>
      <c r="AP9" s="6">
        <f>+AO9*1.5</f>
        <v>180139.05</v>
      </c>
      <c r="AQ9" s="6">
        <f>+AP9*1.2</f>
        <v>216166.86</v>
      </c>
      <c r="AR9" s="6">
        <f>+AQ9*1.1</f>
        <v>237783.546</v>
      </c>
      <c r="AS9" s="6">
        <f>+AR9*1.1</f>
        <v>261561.90060000002</v>
      </c>
      <c r="AT9" s="6">
        <f>+AS9*1.1</f>
        <v>287718.09066000005</v>
      </c>
      <c r="AU9" s="6">
        <f>AT9*1.05</f>
        <v>302103.99519300007</v>
      </c>
      <c r="AV9" s="6">
        <f>AU9*1.05</f>
        <v>317209.19495265011</v>
      </c>
      <c r="AW9" s="6">
        <f>AV9*1.01</f>
        <v>320381.28690217662</v>
      </c>
      <c r="AX9" s="6">
        <f>AW9*1.01</f>
        <v>323585.09977119841</v>
      </c>
      <c r="AY9" s="6">
        <f>AX9*1.01</f>
        <v>326820.95076891041</v>
      </c>
      <c r="AZ9" s="6">
        <f t="shared" ref="AZ9" si="18">AY9*1.01</f>
        <v>330089.16027659952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x14ac:dyDescent="0.2">
      <c r="B10" s="2" t="s">
        <v>180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30">
        <f t="shared" ref="W10:AB10" si="19">+W8/318900</f>
        <v>0.1319222326748197</v>
      </c>
      <c r="X10" s="30">
        <f t="shared" si="19"/>
        <v>0.13609281906553777</v>
      </c>
      <c r="Y10" s="30">
        <f t="shared" si="19"/>
        <v>0.14333646911257447</v>
      </c>
      <c r="Z10" s="30">
        <f t="shared" si="19"/>
        <v>0.14804013797428661</v>
      </c>
      <c r="AA10" s="30">
        <f t="shared" si="19"/>
        <v>0.15117591721542803</v>
      </c>
      <c r="AB10" s="30">
        <f t="shared" si="19"/>
        <v>0.15431169645656945</v>
      </c>
      <c r="AD10" s="31" t="s">
        <v>194</v>
      </c>
      <c r="AI10" s="23">
        <f>+AI8/318900</f>
        <v>9.9435559736594542E-2</v>
      </c>
      <c r="AJ10" s="23">
        <f t="shared" ref="AJ10:AY10" si="20">+AJ8/318900</f>
        <v>0.11821887739103167</v>
      </c>
      <c r="AK10" s="23">
        <f t="shared" si="20"/>
        <v>0.13609281906553777</v>
      </c>
      <c r="AL10" s="23">
        <f t="shared" si="20"/>
        <v>0.15431169645656945</v>
      </c>
      <c r="AM10" s="23">
        <f t="shared" si="20"/>
        <v>0.17282910003135782</v>
      </c>
      <c r="AN10" s="23">
        <f t="shared" si="20"/>
        <v>0.1901120100344936</v>
      </c>
      <c r="AO10" s="23">
        <f t="shared" si="20"/>
        <v>0.20912321103794299</v>
      </c>
      <c r="AP10" s="23">
        <f t="shared" si="20"/>
        <v>0.2300355321417373</v>
      </c>
      <c r="AQ10" s="23">
        <f t="shared" si="20"/>
        <v>0.24843837471307631</v>
      </c>
      <c r="AR10" s="23">
        <f t="shared" si="20"/>
        <v>0.26831344469012242</v>
      </c>
      <c r="AS10" s="23">
        <f t="shared" si="20"/>
        <v>0.28977852026533224</v>
      </c>
      <c r="AT10" s="23">
        <f t="shared" si="20"/>
        <v>0.29847187587329221</v>
      </c>
      <c r="AU10" s="23">
        <f t="shared" si="20"/>
        <v>0.30145659463202512</v>
      </c>
      <c r="AV10" s="23">
        <f t="shared" si="20"/>
        <v>0.30447116057834539</v>
      </c>
      <c r="AW10" s="23">
        <f t="shared" si="20"/>
        <v>0.30751587218412885</v>
      </c>
      <c r="AX10" s="23">
        <f t="shared" si="20"/>
        <v>0.31059103090597012</v>
      </c>
      <c r="AY10" s="23">
        <f t="shared" si="20"/>
        <v>0.31369694121502983</v>
      </c>
      <c r="AZ10" s="23">
        <f>+AZ8/318900</f>
        <v>0.31683391062718014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s="24" customFormat="1" x14ac:dyDescent="0.2">
      <c r="B11" s="25" t="s">
        <v>181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7"/>
      <c r="AD11" s="27"/>
      <c r="AE11" s="27"/>
      <c r="AF11" s="27"/>
      <c r="AG11" s="27"/>
      <c r="AH11" s="27"/>
      <c r="AI11" s="26"/>
      <c r="AJ11" s="26"/>
      <c r="AK11" s="28">
        <v>0.14000000000000001</v>
      </c>
      <c r="AL11" s="28">
        <v>0.25</v>
      </c>
      <c r="AM11" s="28">
        <v>0.33</v>
      </c>
      <c r="AN11" s="28">
        <v>0.37</v>
      </c>
      <c r="AO11" s="28">
        <v>0.4</v>
      </c>
      <c r="AP11" s="28">
        <v>0.43</v>
      </c>
      <c r="AQ11" s="28">
        <v>0.47</v>
      </c>
      <c r="AR11" s="26"/>
      <c r="AS11" s="26"/>
      <c r="AT11" s="26"/>
      <c r="AU11" s="26"/>
      <c r="AV11" s="26"/>
      <c r="AW11" s="26"/>
      <c r="AX11" s="26"/>
      <c r="AY11" s="26"/>
      <c r="AZ11" s="26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</row>
    <row r="12" spans="1:73" x14ac:dyDescent="0.2"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I12" s="20"/>
      <c r="AJ12" s="20"/>
      <c r="AK12" s="20"/>
      <c r="AL12" s="20"/>
      <c r="AM12" s="6"/>
      <c r="AN12" s="6"/>
      <c r="AO12" s="6"/>
      <c r="AP12" s="6"/>
      <c r="AQ12" s="6" t="s">
        <v>182</v>
      </c>
      <c r="AR12" s="6"/>
      <c r="AS12" s="6"/>
      <c r="AT12" s="6"/>
      <c r="AU12" s="6"/>
      <c r="AV12" s="6"/>
      <c r="AW12" s="6"/>
      <c r="AX12" s="6"/>
      <c r="AY12" s="6"/>
      <c r="AZ12" s="6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x14ac:dyDescent="0.2"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s="12" customFormat="1" x14ac:dyDescent="0.2">
      <c r="B14" s="7" t="s">
        <v>96</v>
      </c>
      <c r="C14" s="21"/>
      <c r="D14" s="21"/>
      <c r="E14" s="21"/>
      <c r="F14" s="21"/>
      <c r="G14" s="21"/>
      <c r="H14" s="21">
        <f t="shared" ref="H14:O14" si="21">H3*1000/H7</f>
        <v>22.944116310767832</v>
      </c>
      <c r="I14" s="21">
        <f t="shared" si="21"/>
        <v>21.921084097249899</v>
      </c>
      <c r="J14" s="21">
        <f t="shared" si="21"/>
        <v>22.729000380083619</v>
      </c>
      <c r="K14" s="21">
        <f t="shared" si="21"/>
        <v>22.554251156172182</v>
      </c>
      <c r="L14" s="21">
        <f t="shared" si="21"/>
        <v>22.727272727272727</v>
      </c>
      <c r="M14" s="21">
        <f t="shared" si="21"/>
        <v>22.809579439252335</v>
      </c>
      <c r="N14" s="21">
        <f t="shared" si="21"/>
        <v>23.4914397979231</v>
      </c>
      <c r="O14" s="21">
        <f t="shared" si="21"/>
        <v>23.257037621678506</v>
      </c>
      <c r="P14" s="21">
        <f t="shared" ref="P14:S14" si="22">P3*1000/P7</f>
        <v>23.219888969345885</v>
      </c>
      <c r="Q14" s="21">
        <f t="shared" si="22"/>
        <v>23.103597745990463</v>
      </c>
      <c r="R14" s="21">
        <f t="shared" si="22"/>
        <v>23.879974994790583</v>
      </c>
      <c r="S14" s="21">
        <f t="shared" si="22"/>
        <v>24.14610069101678</v>
      </c>
      <c r="T14" s="21">
        <f t="shared" ref="T14:X16" si="23">T3*1000/T7</f>
        <v>23.953744493392069</v>
      </c>
      <c r="U14" s="21">
        <f t="shared" si="23"/>
        <v>23.482053002348206</v>
      </c>
      <c r="V14" s="21">
        <f t="shared" si="23"/>
        <v>23.616648062509967</v>
      </c>
      <c r="W14" s="21">
        <f t="shared" si="23"/>
        <v>23.94728870039382</v>
      </c>
      <c r="X14" s="21">
        <f t="shared" si="23"/>
        <v>23.602484472049689</v>
      </c>
      <c r="Y14" s="21">
        <f t="shared" ref="Y14:AB14" si="24">Y3*1000/Y7</f>
        <v>23.48749838061925</v>
      </c>
      <c r="Z14" s="21">
        <f t="shared" si="24"/>
        <v>24.342374549700523</v>
      </c>
      <c r="AA14" s="21">
        <f t="shared" si="24"/>
        <v>24.694239462332682</v>
      </c>
      <c r="AB14" s="21">
        <f t="shared" si="24"/>
        <v>24.253575298417072</v>
      </c>
      <c r="AC14" s="10"/>
      <c r="AD14" s="10"/>
      <c r="AE14" s="10"/>
      <c r="AF14" s="10"/>
      <c r="AG14" s="10"/>
      <c r="AH14" s="10"/>
      <c r="AI14" s="21">
        <f t="shared" ref="AI14" si="25">AI3*1000/AI7</f>
        <v>0</v>
      </c>
      <c r="AJ14" s="21">
        <f t="shared" ref="AJ14" si="26">AJ3*1000/AJ7</f>
        <v>87.004405286343612</v>
      </c>
      <c r="AK14" s="21">
        <f t="shared" ref="AK14" si="27">AK3*1000/AK7</f>
        <v>86.58949745906267</v>
      </c>
      <c r="AL14" s="21">
        <f>AL3*1000/AL7</f>
        <v>88.806337992760703</v>
      </c>
      <c r="AM14" s="21">
        <f t="shared" ref="AM14:AY14" si="28">AM3*1000/AM7</f>
        <v>90.372894395820055</v>
      </c>
      <c r="AN14" s="21">
        <f t="shared" si="28"/>
        <v>92.123358374758652</v>
      </c>
      <c r="AO14" s="21">
        <f t="shared" si="28"/>
        <v>94.362391246000101</v>
      </c>
      <c r="AP14" s="21">
        <f t="shared" si="28"/>
        <v>95.363514797899057</v>
      </c>
      <c r="AQ14" s="21">
        <f t="shared" si="28"/>
        <v>97.411577353193422</v>
      </c>
      <c r="AR14" s="21">
        <f t="shared" si="28"/>
        <v>98.912267417923047</v>
      </c>
      <c r="AS14" s="21">
        <f t="shared" si="28"/>
        <v>100.42953293852715</v>
      </c>
      <c r="AT14" s="21">
        <f t="shared" si="28"/>
        <v>101.48544006186187</v>
      </c>
      <c r="AU14" s="21">
        <f t="shared" si="28"/>
        <v>102.79669335192618</v>
      </c>
      <c r="AV14" s="21">
        <f t="shared" si="28"/>
        <v>104.10479800447048</v>
      </c>
      <c r="AW14" s="21">
        <f t="shared" si="28"/>
        <v>105.8498642453615</v>
      </c>
      <c r="AX14" s="21">
        <f t="shared" si="28"/>
        <v>107.63350169648679</v>
      </c>
      <c r="AY14" s="21">
        <f t="shared" si="28"/>
        <v>109.45672968638351</v>
      </c>
      <c r="AZ14" s="21">
        <f>AZ3*1000/AZ7</f>
        <v>111.32059674536714</v>
      </c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</row>
    <row r="15" spans="1:73" x14ac:dyDescent="0.2">
      <c r="B15" s="2" t="s">
        <v>97</v>
      </c>
      <c r="C15" s="5"/>
      <c r="D15" s="5"/>
      <c r="E15" s="5"/>
      <c r="F15" s="5"/>
      <c r="G15" s="5"/>
      <c r="H15" s="5">
        <f t="shared" ref="H15:O15" si="29">H4*1000/H8</f>
        <v>23.622828784119108</v>
      </c>
      <c r="I15" s="5">
        <f t="shared" si="29"/>
        <v>23.024523160762943</v>
      </c>
      <c r="J15" s="5">
        <f t="shared" si="29"/>
        <v>23.490524460114589</v>
      </c>
      <c r="K15" s="5">
        <f t="shared" si="29"/>
        <v>23.361344537815125</v>
      </c>
      <c r="L15" s="5">
        <f t="shared" si="29"/>
        <v>23.125245386729485</v>
      </c>
      <c r="M15" s="5">
        <f t="shared" si="29"/>
        <v>22.895019706198497</v>
      </c>
      <c r="N15" s="5">
        <f t="shared" si="29"/>
        <v>23.445143256464011</v>
      </c>
      <c r="O15" s="5">
        <f t="shared" si="29"/>
        <v>23.421316404944871</v>
      </c>
      <c r="P15" s="5">
        <f t="shared" ref="P15:S15" si="30">P4*1000/P8</f>
        <v>23.36802270577105</v>
      </c>
      <c r="Q15" s="5">
        <f t="shared" si="30"/>
        <v>23.240255962769051</v>
      </c>
      <c r="R15" s="5">
        <f t="shared" si="30"/>
        <v>23.881447705899117</v>
      </c>
      <c r="S15" s="5">
        <f t="shared" si="30"/>
        <v>24.179762889440308</v>
      </c>
      <c r="T15" s="5">
        <f t="shared" si="23"/>
        <v>24.323607427055702</v>
      </c>
      <c r="U15" s="5">
        <f t="shared" si="23"/>
        <v>24.42956349206349</v>
      </c>
      <c r="V15" s="5">
        <f t="shared" si="23"/>
        <v>24.987822698490014</v>
      </c>
      <c r="W15" s="5">
        <f t="shared" si="23"/>
        <v>25.291181364392678</v>
      </c>
      <c r="X15" s="5">
        <f t="shared" si="23"/>
        <v>25.483870967741936</v>
      </c>
      <c r="Y15" s="5">
        <f>+U15*1.05</f>
        <v>25.651041666666664</v>
      </c>
      <c r="Z15" s="5">
        <f t="shared" ref="Z15:AB15" si="31">+V15*1.05</f>
        <v>26.237213833414515</v>
      </c>
      <c r="AA15" s="5">
        <f t="shared" si="31"/>
        <v>26.555740432612314</v>
      </c>
      <c r="AB15" s="5">
        <f t="shared" si="31"/>
        <v>26.758064516129036</v>
      </c>
      <c r="AI15" s="5">
        <f t="shared" ref="AI15" si="32">AI4*1000/AI8</f>
        <v>0</v>
      </c>
      <c r="AJ15" s="5">
        <f t="shared" ref="AJ15" si="33">AJ4*1000/AJ8</f>
        <v>91.007957559681699</v>
      </c>
      <c r="AK15" s="5">
        <f t="shared" ref="AK15" si="34">AK4*1000/AK8</f>
        <v>96.336405529953922</v>
      </c>
      <c r="AL15" s="5">
        <f t="shared" ref="AL15" si="35">AL4*1000/AL8</f>
        <v>101.51748559582298</v>
      </c>
      <c r="AM15" s="5">
        <f>+AL15*1.05</f>
        <v>106.59335987561413</v>
      </c>
      <c r="AN15" s="5">
        <f t="shared" ref="AN15:AQ15" si="36">+AM15*1.05</f>
        <v>111.92302786939484</v>
      </c>
      <c r="AO15" s="5">
        <f t="shared" si="36"/>
        <v>117.5191792628646</v>
      </c>
      <c r="AP15" s="5">
        <f t="shared" si="36"/>
        <v>123.39513822600783</v>
      </c>
      <c r="AQ15" s="5">
        <f t="shared" si="36"/>
        <v>129.56489513730824</v>
      </c>
      <c r="AR15" s="5">
        <f>+AQ15*1.03</f>
        <v>133.4518419914275</v>
      </c>
      <c r="AS15" s="5">
        <f t="shared" ref="AS15:AY15" si="37">+AR15*1.03</f>
        <v>137.45539725117033</v>
      </c>
      <c r="AT15" s="5">
        <f t="shared" si="37"/>
        <v>141.57905916870544</v>
      </c>
      <c r="AU15" s="5">
        <f t="shared" si="37"/>
        <v>145.82643094376661</v>
      </c>
      <c r="AV15" s="5">
        <f t="shared" si="37"/>
        <v>150.20122387207962</v>
      </c>
      <c r="AW15" s="5">
        <f t="shared" si="37"/>
        <v>154.70726058824201</v>
      </c>
      <c r="AX15" s="5">
        <f t="shared" si="37"/>
        <v>159.34847840588927</v>
      </c>
      <c r="AY15" s="5">
        <f t="shared" si="37"/>
        <v>164.12893275806596</v>
      </c>
      <c r="AZ15" s="5">
        <f>+AY15*1.03</f>
        <v>169.05280074080795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x14ac:dyDescent="0.2">
      <c r="B16" s="2" t="s">
        <v>98</v>
      </c>
      <c r="C16" s="5"/>
      <c r="D16" s="5"/>
      <c r="E16" s="5"/>
      <c r="F16" s="5"/>
      <c r="G16" s="5"/>
      <c r="H16" s="5">
        <f t="shared" ref="H16:O16" si="38">H5*1000/H9</f>
        <v>15.591397849462366</v>
      </c>
      <c r="I16" s="5">
        <f t="shared" si="38"/>
        <v>14.006514657980455</v>
      </c>
      <c r="J16" s="5">
        <f t="shared" si="38"/>
        <v>17.955801104972377</v>
      </c>
      <c r="K16" s="5">
        <f t="shared" si="38"/>
        <v>18.097447795823665</v>
      </c>
      <c r="L16" s="5">
        <f t="shared" si="38"/>
        <v>20.654396728016359</v>
      </c>
      <c r="M16" s="5">
        <f t="shared" si="38"/>
        <v>22.432859399684045</v>
      </c>
      <c r="N16" s="5">
        <f t="shared" si="38"/>
        <v>23.680456490727533</v>
      </c>
      <c r="O16" s="5">
        <f t="shared" si="38"/>
        <v>22.64851485148515</v>
      </c>
      <c r="P16" s="5">
        <f t="shared" ref="P16:S16" si="39">P5*1000/P9</f>
        <v>22.736625514403293</v>
      </c>
      <c r="Q16" s="5">
        <f t="shared" si="39"/>
        <v>22.704081632653061</v>
      </c>
      <c r="R16" s="5">
        <f t="shared" si="39"/>
        <v>23.78001549186677</v>
      </c>
      <c r="S16" s="5">
        <f t="shared" si="39"/>
        <v>24.044475330090339</v>
      </c>
      <c r="T16" s="5">
        <f t="shared" si="23"/>
        <v>23.122765196662694</v>
      </c>
      <c r="U16" s="5">
        <f t="shared" si="23"/>
        <v>21.502590673575128</v>
      </c>
      <c r="V16" s="5">
        <f t="shared" si="23"/>
        <v>21.016166281755197</v>
      </c>
      <c r="W16" s="5">
        <f t="shared" si="23"/>
        <v>21.586638830897705</v>
      </c>
      <c r="X16" s="5">
        <f t="shared" si="23"/>
        <v>20.626822157434404</v>
      </c>
      <c r="Y16" s="5">
        <f>+U16*1.04</f>
        <v>22.362694300518132</v>
      </c>
      <c r="Z16" s="5">
        <f t="shared" ref="Z16:AB16" si="40">+V16*1.04</f>
        <v>21.856812933025406</v>
      </c>
      <c r="AA16" s="5">
        <f t="shared" si="40"/>
        <v>22.450104384133613</v>
      </c>
      <c r="AB16" s="5">
        <f t="shared" si="40"/>
        <v>21.451895043731781</v>
      </c>
      <c r="AI16" s="5">
        <f t="shared" ref="AI16" si="41">AI5*1000/AI9</f>
        <v>0</v>
      </c>
      <c r="AJ16" s="5">
        <f t="shared" ref="AJ16" si="42">AJ5*1000/AJ9</f>
        <v>77.949940405244334</v>
      </c>
      <c r="AK16" s="5">
        <f t="shared" ref="AK16" si="43">AK5*1000/AK9</f>
        <v>71.173469387755105</v>
      </c>
      <c r="AL16" s="5">
        <f t="shared" ref="AL16" si="44">AL5*1000/AL9</f>
        <v>74.586843254258881</v>
      </c>
      <c r="AM16" s="5">
        <f>+AL16*1.03</f>
        <v>76.824448551886647</v>
      </c>
      <c r="AN16" s="5">
        <f t="shared" ref="AN16:AP16" si="45">+AM16*1.03</f>
        <v>79.129182008443252</v>
      </c>
      <c r="AO16" s="5">
        <f t="shared" si="45"/>
        <v>81.503057468696554</v>
      </c>
      <c r="AP16" s="5">
        <f t="shared" si="45"/>
        <v>83.948149192757455</v>
      </c>
      <c r="AQ16" s="5">
        <f t="shared" ref="AQ16" si="46">+AP16*1.02</f>
        <v>85.627112176612613</v>
      </c>
      <c r="AR16" s="5">
        <f t="shared" ref="AR16:AZ16" si="47">+AQ16*1.01</f>
        <v>86.48338329837874</v>
      </c>
      <c r="AS16" s="5">
        <f t="shared" si="47"/>
        <v>87.348217131362532</v>
      </c>
      <c r="AT16" s="5">
        <f t="shared" si="47"/>
        <v>88.221699302676157</v>
      </c>
      <c r="AU16" s="5">
        <f t="shared" si="47"/>
        <v>89.103916295702916</v>
      </c>
      <c r="AV16" s="5">
        <f t="shared" si="47"/>
        <v>89.994955458659945</v>
      </c>
      <c r="AW16" s="5">
        <f t="shared" si="47"/>
        <v>90.894905013246543</v>
      </c>
      <c r="AX16" s="5">
        <f t="shared" si="47"/>
        <v>91.803854063379006</v>
      </c>
      <c r="AY16" s="5">
        <f t="shared" si="47"/>
        <v>92.721892604012794</v>
      </c>
      <c r="AZ16" s="5">
        <f t="shared" si="47"/>
        <v>93.64911153005292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2:128" x14ac:dyDescent="0.2"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2:128" x14ac:dyDescent="0.2">
      <c r="B18" s="2" t="s">
        <v>141</v>
      </c>
      <c r="P18" s="6">
        <f t="shared" ref="P18:S18" si="48">P20-P3</f>
        <v>213.23000000000002</v>
      </c>
      <c r="Q18" s="6">
        <f t="shared" si="48"/>
        <v>204.08899999999994</v>
      </c>
      <c r="R18" s="6">
        <f t="shared" si="48"/>
        <v>194.40699999999993</v>
      </c>
      <c r="S18" s="6">
        <f t="shared" si="48"/>
        <v>186.43200000000002</v>
      </c>
      <c r="T18" s="6">
        <f>T20-T3</f>
        <v>179.72800000000007</v>
      </c>
      <c r="U18" s="6">
        <f t="shared" ref="U18:X18" si="49">U20-U3</f>
        <v>173.12899999999991</v>
      </c>
      <c r="V18" s="6">
        <f t="shared" si="49"/>
        <v>163.69399999999996</v>
      </c>
      <c r="W18" s="6">
        <f t="shared" si="49"/>
        <v>157.35500000000002</v>
      </c>
      <c r="X18" s="6">
        <f t="shared" si="49"/>
        <v>151.33300000000008</v>
      </c>
      <c r="Y18" s="6">
        <f>+X18</f>
        <v>151.33300000000008</v>
      </c>
      <c r="Z18" s="6">
        <f t="shared" ref="Z18:AB18" si="50">+Y18</f>
        <v>151.33300000000008</v>
      </c>
      <c r="AA18" s="6">
        <f t="shared" si="50"/>
        <v>151.33300000000008</v>
      </c>
      <c r="AB18" s="6">
        <f t="shared" si="50"/>
        <v>151.33300000000008</v>
      </c>
      <c r="AI18" s="6"/>
      <c r="AJ18" s="6">
        <f>AJ20-AJ3</f>
        <v>764.65599999999995</v>
      </c>
      <c r="AK18" s="6">
        <f>AK20-AK3</f>
        <v>645.51100000000042</v>
      </c>
      <c r="AL18" s="6">
        <f>SUM(Y18:AB18)</f>
        <v>605.33200000000033</v>
      </c>
      <c r="AM18" s="6">
        <f>AL18*0.95</f>
        <v>575.0654000000003</v>
      </c>
      <c r="AN18" s="6">
        <f t="shared" ref="AN18:AZ18" si="51">AM18*0.95</f>
        <v>546.31213000000025</v>
      </c>
      <c r="AO18" s="6">
        <f t="shared" si="51"/>
        <v>518.99652350000019</v>
      </c>
      <c r="AP18" s="6">
        <f t="shared" si="51"/>
        <v>493.04669732500014</v>
      </c>
      <c r="AQ18" s="6">
        <f t="shared" si="51"/>
        <v>468.39436245875009</v>
      </c>
      <c r="AR18" s="6">
        <f t="shared" si="51"/>
        <v>444.97464433581257</v>
      </c>
      <c r="AS18" s="6">
        <f t="shared" si="51"/>
        <v>422.72591211902193</v>
      </c>
      <c r="AT18" s="6">
        <f t="shared" si="51"/>
        <v>401.58961651307084</v>
      </c>
      <c r="AU18" s="6">
        <f t="shared" si="51"/>
        <v>381.51013568741729</v>
      </c>
      <c r="AV18" s="6">
        <f t="shared" si="51"/>
        <v>362.43462890304642</v>
      </c>
      <c r="AW18" s="6">
        <f t="shared" si="51"/>
        <v>344.31289745789405</v>
      </c>
      <c r="AX18" s="6">
        <f t="shared" si="51"/>
        <v>327.09725258499935</v>
      </c>
      <c r="AY18" s="6">
        <f t="shared" si="51"/>
        <v>310.74238995574939</v>
      </c>
      <c r="AZ18" s="6">
        <f t="shared" si="51"/>
        <v>295.20527045796189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2:128" x14ac:dyDescent="0.2"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2:128" s="7" customFormat="1" x14ac:dyDescent="0.2">
      <c r="B20" s="7" t="s">
        <v>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1175.23</v>
      </c>
      <c r="Q20" s="8">
        <v>1270.0889999999999</v>
      </c>
      <c r="R20" s="8">
        <v>1340.4069999999999</v>
      </c>
      <c r="S20" s="8">
        <v>1409.432</v>
      </c>
      <c r="T20" s="8">
        <v>1484.7280000000001</v>
      </c>
      <c r="U20" s="8">
        <v>1573.1289999999999</v>
      </c>
      <c r="V20" s="8">
        <v>1644.694</v>
      </c>
      <c r="W20" s="8">
        <v>1738.355</v>
      </c>
      <c r="X20" s="8">
        <v>1823.3330000000001</v>
      </c>
      <c r="Y20" s="8">
        <v>1957.7360000000001</v>
      </c>
      <c r="Z20" s="8">
        <f t="shared" ref="Z20:AB20" si="52">+Z18+Z3</f>
        <v>2176.6185625350836</v>
      </c>
      <c r="AA20" s="8">
        <f t="shared" si="52"/>
        <v>2329.3649205777429</v>
      </c>
      <c r="AB20" s="8">
        <f t="shared" si="52"/>
        <v>2411.766217812471</v>
      </c>
      <c r="AC20" s="8"/>
      <c r="AD20" s="8"/>
      <c r="AE20" s="8"/>
      <c r="AF20" s="8"/>
      <c r="AG20" s="8"/>
      <c r="AH20" s="8"/>
      <c r="AI20" s="8">
        <v>4374.5619999999999</v>
      </c>
      <c r="AJ20" s="8">
        <v>5504.6559999999999</v>
      </c>
      <c r="AK20" s="8">
        <v>6779.5110000000004</v>
      </c>
      <c r="AL20" s="8">
        <f>SUM(Y20:AB20)</f>
        <v>8875.4857009252974</v>
      </c>
      <c r="AM20" s="8">
        <f>+AM18+AM3</f>
        <v>11519.240985912689</v>
      </c>
      <c r="AN20" s="8">
        <f t="shared" ref="AN20:AY20" si="53">+AN18+AN3</f>
        <v>14641.712906947978</v>
      </c>
      <c r="AO20" s="8">
        <f t="shared" si="53"/>
        <v>18144.201366550387</v>
      </c>
      <c r="AP20" s="8">
        <f t="shared" si="53"/>
        <v>24667.447960619858</v>
      </c>
      <c r="AQ20" s="8">
        <f t="shared" si="53"/>
        <v>29243.175981070872</v>
      </c>
      <c r="AR20" s="8">
        <f t="shared" si="53"/>
        <v>32428.12807532182</v>
      </c>
      <c r="AS20" s="8">
        <f t="shared" si="53"/>
        <v>35971.995732976786</v>
      </c>
      <c r="AT20" s="8">
        <f t="shared" si="53"/>
        <v>39260.442950374796</v>
      </c>
      <c r="AU20" s="8">
        <f t="shared" si="53"/>
        <v>41319.111432242331</v>
      </c>
      <c r="AV20" s="8">
        <f t="shared" si="53"/>
        <v>43493.577969534679</v>
      </c>
      <c r="AW20" s="8">
        <f t="shared" si="53"/>
        <v>44636.987321825989</v>
      </c>
      <c r="AX20" s="8">
        <f t="shared" si="53"/>
        <v>45816.521718107033</v>
      </c>
      <c r="AY20" s="8">
        <f t="shared" si="53"/>
        <v>47033.322204053438</v>
      </c>
      <c r="AZ20" s="8">
        <f>+AZ18+AZ3</f>
        <v>48288.57521768548</v>
      </c>
      <c r="BA20" s="8"/>
      <c r="BB20" s="8"/>
      <c r="BC20" s="8"/>
      <c r="BD20" s="8"/>
      <c r="BE20" s="8"/>
    </row>
    <row r="21" spans="2:128" s="2" customFormat="1" x14ac:dyDescent="0.2">
      <c r="B21" s="2" t="s">
        <v>24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>
        <v>820.67700000000002</v>
      </c>
      <c r="Q21" s="6">
        <v>869.18600000000004</v>
      </c>
      <c r="R21" s="6">
        <v>914.84799999999996</v>
      </c>
      <c r="S21" s="6">
        <v>954.39400000000001</v>
      </c>
      <c r="T21" s="6">
        <v>1014.332</v>
      </c>
      <c r="U21" s="6">
        <v>1046.4010000000001</v>
      </c>
      <c r="V21" s="6">
        <v>1121.752</v>
      </c>
      <c r="W21" s="6">
        <v>1173.9580000000001</v>
      </c>
      <c r="X21" s="6">
        <v>1249.365</v>
      </c>
      <c r="Y21" s="6">
        <v>1369.54</v>
      </c>
      <c r="Z21" s="6">
        <f t="shared" ref="Z21:AB21" si="54">+Z20-Z22</f>
        <v>1501.8668081492078</v>
      </c>
      <c r="AA21" s="6">
        <f t="shared" si="54"/>
        <v>1607.2617951986426</v>
      </c>
      <c r="AB21" s="6">
        <f t="shared" si="54"/>
        <v>1664.1186902906052</v>
      </c>
      <c r="AC21" s="6"/>
      <c r="AD21" s="6"/>
      <c r="AE21" s="6"/>
      <c r="AF21" s="6"/>
      <c r="AG21" s="6"/>
      <c r="AH21" s="6"/>
      <c r="AI21" s="6">
        <v>3117.203</v>
      </c>
      <c r="AJ21" s="6">
        <v>3752.76</v>
      </c>
      <c r="AK21" s="6">
        <v>4591.4759999999997</v>
      </c>
      <c r="AL21" s="6">
        <f>AL20-AL22</f>
        <v>6142.7872936384556</v>
      </c>
      <c r="AM21" s="6">
        <f>+AM20-AM22</f>
        <v>7833.083870420629</v>
      </c>
      <c r="AN21" s="6">
        <f t="shared" ref="AN21:AZ21" si="55">+AN20-AN22</f>
        <v>9809.9476476551463</v>
      </c>
      <c r="AO21" s="6">
        <f t="shared" si="55"/>
        <v>11975.172901923255</v>
      </c>
      <c r="AP21" s="6">
        <f t="shared" si="55"/>
        <v>16033.841174402909</v>
      </c>
      <c r="AQ21" s="6">
        <f t="shared" si="55"/>
        <v>19008.064387696068</v>
      </c>
      <c r="AR21" s="6">
        <f t="shared" si="55"/>
        <v>21078.283248959182</v>
      </c>
      <c r="AS21" s="6">
        <f t="shared" si="55"/>
        <v>23381.797226434912</v>
      </c>
      <c r="AT21" s="6">
        <f t="shared" si="55"/>
        <v>25519.287917743619</v>
      </c>
      <c r="AU21" s="6">
        <f t="shared" si="55"/>
        <v>26857.422430957515</v>
      </c>
      <c r="AV21" s="6">
        <f t="shared" si="55"/>
        <v>28270.825680197544</v>
      </c>
      <c r="AW21" s="6">
        <f t="shared" si="55"/>
        <v>29014.041759186894</v>
      </c>
      <c r="AX21" s="6">
        <f t="shared" si="55"/>
        <v>29780.739116769575</v>
      </c>
      <c r="AY21" s="6">
        <f t="shared" si="55"/>
        <v>30571.659432634737</v>
      </c>
      <c r="AZ21" s="6">
        <f t="shared" si="55"/>
        <v>31387.573891495562</v>
      </c>
      <c r="BA21" s="6"/>
      <c r="BB21" s="6"/>
      <c r="BC21" s="8">
        <f>AZ20-AY20</f>
        <v>1255.253013632042</v>
      </c>
      <c r="BD21" s="6"/>
      <c r="BE21" s="6"/>
    </row>
    <row r="22" spans="2:128" s="2" customFormat="1" x14ac:dyDescent="0.2">
      <c r="B22" s="2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f t="shared" ref="P22:Y22" si="56">+P20-P21</f>
        <v>354.553</v>
      </c>
      <c r="Q22" s="6">
        <f t="shared" si="56"/>
        <v>400.90299999999991</v>
      </c>
      <c r="R22" s="6">
        <f t="shared" si="56"/>
        <v>425.55899999999997</v>
      </c>
      <c r="S22" s="6">
        <f t="shared" si="56"/>
        <v>455.03800000000001</v>
      </c>
      <c r="T22" s="6">
        <f t="shared" si="56"/>
        <v>470.39600000000007</v>
      </c>
      <c r="U22" s="6">
        <f t="shared" si="56"/>
        <v>526.72799999999984</v>
      </c>
      <c r="V22" s="6">
        <f t="shared" si="56"/>
        <v>522.94200000000001</v>
      </c>
      <c r="W22" s="6">
        <f t="shared" si="56"/>
        <v>564.39699999999993</v>
      </c>
      <c r="X22" s="6">
        <f t="shared" si="56"/>
        <v>573.96800000000007</v>
      </c>
      <c r="Y22" s="6">
        <f t="shared" si="56"/>
        <v>588.19600000000014</v>
      </c>
      <c r="Z22" s="6">
        <f t="shared" ref="Z22:AB22" si="57">+Z20*0.31</f>
        <v>674.75175438587587</v>
      </c>
      <c r="AA22" s="6">
        <f t="shared" si="57"/>
        <v>722.10312537910033</v>
      </c>
      <c r="AB22" s="6">
        <f t="shared" si="57"/>
        <v>747.64752752186598</v>
      </c>
      <c r="AC22" s="6"/>
      <c r="AD22" s="6"/>
      <c r="AE22" s="6"/>
      <c r="AF22" s="6"/>
      <c r="AG22" s="6"/>
      <c r="AH22" s="6"/>
      <c r="AI22" s="6">
        <f>+AI20-AI21</f>
        <v>1257.3589999999999</v>
      </c>
      <c r="AJ22" s="6">
        <f>+AJ20-AJ21</f>
        <v>1751.8959999999997</v>
      </c>
      <c r="AK22" s="6">
        <f>+AK20-AK21</f>
        <v>2188.0350000000008</v>
      </c>
      <c r="AL22" s="20">
        <f>SUM(Y22:AB22)</f>
        <v>2732.6984072868422</v>
      </c>
      <c r="AM22" s="6">
        <f>+AM20*0.32</f>
        <v>3686.1571154920607</v>
      </c>
      <c r="AN22" s="6">
        <f>+AN20*0.33</f>
        <v>4831.7652592928325</v>
      </c>
      <c r="AO22" s="6">
        <f>+AO20*0.34</f>
        <v>6169.0284646271321</v>
      </c>
      <c r="AP22" s="6">
        <f>+AP20*0.35</f>
        <v>8633.6067862169493</v>
      </c>
      <c r="AQ22" s="6">
        <f t="shared" ref="AQ22:AZ22" si="58">+AQ20*0.35</f>
        <v>10235.111593374804</v>
      </c>
      <c r="AR22" s="6">
        <f t="shared" si="58"/>
        <v>11349.844826362636</v>
      </c>
      <c r="AS22" s="6">
        <f t="shared" si="58"/>
        <v>12590.198506541874</v>
      </c>
      <c r="AT22" s="6">
        <f t="shared" si="58"/>
        <v>13741.155032631177</v>
      </c>
      <c r="AU22" s="6">
        <f t="shared" si="58"/>
        <v>14461.689001284814</v>
      </c>
      <c r="AV22" s="6">
        <f t="shared" si="58"/>
        <v>15222.752289337137</v>
      </c>
      <c r="AW22" s="6">
        <f t="shared" si="58"/>
        <v>15622.945562639095</v>
      </c>
      <c r="AX22" s="6">
        <f t="shared" si="58"/>
        <v>16035.78260133746</v>
      </c>
      <c r="AY22" s="6">
        <f t="shared" si="58"/>
        <v>16461.662771418702</v>
      </c>
      <c r="AZ22" s="6">
        <f t="shared" si="58"/>
        <v>16901.001326189918</v>
      </c>
      <c r="BA22" s="6"/>
      <c r="BB22" s="6"/>
      <c r="BC22" s="6"/>
      <c r="BD22" s="6"/>
      <c r="BE22" s="6"/>
    </row>
    <row r="23" spans="2:128" s="2" customFormat="1" x14ac:dyDescent="0.2">
      <c r="B23" s="2" t="s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128.017</v>
      </c>
      <c r="Q23" s="6">
        <v>137.09800000000001</v>
      </c>
      <c r="R23" s="6">
        <v>120.76300000000001</v>
      </c>
      <c r="S23" s="6">
        <v>145.654</v>
      </c>
      <c r="T23" s="6">
        <v>203.67099999999999</v>
      </c>
      <c r="U23" s="6">
        <v>194.67699999999999</v>
      </c>
      <c r="V23" s="6">
        <v>197.14</v>
      </c>
      <c r="W23" s="6">
        <v>208.102</v>
      </c>
      <c r="X23" s="6">
        <v>224.173</v>
      </c>
      <c r="Y23" s="6">
        <v>208.01</v>
      </c>
      <c r="Z23" s="6">
        <f t="shared" ref="Z23:Z25" si="59">+V23*1.2</f>
        <v>236.56799999999998</v>
      </c>
      <c r="AA23" s="6">
        <f t="shared" ref="AA23:AA25" si="60">+W23*1.2</f>
        <v>249.72239999999999</v>
      </c>
      <c r="AB23" s="6">
        <f t="shared" ref="AB23:AB25" si="61">+X23*1.2</f>
        <v>269.00759999999997</v>
      </c>
      <c r="AC23" s="6"/>
      <c r="AD23" s="6"/>
      <c r="AE23" s="6"/>
      <c r="AF23" s="6"/>
      <c r="AG23" s="6"/>
      <c r="AH23" s="6"/>
      <c r="AI23" s="6">
        <v>469.94200000000001</v>
      </c>
      <c r="AJ23" s="6">
        <v>607.18600000000004</v>
      </c>
      <c r="AK23" s="6">
        <v>824.09199999999998</v>
      </c>
      <c r="AL23" s="20">
        <f>SUM(Y23:AB23)</f>
        <v>963.30799999999999</v>
      </c>
      <c r="AM23" s="6">
        <f>+AL23*1.1</f>
        <v>1059.6388000000002</v>
      </c>
      <c r="AN23" s="6">
        <f>+AM23*1.05</f>
        <v>1112.6207400000003</v>
      </c>
      <c r="AO23" s="6">
        <f t="shared" ref="AO23:AP23" si="62">+AN23*1.05</f>
        <v>1168.2517770000004</v>
      </c>
      <c r="AP23" s="6">
        <f t="shared" si="62"/>
        <v>1226.6643658500004</v>
      </c>
      <c r="AQ23" s="6">
        <f>+AP23*1.03</f>
        <v>1263.4642968255005</v>
      </c>
      <c r="AR23" s="6">
        <f>+AQ23*1.01</f>
        <v>1276.0989397937556</v>
      </c>
      <c r="AS23" s="6">
        <f t="shared" ref="AS23:AZ23" si="63">+AR23*1.01</f>
        <v>1288.859929191693</v>
      </c>
      <c r="AT23" s="6">
        <f t="shared" si="63"/>
        <v>1301.74852848361</v>
      </c>
      <c r="AU23" s="6">
        <f t="shared" si="63"/>
        <v>1314.7660137684461</v>
      </c>
      <c r="AV23" s="6">
        <f t="shared" si="63"/>
        <v>1327.9136739061305</v>
      </c>
      <c r="AW23" s="6">
        <f t="shared" si="63"/>
        <v>1341.1928106451919</v>
      </c>
      <c r="AX23" s="6">
        <f t="shared" si="63"/>
        <v>1354.6047387516439</v>
      </c>
      <c r="AY23" s="6">
        <f t="shared" si="63"/>
        <v>1368.1507861391603</v>
      </c>
      <c r="AZ23" s="6">
        <f t="shared" si="63"/>
        <v>1381.8322940005519</v>
      </c>
      <c r="BA23" s="6"/>
      <c r="BB23" s="6"/>
      <c r="BC23" s="6"/>
      <c r="BD23" s="6"/>
      <c r="BE23" s="6"/>
    </row>
    <row r="24" spans="2:128" s="2" customFormat="1" x14ac:dyDescent="0.2">
      <c r="B24" s="2" t="s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>
        <v>98.128</v>
      </c>
      <c r="Q24" s="6">
        <v>110.31</v>
      </c>
      <c r="R24" s="6">
        <v>115.182</v>
      </c>
      <c r="S24" s="6">
        <v>120.953</v>
      </c>
      <c r="T24" s="6">
        <v>125.876</v>
      </c>
      <c r="U24" s="6">
        <v>143.10599999999999</v>
      </c>
      <c r="V24" s="6">
        <v>155.06100000000001</v>
      </c>
      <c r="W24" s="6">
        <v>171.762</v>
      </c>
      <c r="X24" s="6">
        <v>180.85900000000001</v>
      </c>
      <c r="Y24" s="6">
        <v>203.50800000000001</v>
      </c>
      <c r="Z24" s="6">
        <f t="shared" si="59"/>
        <v>186.07320000000001</v>
      </c>
      <c r="AA24" s="6">
        <f t="shared" si="60"/>
        <v>206.11439999999999</v>
      </c>
      <c r="AB24" s="6">
        <f t="shared" si="61"/>
        <v>217.0308</v>
      </c>
      <c r="AC24" s="6"/>
      <c r="AD24" s="6"/>
      <c r="AE24" s="6"/>
      <c r="AF24" s="6"/>
      <c r="AG24" s="6"/>
      <c r="AH24" s="6"/>
      <c r="AI24" s="6">
        <v>378.76900000000001</v>
      </c>
      <c r="AJ24" s="6">
        <v>472.32100000000003</v>
      </c>
      <c r="AK24" s="6">
        <v>650.78800000000001</v>
      </c>
      <c r="AL24" s="20">
        <f>SUM(Y24:AB24)</f>
        <v>812.72640000000001</v>
      </c>
      <c r="AM24" s="6">
        <f t="shared" ref="AM24" si="64">+AL24*1.1</f>
        <v>893.99904000000004</v>
      </c>
      <c r="AN24" s="6">
        <f t="shared" ref="AN24:AP24" si="65">+AM24*1.05</f>
        <v>938.69899200000009</v>
      </c>
      <c r="AO24" s="6">
        <f t="shared" si="65"/>
        <v>985.63394160000018</v>
      </c>
      <c r="AP24" s="6">
        <f t="shared" si="65"/>
        <v>1034.9156386800003</v>
      </c>
      <c r="AQ24" s="6">
        <f t="shared" ref="AQ24" si="66">+AP24*1.03</f>
        <v>1065.9631078404002</v>
      </c>
      <c r="AR24" s="6">
        <f t="shared" ref="AR24:AZ24" si="67">+AQ24*1.01</f>
        <v>1076.6227389188043</v>
      </c>
      <c r="AS24" s="6">
        <f t="shared" si="67"/>
        <v>1087.3889663079924</v>
      </c>
      <c r="AT24" s="6">
        <f t="shared" si="67"/>
        <v>1098.2628559710724</v>
      </c>
      <c r="AU24" s="6">
        <f t="shared" si="67"/>
        <v>1109.2454845307832</v>
      </c>
      <c r="AV24" s="6">
        <f t="shared" si="67"/>
        <v>1120.3379393760911</v>
      </c>
      <c r="AW24" s="6">
        <f t="shared" si="67"/>
        <v>1131.5413187698521</v>
      </c>
      <c r="AX24" s="6">
        <f t="shared" si="67"/>
        <v>1142.8567319575507</v>
      </c>
      <c r="AY24" s="6">
        <f t="shared" si="67"/>
        <v>1154.2852992771261</v>
      </c>
      <c r="AZ24" s="6">
        <f t="shared" si="67"/>
        <v>1165.8281522698974</v>
      </c>
      <c r="BA24" s="6"/>
      <c r="BB24" s="6"/>
      <c r="BC24" s="6"/>
      <c r="BD24" s="6"/>
      <c r="BE24" s="6"/>
    </row>
    <row r="25" spans="2:128" s="2" customFormat="1" x14ac:dyDescent="0.2">
      <c r="B25" s="2" t="s">
        <v>28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v>46.12</v>
      </c>
      <c r="Q25" s="6">
        <v>55.9</v>
      </c>
      <c r="R25" s="6">
        <v>60.014000000000003</v>
      </c>
      <c r="S25" s="6">
        <v>78.024000000000001</v>
      </c>
      <c r="T25" s="6">
        <v>75.802999999999997</v>
      </c>
      <c r="U25" s="6">
        <v>91.489000000000004</v>
      </c>
      <c r="V25" s="6">
        <v>95.906000000000006</v>
      </c>
      <c r="W25" s="6">
        <v>110.892</v>
      </c>
      <c r="X25" s="6">
        <v>109.042</v>
      </c>
      <c r="Y25" s="6">
        <v>127.22499999999999</v>
      </c>
      <c r="Z25" s="6">
        <f t="shared" si="59"/>
        <v>115.08720000000001</v>
      </c>
      <c r="AA25" s="6">
        <f t="shared" si="60"/>
        <v>133.07039999999998</v>
      </c>
      <c r="AB25" s="6">
        <f t="shared" si="61"/>
        <v>130.85040000000001</v>
      </c>
      <c r="AC25" s="6"/>
      <c r="AD25" s="6"/>
      <c r="AE25" s="6"/>
      <c r="AF25" s="6"/>
      <c r="AG25" s="6"/>
      <c r="AH25" s="6"/>
      <c r="AI25" s="6">
        <v>180.30099999999999</v>
      </c>
      <c r="AJ25" s="6">
        <v>269.74099999999999</v>
      </c>
      <c r="AK25" s="6">
        <v>407.32900000000001</v>
      </c>
      <c r="AL25" s="20">
        <f>SUM(Y25:AB25)</f>
        <v>506.23300000000006</v>
      </c>
      <c r="AM25" s="6">
        <f>+AL25*1.02</f>
        <v>516.35766000000012</v>
      </c>
      <c r="AN25" s="6">
        <f t="shared" ref="AN25:AZ25" si="68">+AM25*1.02</f>
        <v>526.68481320000012</v>
      </c>
      <c r="AO25" s="6">
        <f t="shared" si="68"/>
        <v>537.21850946400014</v>
      </c>
      <c r="AP25" s="6">
        <f t="shared" si="68"/>
        <v>547.9628796532802</v>
      </c>
      <c r="AQ25" s="6">
        <f t="shared" si="68"/>
        <v>558.92213724634576</v>
      </c>
      <c r="AR25" s="6">
        <f t="shared" si="68"/>
        <v>570.10057999127264</v>
      </c>
      <c r="AS25" s="6">
        <f t="shared" si="68"/>
        <v>581.50259159109805</v>
      </c>
      <c r="AT25" s="6">
        <f t="shared" si="68"/>
        <v>593.13264342292007</v>
      </c>
      <c r="AU25" s="6">
        <f t="shared" si="68"/>
        <v>604.99529629137851</v>
      </c>
      <c r="AV25" s="6">
        <f t="shared" si="68"/>
        <v>617.09520221720607</v>
      </c>
      <c r="AW25" s="6">
        <f t="shared" si="68"/>
        <v>629.43710626155018</v>
      </c>
      <c r="AX25" s="6">
        <f t="shared" si="68"/>
        <v>642.02584838678115</v>
      </c>
      <c r="AY25" s="6">
        <f t="shared" si="68"/>
        <v>654.8663653545168</v>
      </c>
      <c r="AZ25" s="6">
        <f t="shared" si="68"/>
        <v>667.96369266160718</v>
      </c>
      <c r="BA25" s="6"/>
      <c r="BB25" s="6"/>
      <c r="BC25" s="6"/>
      <c r="BD25" s="6"/>
      <c r="BE25" s="6"/>
    </row>
    <row r="26" spans="2:128" s="2" customFormat="1" x14ac:dyDescent="0.2">
      <c r="B26" s="2" t="s">
        <v>29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f t="shared" ref="P26:X26" si="69">SUM(P23:P25)</f>
        <v>272.26499999999999</v>
      </c>
      <c r="Q26" s="6">
        <f t="shared" si="69"/>
        <v>303.30799999999999</v>
      </c>
      <c r="R26" s="6">
        <f t="shared" si="69"/>
        <v>295.959</v>
      </c>
      <c r="S26" s="6">
        <f t="shared" si="69"/>
        <v>344.63099999999997</v>
      </c>
      <c r="T26" s="6">
        <f t="shared" si="69"/>
        <v>405.35</v>
      </c>
      <c r="U26" s="6">
        <f t="shared" si="69"/>
        <v>429.27200000000005</v>
      </c>
      <c r="V26" s="6">
        <f t="shared" si="69"/>
        <v>448.10700000000003</v>
      </c>
      <c r="W26" s="6">
        <f t="shared" si="69"/>
        <v>490.75600000000003</v>
      </c>
      <c r="X26" s="6">
        <f t="shared" si="69"/>
        <v>514.07400000000007</v>
      </c>
      <c r="Y26" s="6">
        <f>SUM(Y23:Y25)</f>
        <v>538.74300000000005</v>
      </c>
      <c r="Z26" s="6">
        <f t="shared" ref="Z26:AB26" si="70">SUM(Z23:Z25)</f>
        <v>537.72840000000008</v>
      </c>
      <c r="AA26" s="6">
        <f t="shared" si="70"/>
        <v>588.90719999999999</v>
      </c>
      <c r="AB26" s="6">
        <f t="shared" si="70"/>
        <v>616.88879999999995</v>
      </c>
      <c r="AC26" s="6"/>
      <c r="AD26" s="6"/>
      <c r="AE26" s="6"/>
      <c r="AF26" s="6"/>
      <c r="AG26" s="6"/>
      <c r="AH26" s="6"/>
      <c r="AI26" s="6">
        <f>SUM(AI23:AI25)</f>
        <v>1029.0119999999999</v>
      </c>
      <c r="AJ26" s="6">
        <f>SUM(AJ23:AJ25)</f>
        <v>1349.248</v>
      </c>
      <c r="AK26" s="6">
        <f>SUM(AK23:AK25)</f>
        <v>1882.2090000000001</v>
      </c>
      <c r="AL26" s="6">
        <f>SUM(AL23:AL25)</f>
        <v>2282.2674000000002</v>
      </c>
      <c r="AM26" s="6">
        <f t="shared" ref="AM26:AZ26" si="71">SUM(AM23:AM25)</f>
        <v>2469.9955000000004</v>
      </c>
      <c r="AN26" s="6">
        <f t="shared" si="71"/>
        <v>2578.0045452000004</v>
      </c>
      <c r="AO26" s="6">
        <f t="shared" si="71"/>
        <v>2691.1042280640004</v>
      </c>
      <c r="AP26" s="6">
        <f t="shared" si="71"/>
        <v>2809.5428841832809</v>
      </c>
      <c r="AQ26" s="6">
        <f t="shared" si="71"/>
        <v>2888.3495419122464</v>
      </c>
      <c r="AR26" s="6">
        <f t="shared" si="71"/>
        <v>2922.8222587038326</v>
      </c>
      <c r="AS26" s="6">
        <f t="shared" si="71"/>
        <v>2957.7514870907835</v>
      </c>
      <c r="AT26" s="6">
        <f t="shared" si="71"/>
        <v>2993.1440278776022</v>
      </c>
      <c r="AU26" s="6">
        <f t="shared" si="71"/>
        <v>3029.0067945906076</v>
      </c>
      <c r="AV26" s="6">
        <f t="shared" si="71"/>
        <v>3065.3468154994275</v>
      </c>
      <c r="AW26" s="6">
        <f t="shared" si="71"/>
        <v>3102.1712356765938</v>
      </c>
      <c r="AX26" s="6">
        <f t="shared" si="71"/>
        <v>3139.4873190959756</v>
      </c>
      <c r="AY26" s="6">
        <f t="shared" si="71"/>
        <v>3177.3024507708033</v>
      </c>
      <c r="AZ26" s="6">
        <f t="shared" si="71"/>
        <v>3215.6241389320562</v>
      </c>
      <c r="BA26" s="6"/>
      <c r="BB26" s="6"/>
      <c r="BC26" s="6"/>
      <c r="BD26" s="6"/>
      <c r="BE26" s="6"/>
    </row>
    <row r="27" spans="2:128" s="2" customFormat="1" x14ac:dyDescent="0.2">
      <c r="B27" s="2" t="s">
        <v>30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f t="shared" ref="P27:X27" si="72">P22-P26</f>
        <v>82.288000000000011</v>
      </c>
      <c r="Q27" s="6">
        <f t="shared" si="72"/>
        <v>97.594999999999914</v>
      </c>
      <c r="R27" s="6">
        <f t="shared" si="72"/>
        <v>129.59999999999997</v>
      </c>
      <c r="S27" s="6">
        <f t="shared" si="72"/>
        <v>110.40700000000004</v>
      </c>
      <c r="T27" s="6">
        <f t="shared" si="72"/>
        <v>65.046000000000049</v>
      </c>
      <c r="U27" s="6">
        <f t="shared" si="72"/>
        <v>97.45599999999979</v>
      </c>
      <c r="V27" s="6">
        <f t="shared" si="72"/>
        <v>74.83499999999998</v>
      </c>
      <c r="W27" s="6">
        <f t="shared" si="72"/>
        <v>73.640999999999906</v>
      </c>
      <c r="X27" s="6">
        <f t="shared" si="72"/>
        <v>59.894000000000005</v>
      </c>
      <c r="Y27" s="6">
        <f>Y22-Y26</f>
        <v>49.453000000000088</v>
      </c>
      <c r="Z27" s="6">
        <f t="shared" ref="Z27:AB27" si="73">Z22-Z26</f>
        <v>137.02335438587579</v>
      </c>
      <c r="AA27" s="6">
        <f t="shared" si="73"/>
        <v>133.19592537910034</v>
      </c>
      <c r="AB27" s="6">
        <f t="shared" si="73"/>
        <v>130.75872752186604</v>
      </c>
      <c r="AC27" s="6"/>
      <c r="AD27" s="6"/>
      <c r="AE27" s="6"/>
      <c r="AF27" s="6"/>
      <c r="AG27" s="6"/>
      <c r="AH27" s="6"/>
      <c r="AI27" s="6">
        <f>AI22-AI26</f>
        <v>228.34699999999998</v>
      </c>
      <c r="AJ27" s="6">
        <f>AJ22-AJ26</f>
        <v>402.64799999999968</v>
      </c>
      <c r="AK27" s="6">
        <f>AK22-AK26</f>
        <v>305.8260000000007</v>
      </c>
      <c r="AL27" s="6">
        <f>AL22-AL26</f>
        <v>450.43100728684203</v>
      </c>
      <c r="AM27" s="6">
        <f t="shared" ref="AM27:AZ27" si="74">AM22-AM26</f>
        <v>1216.1616154920603</v>
      </c>
      <c r="AN27" s="6">
        <f t="shared" si="74"/>
        <v>2253.7607140928321</v>
      </c>
      <c r="AO27" s="6">
        <f t="shared" si="74"/>
        <v>3477.9242365631317</v>
      </c>
      <c r="AP27" s="6">
        <f t="shared" si="74"/>
        <v>5824.0639020336685</v>
      </c>
      <c r="AQ27" s="6">
        <f t="shared" si="74"/>
        <v>7346.7620514625578</v>
      </c>
      <c r="AR27" s="6">
        <f t="shared" si="74"/>
        <v>8427.0225676588034</v>
      </c>
      <c r="AS27" s="6">
        <f t="shared" si="74"/>
        <v>9632.4470194510905</v>
      </c>
      <c r="AT27" s="6">
        <f t="shared" si="74"/>
        <v>10748.011004753575</v>
      </c>
      <c r="AU27" s="6">
        <f t="shared" si="74"/>
        <v>11432.682206694208</v>
      </c>
      <c r="AV27" s="6">
        <f t="shared" si="74"/>
        <v>12157.405473837709</v>
      </c>
      <c r="AW27" s="6">
        <f t="shared" si="74"/>
        <v>12520.774326962503</v>
      </c>
      <c r="AX27" s="6">
        <f t="shared" si="74"/>
        <v>12896.295282241485</v>
      </c>
      <c r="AY27" s="6">
        <f t="shared" si="74"/>
        <v>13284.360320647898</v>
      </c>
      <c r="AZ27" s="6">
        <f t="shared" si="74"/>
        <v>13685.377187257862</v>
      </c>
      <c r="BA27" s="6"/>
      <c r="BB27" s="6"/>
      <c r="BC27" s="6">
        <f>AZ27-AY27</f>
        <v>401.01686660996347</v>
      </c>
      <c r="BD27" s="9">
        <f>BC27/BC21</f>
        <v>0.31947094510423169</v>
      </c>
      <c r="BE27" s="6"/>
    </row>
    <row r="28" spans="2:128" s="2" customFormat="1" x14ac:dyDescent="0.2">
      <c r="B28" s="2" t="s">
        <v>31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f>-7.438-0.846</f>
        <v>-8.2839999999999989</v>
      </c>
      <c r="Q28" s="6">
        <f>-10.052+1.401</f>
        <v>-8.6509999999999998</v>
      </c>
      <c r="R28" s="6">
        <f>-13.328+1.1</f>
        <v>-12.228</v>
      </c>
      <c r="S28" s="6">
        <f>-13.486+0.616</f>
        <v>-12.870000000000001</v>
      </c>
      <c r="T28" s="6">
        <f>-13.353-6.177</f>
        <v>-19.53</v>
      </c>
      <c r="U28" s="6">
        <f>-26.737-32.293</f>
        <v>-59.03</v>
      </c>
      <c r="V28" s="6">
        <f>-35.217+0.872</f>
        <v>-34.344999999999999</v>
      </c>
      <c r="W28" s="6">
        <f>-35.333+3.93</f>
        <v>-31.402999999999999</v>
      </c>
      <c r="X28" s="6">
        <f>-35.429-3.734</f>
        <v>-39.163000000000004</v>
      </c>
      <c r="Y28" s="6">
        <f>-35.537+25.963</f>
        <v>-9.5739999999999981</v>
      </c>
      <c r="Z28" s="6">
        <f t="shared" ref="Z28:AB28" si="75">-35.429-3.734</f>
        <v>-39.163000000000004</v>
      </c>
      <c r="AA28" s="6">
        <f t="shared" si="75"/>
        <v>-39.163000000000004</v>
      </c>
      <c r="AB28" s="6">
        <f t="shared" si="75"/>
        <v>-39.163000000000004</v>
      </c>
      <c r="AC28" s="6"/>
      <c r="AD28" s="6"/>
      <c r="AE28" s="6"/>
      <c r="AF28" s="6"/>
      <c r="AG28" s="6"/>
      <c r="AH28" s="6"/>
      <c r="AI28" s="6">
        <f>-29.142-3.002</f>
        <v>-32.143999999999998</v>
      </c>
      <c r="AJ28" s="6">
        <f>-50.219-3.06</f>
        <v>-53.279000000000003</v>
      </c>
      <c r="AK28" s="6">
        <f>-132.716-31.225</f>
        <v>-163.941</v>
      </c>
      <c r="AL28" s="20">
        <f>SUM(Y28:AB28)</f>
        <v>-127.06300000000002</v>
      </c>
      <c r="AM28" s="6">
        <v>0</v>
      </c>
      <c r="AN28" s="6">
        <f>+AM57*$BC$37</f>
        <v>8.9997349822312209</v>
      </c>
      <c r="AO28" s="6">
        <f t="shared" ref="AO28:AZ28" si="76">+AN57*$BC$37</f>
        <v>27.101818574831729</v>
      </c>
      <c r="AP28" s="6">
        <f t="shared" si="76"/>
        <v>55.14202701593544</v>
      </c>
      <c r="AQ28" s="6">
        <f t="shared" si="76"/>
        <v>102.17567444833227</v>
      </c>
      <c r="AR28" s="6">
        <f t="shared" si="76"/>
        <v>161.76717625561938</v>
      </c>
      <c r="AS28" s="6">
        <f t="shared" si="76"/>
        <v>230.47749420693481</v>
      </c>
      <c r="AT28" s="6">
        <f t="shared" si="76"/>
        <v>309.38089031619899</v>
      </c>
      <c r="AU28" s="6">
        <f t="shared" si="76"/>
        <v>397.84002547675715</v>
      </c>
      <c r="AV28" s="6">
        <f t="shared" si="76"/>
        <v>492.48420333412491</v>
      </c>
      <c r="AW28" s="6">
        <f t="shared" si="76"/>
        <v>593.68332075149954</v>
      </c>
      <c r="AX28" s="6">
        <f t="shared" si="76"/>
        <v>698.59898193321158</v>
      </c>
      <c r="AY28" s="6">
        <f t="shared" si="76"/>
        <v>807.35813604660916</v>
      </c>
      <c r="AZ28" s="6">
        <f t="shared" si="76"/>
        <v>920.09188370016523</v>
      </c>
      <c r="BA28" s="6"/>
      <c r="BB28" s="6"/>
      <c r="BC28" s="6"/>
      <c r="BD28" s="6"/>
      <c r="BE28" s="6"/>
    </row>
    <row r="29" spans="2:128" s="2" customFormat="1" x14ac:dyDescent="0.2">
      <c r="B29" s="2" t="s">
        <v>32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f t="shared" ref="P29:X29" si="77">+P27+P28</f>
        <v>74.004000000000019</v>
      </c>
      <c r="Q29" s="6">
        <f t="shared" si="77"/>
        <v>88.943999999999917</v>
      </c>
      <c r="R29" s="6">
        <f t="shared" si="77"/>
        <v>117.37199999999997</v>
      </c>
      <c r="S29" s="6">
        <f t="shared" si="77"/>
        <v>97.537000000000035</v>
      </c>
      <c r="T29" s="6">
        <f t="shared" si="77"/>
        <v>45.516000000000048</v>
      </c>
      <c r="U29" s="6">
        <f t="shared" si="77"/>
        <v>38.425999999999789</v>
      </c>
      <c r="V29" s="6">
        <f t="shared" si="77"/>
        <v>40.489999999999981</v>
      </c>
      <c r="W29" s="6">
        <f t="shared" si="77"/>
        <v>42.237999999999907</v>
      </c>
      <c r="X29" s="6">
        <f t="shared" si="77"/>
        <v>20.731000000000002</v>
      </c>
      <c r="Y29" s="6">
        <f t="shared" ref="Y29:AB29" si="78">+Y27+Y28</f>
        <v>39.87900000000009</v>
      </c>
      <c r="Z29" s="6">
        <f t="shared" si="78"/>
        <v>97.86035438587578</v>
      </c>
      <c r="AA29" s="6">
        <f t="shared" si="78"/>
        <v>94.032925379100334</v>
      </c>
      <c r="AB29" s="6">
        <f t="shared" si="78"/>
        <v>91.595727521866024</v>
      </c>
      <c r="AC29" s="6"/>
      <c r="AD29" s="6"/>
      <c r="AE29" s="6"/>
      <c r="AF29" s="6"/>
      <c r="AG29" s="6"/>
      <c r="AH29" s="6"/>
      <c r="AI29" s="6">
        <f>+AI28+AI27</f>
        <v>196.20299999999997</v>
      </c>
      <c r="AJ29" s="6">
        <f>+AJ28+AJ27</f>
        <v>349.36899999999969</v>
      </c>
      <c r="AK29" s="6">
        <f>+AK28+AK27</f>
        <v>141.8850000000007</v>
      </c>
      <c r="AL29" s="6">
        <f>+AL28+AL27</f>
        <v>323.36800728684204</v>
      </c>
      <c r="AM29" s="6">
        <f t="shared" ref="AM29:AZ29" si="79">+AM28+AM27</f>
        <v>1216.1616154920603</v>
      </c>
      <c r="AN29" s="6">
        <f t="shared" si="79"/>
        <v>2262.7604490750632</v>
      </c>
      <c r="AO29" s="6">
        <f t="shared" si="79"/>
        <v>3505.0260551379633</v>
      </c>
      <c r="AP29" s="6">
        <f t="shared" si="79"/>
        <v>5879.2059290496036</v>
      </c>
      <c r="AQ29" s="8">
        <f t="shared" si="79"/>
        <v>7448.9377259108896</v>
      </c>
      <c r="AR29" s="6">
        <f t="shared" si="79"/>
        <v>8588.7897439144235</v>
      </c>
      <c r="AS29" s="6">
        <f t="shared" si="79"/>
        <v>9862.9245136580248</v>
      </c>
      <c r="AT29" s="6">
        <f t="shared" si="79"/>
        <v>11057.391895069773</v>
      </c>
      <c r="AU29" s="6">
        <f t="shared" si="79"/>
        <v>11830.522232170964</v>
      </c>
      <c r="AV29" s="6">
        <f t="shared" si="79"/>
        <v>12649.889677171834</v>
      </c>
      <c r="AW29" s="6">
        <f t="shared" si="79"/>
        <v>13114.457647714002</v>
      </c>
      <c r="AX29" s="6">
        <f t="shared" si="79"/>
        <v>13594.894264174696</v>
      </c>
      <c r="AY29" s="6">
        <f t="shared" si="79"/>
        <v>14091.718456694507</v>
      </c>
      <c r="AZ29" s="8">
        <f t="shared" si="79"/>
        <v>14605.469070958026</v>
      </c>
      <c r="BA29" s="6"/>
      <c r="BB29" s="6"/>
      <c r="BC29" s="6"/>
      <c r="BD29" s="6"/>
      <c r="BE29" s="6"/>
    </row>
    <row r="30" spans="2:128" s="2" customFormat="1" x14ac:dyDescent="0.2">
      <c r="B30" s="2" t="s">
        <v>33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v>25.582999999999998</v>
      </c>
      <c r="Q30" s="6">
        <v>35.829000000000001</v>
      </c>
      <c r="R30" s="6">
        <v>46.353999999999999</v>
      </c>
      <c r="S30" s="6">
        <v>38.241999999999997</v>
      </c>
      <c r="T30" s="6">
        <v>-37.854999999999997</v>
      </c>
      <c r="U30" s="6">
        <v>14.73</v>
      </c>
      <c r="V30" s="6">
        <v>14.154999999999999</v>
      </c>
      <c r="W30" s="6">
        <v>12.805999999999999</v>
      </c>
      <c r="X30" s="6">
        <v>-22.446999999999999</v>
      </c>
      <c r="Y30" s="6">
        <v>12.221</v>
      </c>
      <c r="Z30" s="6">
        <f t="shared" ref="Z30:AB30" si="80">+Z29*0.2</f>
        <v>19.572070877175157</v>
      </c>
      <c r="AA30" s="6">
        <f t="shared" si="80"/>
        <v>18.806585075820067</v>
      </c>
      <c r="AB30" s="6">
        <f t="shared" si="80"/>
        <v>18.319145504373207</v>
      </c>
      <c r="AC30" s="6"/>
      <c r="AD30" s="6"/>
      <c r="AE30" s="6"/>
      <c r="AF30" s="6"/>
      <c r="AG30" s="6"/>
      <c r="AH30" s="6"/>
      <c r="AI30" s="6">
        <v>58.670999999999999</v>
      </c>
      <c r="AJ30" s="6">
        <v>82.57</v>
      </c>
      <c r="AK30" s="6">
        <v>19.244</v>
      </c>
      <c r="AL30" s="20">
        <f>SUM(Y30:AB30)</f>
        <v>68.918801457368431</v>
      </c>
      <c r="AM30" s="6">
        <f>+AM29*0.2</f>
        <v>243.23232309841205</v>
      </c>
      <c r="AN30" s="6">
        <f t="shared" ref="AN30:AZ30" si="81">+AN29*0.2</f>
        <v>452.55208981501266</v>
      </c>
      <c r="AO30" s="6">
        <f t="shared" si="81"/>
        <v>701.00521102759274</v>
      </c>
      <c r="AP30" s="6">
        <f t="shared" si="81"/>
        <v>1175.8411858099207</v>
      </c>
      <c r="AQ30" s="6">
        <f t="shared" si="81"/>
        <v>1489.7875451821781</v>
      </c>
      <c r="AR30" s="6">
        <f t="shared" si="81"/>
        <v>1717.7579487828848</v>
      </c>
      <c r="AS30" s="6">
        <f t="shared" si="81"/>
        <v>1972.5849027316051</v>
      </c>
      <c r="AT30" s="6">
        <f t="shared" si="81"/>
        <v>2211.478379013955</v>
      </c>
      <c r="AU30" s="6">
        <f t="shared" si="81"/>
        <v>2366.1044464341931</v>
      </c>
      <c r="AV30" s="6">
        <f t="shared" si="81"/>
        <v>2529.9779354343668</v>
      </c>
      <c r="AW30" s="6">
        <f t="shared" si="81"/>
        <v>2622.8915295428005</v>
      </c>
      <c r="AX30" s="6">
        <f t="shared" si="81"/>
        <v>2718.9788528349395</v>
      </c>
      <c r="AY30" s="6">
        <f t="shared" si="81"/>
        <v>2818.3436913389014</v>
      </c>
      <c r="AZ30" s="6">
        <f t="shared" si="81"/>
        <v>2921.0938141916054</v>
      </c>
      <c r="BA30" s="6"/>
      <c r="BB30" s="6"/>
      <c r="BC30" s="6"/>
      <c r="BD30" s="6"/>
      <c r="BE30" s="6"/>
    </row>
    <row r="31" spans="2:128" s="2" customFormat="1" x14ac:dyDescent="0.2">
      <c r="B31" s="2" t="s">
        <v>34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>
        <f t="shared" ref="P31:X31" si="82">+P29-P30</f>
        <v>48.421000000000021</v>
      </c>
      <c r="Q31" s="6">
        <f t="shared" si="82"/>
        <v>53.114999999999917</v>
      </c>
      <c r="R31" s="6">
        <f t="shared" si="82"/>
        <v>71.017999999999972</v>
      </c>
      <c r="S31" s="6">
        <f t="shared" si="82"/>
        <v>59.295000000000037</v>
      </c>
      <c r="T31" s="6">
        <f t="shared" si="82"/>
        <v>83.371000000000038</v>
      </c>
      <c r="U31" s="6">
        <f t="shared" si="82"/>
        <v>23.695999999999788</v>
      </c>
      <c r="V31" s="6">
        <f t="shared" si="82"/>
        <v>26.33499999999998</v>
      </c>
      <c r="W31" s="6">
        <f t="shared" si="82"/>
        <v>29.43199999999991</v>
      </c>
      <c r="X31" s="6">
        <f t="shared" si="82"/>
        <v>43.177999999999997</v>
      </c>
      <c r="Y31" s="6">
        <f t="shared" ref="Y31:AB31" si="83">+Y29-Y30</f>
        <v>27.65800000000009</v>
      </c>
      <c r="Z31" s="6">
        <f t="shared" si="83"/>
        <v>78.28828350870063</v>
      </c>
      <c r="AA31" s="6">
        <f t="shared" si="83"/>
        <v>75.226340303280267</v>
      </c>
      <c r="AB31" s="6">
        <f t="shared" si="83"/>
        <v>73.276582017492814</v>
      </c>
      <c r="AC31" s="6"/>
      <c r="AD31" s="6"/>
      <c r="AE31" s="6"/>
      <c r="AF31" s="6"/>
      <c r="AG31" s="6"/>
      <c r="AH31" s="6"/>
      <c r="AI31" s="6">
        <f>+AI29-AI30</f>
        <v>137.53199999999998</v>
      </c>
      <c r="AJ31" s="6">
        <f>+AJ29-AJ30</f>
        <v>266.79899999999969</v>
      </c>
      <c r="AK31" s="6">
        <f>+AK29-AK30</f>
        <v>122.6410000000007</v>
      </c>
      <c r="AL31" s="6">
        <f>+AL29-AL30</f>
        <v>254.44920582947361</v>
      </c>
      <c r="AM31" s="6">
        <f t="shared" ref="AM31:AZ31" si="84">+AM29-AM30</f>
        <v>972.92929239364821</v>
      </c>
      <c r="AN31" s="6">
        <f t="shared" si="84"/>
        <v>1810.2083592600507</v>
      </c>
      <c r="AO31" s="6">
        <f t="shared" si="84"/>
        <v>2804.0208441103705</v>
      </c>
      <c r="AP31" s="6">
        <f t="shared" si="84"/>
        <v>4703.3647432396829</v>
      </c>
      <c r="AQ31" s="6">
        <f t="shared" si="84"/>
        <v>5959.1501807287113</v>
      </c>
      <c r="AR31" s="6">
        <f t="shared" si="84"/>
        <v>6871.0317951315392</v>
      </c>
      <c r="AS31" s="6">
        <f t="shared" si="84"/>
        <v>7890.3396109264195</v>
      </c>
      <c r="AT31" s="6">
        <f t="shared" si="84"/>
        <v>8845.913516055818</v>
      </c>
      <c r="AU31" s="6">
        <f t="shared" si="84"/>
        <v>9464.4177857367722</v>
      </c>
      <c r="AV31" s="6">
        <f t="shared" si="84"/>
        <v>10119.911741737467</v>
      </c>
      <c r="AW31" s="6">
        <f t="shared" si="84"/>
        <v>10491.566118171202</v>
      </c>
      <c r="AX31" s="6">
        <f t="shared" si="84"/>
        <v>10875.915411339756</v>
      </c>
      <c r="AY31" s="6">
        <f t="shared" si="84"/>
        <v>11273.374765355606</v>
      </c>
      <c r="AZ31" s="6">
        <f t="shared" si="84"/>
        <v>11684.375256766421</v>
      </c>
      <c r="BA31" s="6">
        <f>AZ31*(1+$BC$34)</f>
        <v>11333.843999063429</v>
      </c>
      <c r="BB31" s="6">
        <f t="shared" ref="BB31:DM31" si="85">BA31*(1+$BC$34)</f>
        <v>10993.828679091526</v>
      </c>
      <c r="BC31" s="6">
        <f t="shared" si="85"/>
        <v>10664.01381871878</v>
      </c>
      <c r="BD31" s="6">
        <f t="shared" si="85"/>
        <v>10344.093404157216</v>
      </c>
      <c r="BE31" s="6">
        <f t="shared" si="85"/>
        <v>10033.7706020325</v>
      </c>
      <c r="BF31" s="6">
        <f t="shared" si="85"/>
        <v>9732.7574839715253</v>
      </c>
      <c r="BG31" s="6">
        <f t="shared" si="85"/>
        <v>9440.7747594523789</v>
      </c>
      <c r="BH31" s="6">
        <f t="shared" si="85"/>
        <v>9157.5515166688074</v>
      </c>
      <c r="BI31" s="6">
        <f t="shared" si="85"/>
        <v>8882.8249711687422</v>
      </c>
      <c r="BJ31" s="6">
        <f t="shared" si="85"/>
        <v>8616.3402220336793</v>
      </c>
      <c r="BK31" s="6">
        <f t="shared" si="85"/>
        <v>8357.8500153726691</v>
      </c>
      <c r="BL31" s="6">
        <f t="shared" si="85"/>
        <v>8107.1145149114891</v>
      </c>
      <c r="BM31" s="6">
        <f t="shared" si="85"/>
        <v>7863.9010794641445</v>
      </c>
      <c r="BN31" s="6">
        <f t="shared" si="85"/>
        <v>7627.9840470802201</v>
      </c>
      <c r="BO31" s="6">
        <f t="shared" si="85"/>
        <v>7399.1445256678135</v>
      </c>
      <c r="BP31" s="6">
        <f t="shared" si="85"/>
        <v>7177.170189897779</v>
      </c>
      <c r="BQ31" s="6">
        <f t="shared" si="85"/>
        <v>6961.8550842008453</v>
      </c>
      <c r="BR31" s="6">
        <f t="shared" si="85"/>
        <v>6752.9994316748198</v>
      </c>
      <c r="BS31" s="6">
        <f t="shared" si="85"/>
        <v>6550.4094487245748</v>
      </c>
      <c r="BT31" s="6">
        <f t="shared" si="85"/>
        <v>6353.897165262837</v>
      </c>
      <c r="BU31" s="6">
        <f t="shared" si="85"/>
        <v>6163.2802503049516</v>
      </c>
      <c r="BV31" s="6">
        <f t="shared" si="85"/>
        <v>5978.3818427958031</v>
      </c>
      <c r="BW31" s="6">
        <f t="shared" si="85"/>
        <v>5799.0303875119289</v>
      </c>
      <c r="BX31" s="6">
        <f t="shared" si="85"/>
        <v>5625.0594758865709</v>
      </c>
      <c r="BY31" s="6">
        <f t="shared" si="85"/>
        <v>5456.3076916099735</v>
      </c>
      <c r="BZ31" s="6">
        <f t="shared" si="85"/>
        <v>5292.6184608616741</v>
      </c>
      <c r="CA31" s="6">
        <f t="shared" si="85"/>
        <v>5133.8399070358237</v>
      </c>
      <c r="CB31" s="6">
        <f t="shared" si="85"/>
        <v>4979.8247098247484</v>
      </c>
      <c r="CC31" s="6">
        <f t="shared" si="85"/>
        <v>4830.4299685300057</v>
      </c>
      <c r="CD31" s="6">
        <f t="shared" si="85"/>
        <v>4685.5170694741055</v>
      </c>
      <c r="CE31" s="6">
        <f t="shared" si="85"/>
        <v>4544.9515573898825</v>
      </c>
      <c r="CF31" s="6">
        <f t="shared" si="85"/>
        <v>4408.6030106681856</v>
      </c>
      <c r="CG31" s="6">
        <f t="shared" si="85"/>
        <v>4276.3449203481396</v>
      </c>
      <c r="CH31" s="6">
        <f t="shared" si="85"/>
        <v>4148.0545727376957</v>
      </c>
      <c r="CI31" s="6">
        <f t="shared" si="85"/>
        <v>4023.6129355555649</v>
      </c>
      <c r="CJ31" s="6">
        <f t="shared" si="85"/>
        <v>3902.9045474888981</v>
      </c>
      <c r="CK31" s="6">
        <f t="shared" si="85"/>
        <v>3785.8174110642312</v>
      </c>
      <c r="CL31" s="6">
        <f t="shared" si="85"/>
        <v>3672.242888732304</v>
      </c>
      <c r="CM31" s="6">
        <f t="shared" si="85"/>
        <v>3562.0756020703348</v>
      </c>
      <c r="CN31" s="6">
        <f t="shared" si="85"/>
        <v>3455.2133340082246</v>
      </c>
      <c r="CO31" s="6">
        <f t="shared" si="85"/>
        <v>3351.5569339879776</v>
      </c>
      <c r="CP31" s="6">
        <f t="shared" si="85"/>
        <v>3251.0102259683381</v>
      </c>
      <c r="CQ31" s="6">
        <f t="shared" si="85"/>
        <v>3153.479919189288</v>
      </c>
      <c r="CR31" s="6">
        <f t="shared" si="85"/>
        <v>3058.8755216136092</v>
      </c>
      <c r="CS31" s="6">
        <f t="shared" si="85"/>
        <v>2967.1092559652006</v>
      </c>
      <c r="CT31" s="6">
        <f t="shared" si="85"/>
        <v>2878.0959782862446</v>
      </c>
      <c r="CU31" s="6">
        <f t="shared" si="85"/>
        <v>2791.7530989376573</v>
      </c>
      <c r="CV31" s="6">
        <f t="shared" si="85"/>
        <v>2708.0005059695277</v>
      </c>
      <c r="CW31" s="6">
        <f t="shared" si="85"/>
        <v>2626.760490790442</v>
      </c>
      <c r="CX31" s="6">
        <f t="shared" si="85"/>
        <v>2547.9576760667287</v>
      </c>
      <c r="CY31" s="6">
        <f t="shared" si="85"/>
        <v>2471.5189457847268</v>
      </c>
      <c r="CZ31" s="6">
        <f t="shared" si="85"/>
        <v>2397.3733774111852</v>
      </c>
      <c r="DA31" s="6">
        <f t="shared" si="85"/>
        <v>2325.4521760888497</v>
      </c>
      <c r="DB31" s="6">
        <f t="shared" si="85"/>
        <v>2255.688610806184</v>
      </c>
      <c r="DC31" s="6">
        <f t="shared" si="85"/>
        <v>2188.0179524819982</v>
      </c>
      <c r="DD31" s="6">
        <f t="shared" si="85"/>
        <v>2122.3774139075381</v>
      </c>
      <c r="DE31" s="6">
        <f t="shared" si="85"/>
        <v>2058.7060914903118</v>
      </c>
      <c r="DF31" s="6">
        <f t="shared" si="85"/>
        <v>1996.9449087456023</v>
      </c>
      <c r="DG31" s="6">
        <f t="shared" si="85"/>
        <v>1937.0365614832342</v>
      </c>
      <c r="DH31" s="6">
        <f t="shared" si="85"/>
        <v>1878.9254646387371</v>
      </c>
      <c r="DI31" s="6">
        <f t="shared" si="85"/>
        <v>1822.557700699575</v>
      </c>
      <c r="DJ31" s="6">
        <f t="shared" si="85"/>
        <v>1767.8809696785877</v>
      </c>
      <c r="DK31" s="6">
        <f t="shared" si="85"/>
        <v>1714.8445405882301</v>
      </c>
      <c r="DL31" s="6">
        <f t="shared" si="85"/>
        <v>1663.3992043705832</v>
      </c>
      <c r="DM31" s="6">
        <f t="shared" si="85"/>
        <v>1613.4972282394656</v>
      </c>
      <c r="DN31" s="6">
        <f t="shared" ref="DN31:DX31" si="86">DM31*(1+$BC$34)</f>
        <v>1565.0923113922815</v>
      </c>
      <c r="DO31" s="6">
        <f t="shared" si="86"/>
        <v>1518.139542050513</v>
      </c>
      <c r="DP31" s="6">
        <f t="shared" si="86"/>
        <v>1472.5953557889975</v>
      </c>
      <c r="DQ31" s="6">
        <f t="shared" si="86"/>
        <v>1428.4174951153275</v>
      </c>
      <c r="DR31" s="6">
        <f t="shared" si="86"/>
        <v>1385.5649702618675</v>
      </c>
      <c r="DS31" s="6">
        <f t="shared" si="86"/>
        <v>1343.9980211540114</v>
      </c>
      <c r="DT31" s="6">
        <f t="shared" si="86"/>
        <v>1303.678080519391</v>
      </c>
      <c r="DU31" s="6">
        <f t="shared" si="86"/>
        <v>1264.5677381038092</v>
      </c>
      <c r="DV31" s="6">
        <f t="shared" si="86"/>
        <v>1226.630705960695</v>
      </c>
      <c r="DW31" s="6">
        <f t="shared" si="86"/>
        <v>1189.8317847818741</v>
      </c>
      <c r="DX31" s="6">
        <f t="shared" si="86"/>
        <v>1154.1368312384179</v>
      </c>
    </row>
    <row r="32" spans="2:128" x14ac:dyDescent="0.2">
      <c r="B32" s="2" t="s">
        <v>35</v>
      </c>
      <c r="P32" s="5">
        <f t="shared" ref="P32:X32" si="87">+P31/P33</f>
        <v>0.78985058071251502</v>
      </c>
      <c r="Q32" s="5">
        <f t="shared" si="87"/>
        <v>0.86298498732696294</v>
      </c>
      <c r="R32" s="5">
        <f t="shared" si="87"/>
        <v>0.16460651630234488</v>
      </c>
      <c r="S32" s="5">
        <f t="shared" si="87"/>
        <v>0.1370215971641302</v>
      </c>
      <c r="T32" s="5">
        <f t="shared" si="87"/>
        <v>0.1927590783188522</v>
      </c>
      <c r="U32" s="5">
        <f t="shared" si="87"/>
        <v>0.38236006002613698</v>
      </c>
      <c r="V32" s="5">
        <f t="shared" si="87"/>
        <v>6.038794121491315E-2</v>
      </c>
      <c r="W32" s="5">
        <f t="shared" si="87"/>
        <v>6.7256847483809432E-2</v>
      </c>
      <c r="X32" s="5">
        <f t="shared" si="87"/>
        <v>9.8522100046319852E-2</v>
      </c>
      <c r="Y32" s="5">
        <f t="shared" ref="Y32:AB32" si="88">+Y31/Y33</f>
        <v>6.3147127922135948E-2</v>
      </c>
      <c r="Z32" s="5">
        <f t="shared" si="88"/>
        <v>0.17874322993449812</v>
      </c>
      <c r="AA32" s="5">
        <f t="shared" si="88"/>
        <v>0.17175238029667203</v>
      </c>
      <c r="AB32" s="5">
        <f t="shared" si="88"/>
        <v>0.16730080621720625</v>
      </c>
      <c r="AI32" s="5">
        <f>+AI31/AI33</f>
        <v>0.32335591203944253</v>
      </c>
      <c r="AJ32" s="5">
        <f>+AJ31/AJ33</f>
        <v>0.61774185332512077</v>
      </c>
      <c r="AK32" s="5">
        <f>+AK31/AK33</f>
        <v>0.28099281485419081</v>
      </c>
      <c r="AL32" s="5">
        <f>AL31/AL33</f>
        <v>0.58094354437051188</v>
      </c>
      <c r="AM32" s="5">
        <f>AM31/AM33</f>
        <v>2.2213352551151462</v>
      </c>
      <c r="AN32" s="5">
        <f t="shared" ref="AN32:AZ32" si="89">AN31/AN33</f>
        <v>4.1329618492990772</v>
      </c>
      <c r="AO32" s="5">
        <f t="shared" si="89"/>
        <v>6.4019763880024803</v>
      </c>
      <c r="AP32" s="5">
        <f t="shared" si="89"/>
        <v>10.738447288517586</v>
      </c>
      <c r="AQ32" s="5">
        <f t="shared" si="89"/>
        <v>13.605583150252883</v>
      </c>
      <c r="AR32" s="5">
        <f t="shared" si="89"/>
        <v>15.687537917572973</v>
      </c>
      <c r="AS32" s="5">
        <f t="shared" si="89"/>
        <v>18.014761904702631</v>
      </c>
      <c r="AT32" s="5">
        <f t="shared" si="89"/>
        <v>20.196472354708451</v>
      </c>
      <c r="AU32" s="5">
        <f t="shared" si="89"/>
        <v>21.608605127791478</v>
      </c>
      <c r="AV32" s="5">
        <f t="shared" si="89"/>
        <v>23.105190589204547</v>
      </c>
      <c r="AW32" s="5">
        <f t="shared" si="89"/>
        <v>23.953730123931667</v>
      </c>
      <c r="AX32" s="5">
        <f t="shared" si="89"/>
        <v>24.831253950039741</v>
      </c>
      <c r="AY32" s="5">
        <f t="shared" si="89"/>
        <v>25.738709900285176</v>
      </c>
      <c r="AZ32" s="5">
        <f t="shared" si="89"/>
        <v>26.677082183428553</v>
      </c>
    </row>
    <row r="33" spans="2:57" x14ac:dyDescent="0.2">
      <c r="B33" s="2" t="s">
        <v>1</v>
      </c>
      <c r="P33" s="6">
        <v>61.304000000000002</v>
      </c>
      <c r="Q33" s="6">
        <v>61.548000000000002</v>
      </c>
      <c r="R33" s="6">
        <v>431.44099999999997</v>
      </c>
      <c r="S33" s="6">
        <v>432.74200000000002</v>
      </c>
      <c r="T33" s="6">
        <v>432.51400000000001</v>
      </c>
      <c r="U33" s="6">
        <v>61.972999999999999</v>
      </c>
      <c r="V33" s="6">
        <v>436.09699999999998</v>
      </c>
      <c r="W33" s="6">
        <v>437.60599999999999</v>
      </c>
      <c r="X33" s="6">
        <v>438.25700000000001</v>
      </c>
      <c r="Y33" s="6">
        <v>437.99299999999999</v>
      </c>
      <c r="Z33" s="6">
        <f t="shared" ref="Z33:AB33" si="90">+Y33</f>
        <v>437.99299999999999</v>
      </c>
      <c r="AA33" s="6">
        <f t="shared" si="90"/>
        <v>437.99299999999999</v>
      </c>
      <c r="AB33" s="6">
        <f t="shared" si="90"/>
        <v>437.99299999999999</v>
      </c>
      <c r="AI33" s="6">
        <v>425.327</v>
      </c>
      <c r="AJ33" s="6">
        <v>431.89400000000001</v>
      </c>
      <c r="AK33" s="6">
        <v>436.45600000000002</v>
      </c>
      <c r="AL33" s="6">
        <f>AVERAGE(Y33:AB33)</f>
        <v>437.99299999999999</v>
      </c>
      <c r="AM33" s="6">
        <f>+AL33</f>
        <v>437.99299999999999</v>
      </c>
      <c r="AN33" s="6">
        <f t="shared" ref="AN33:AZ33" si="91">+AM33</f>
        <v>437.99299999999999</v>
      </c>
      <c r="AO33" s="6">
        <f t="shared" si="91"/>
        <v>437.99299999999999</v>
      </c>
      <c r="AP33" s="6">
        <f t="shared" si="91"/>
        <v>437.99299999999999</v>
      </c>
      <c r="AQ33" s="6">
        <f t="shared" si="91"/>
        <v>437.99299999999999</v>
      </c>
      <c r="AR33" s="6">
        <f t="shared" si="91"/>
        <v>437.99299999999999</v>
      </c>
      <c r="AS33" s="6">
        <f t="shared" si="91"/>
        <v>437.99299999999999</v>
      </c>
      <c r="AT33" s="6">
        <f t="shared" si="91"/>
        <v>437.99299999999999</v>
      </c>
      <c r="AU33" s="6">
        <f t="shared" si="91"/>
        <v>437.99299999999999</v>
      </c>
      <c r="AV33" s="6">
        <f t="shared" si="91"/>
        <v>437.99299999999999</v>
      </c>
      <c r="AW33" s="6">
        <f t="shared" si="91"/>
        <v>437.99299999999999</v>
      </c>
      <c r="AX33" s="6">
        <f t="shared" si="91"/>
        <v>437.99299999999999</v>
      </c>
      <c r="AY33" s="6">
        <f t="shared" si="91"/>
        <v>437.99299999999999</v>
      </c>
      <c r="AZ33" s="6">
        <f t="shared" si="91"/>
        <v>437.99299999999999</v>
      </c>
    </row>
    <row r="34" spans="2:57" x14ac:dyDescent="0.2">
      <c r="BB34" s="3" t="s">
        <v>142</v>
      </c>
      <c r="BC34" s="9">
        <v>-0.03</v>
      </c>
    </row>
    <row r="35" spans="2:57" s="12" customFormat="1" x14ac:dyDescent="0.2">
      <c r="B35" s="7" t="s">
        <v>36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>
        <f t="shared" ref="T35" si="92">T20/P20-1</f>
        <v>0.2633510036333313</v>
      </c>
      <c r="U35" s="11">
        <f>U20/Q20-1</f>
        <v>0.23859745261946208</v>
      </c>
      <c r="V35" s="11">
        <f>V20/R20-1</f>
        <v>0.22701090042054384</v>
      </c>
      <c r="W35" s="11">
        <f>W20/S20-1</f>
        <v>0.23337273454838536</v>
      </c>
      <c r="X35" s="11">
        <f t="shared" ref="X35:Y35" si="93">X20/T20-1</f>
        <v>0.22805860736781414</v>
      </c>
      <c r="Y35" s="11">
        <f t="shared" si="93"/>
        <v>0.24448535371225133</v>
      </c>
      <c r="Z35" s="11">
        <f t="shared" ref="Z35" si="94">Z20/V20-1</f>
        <v>0.32341855842794076</v>
      </c>
      <c r="AA35" s="11">
        <f t="shared" ref="AA35" si="95">AA20/W20-1</f>
        <v>0.33998229393751145</v>
      </c>
      <c r="AB35" s="11">
        <f t="shared" ref="AB35" si="96">AB20/X20-1</f>
        <v>0.32272394445363028</v>
      </c>
      <c r="AC35" s="10"/>
      <c r="AD35" s="10"/>
      <c r="AE35" s="10"/>
      <c r="AF35" s="10"/>
      <c r="AG35" s="10"/>
      <c r="AH35" s="10"/>
      <c r="AI35" s="10"/>
      <c r="AJ35" s="11">
        <f>AJ20/AI20-1</f>
        <v>0.25833306283006174</v>
      </c>
      <c r="AK35" s="11">
        <f>AK20/AJ20-1</f>
        <v>0.23159576184233854</v>
      </c>
      <c r="AL35" s="11">
        <f t="shared" ref="AL35:AZ35" si="97">AL20/AK20-1</f>
        <v>0.30916310939318437</v>
      </c>
      <c r="AM35" s="11">
        <f t="shared" si="97"/>
        <v>0.29787161785543437</v>
      </c>
      <c r="AN35" s="11">
        <f t="shared" si="97"/>
        <v>0.27106576942472826</v>
      </c>
      <c r="AO35" s="11">
        <f t="shared" si="97"/>
        <v>0.23921302663572663</v>
      </c>
      <c r="AP35" s="11">
        <f t="shared" si="97"/>
        <v>0.35952238747169973</v>
      </c>
      <c r="AQ35" s="11">
        <f t="shared" si="97"/>
        <v>0.1854966118812087</v>
      </c>
      <c r="AR35" s="11">
        <f t="shared" si="97"/>
        <v>0.10891266038656577</v>
      </c>
      <c r="AS35" s="11">
        <f t="shared" si="97"/>
        <v>0.10928375666407608</v>
      </c>
      <c r="AT35" s="11">
        <f t="shared" si="97"/>
        <v>9.1416868883462454E-2</v>
      </c>
      <c r="AU35" s="11">
        <f t="shared" si="97"/>
        <v>5.2436201101186963E-2</v>
      </c>
      <c r="AV35" s="11">
        <f t="shared" si="97"/>
        <v>5.2626168906322546E-2</v>
      </c>
      <c r="AW35" s="11">
        <f t="shared" si="97"/>
        <v>2.628915361003914E-2</v>
      </c>
      <c r="AX35" s="11">
        <f t="shared" si="97"/>
        <v>2.6425044947069987E-2</v>
      </c>
      <c r="AY35" s="11">
        <f t="shared" si="97"/>
        <v>2.6558115725871856E-2</v>
      </c>
      <c r="AZ35" s="11">
        <f t="shared" si="97"/>
        <v>2.668858917059147E-2</v>
      </c>
      <c r="BA35" s="10"/>
      <c r="BB35" s="10" t="s">
        <v>143</v>
      </c>
      <c r="BC35" s="22">
        <v>7.0000000000000007E-2</v>
      </c>
      <c r="BD35" s="10"/>
      <c r="BE35" s="10"/>
    </row>
    <row r="36" spans="2:57" s="12" customFormat="1" x14ac:dyDescent="0.2"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  <c r="AK36" s="11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 t="s">
        <v>144</v>
      </c>
      <c r="BC36" s="8">
        <f>NPV(BC35,AM31:DX31)</f>
        <v>100501.47930502317</v>
      </c>
      <c r="BD36" s="10"/>
      <c r="BE36" s="10"/>
    </row>
    <row r="37" spans="2:57" s="12" customFormat="1" x14ac:dyDescent="0.2">
      <c r="B37" s="7" t="s">
        <v>90</v>
      </c>
      <c r="C37" s="10"/>
      <c r="D37" s="10"/>
      <c r="E37" s="10"/>
      <c r="F37" s="10"/>
      <c r="G37" s="10"/>
      <c r="H37" s="11">
        <f t="shared" ref="H37:Q38" si="98">H7/D7-1</f>
        <v>0.57551896921975665</v>
      </c>
      <c r="I37" s="11">
        <f t="shared" si="98"/>
        <v>0.67266666666666675</v>
      </c>
      <c r="J37" s="11">
        <f t="shared" si="98"/>
        <v>0.55404607206142931</v>
      </c>
      <c r="K37" s="11">
        <f t="shared" si="98"/>
        <v>0.40479760119940034</v>
      </c>
      <c r="L37" s="11">
        <f t="shared" si="98"/>
        <v>0.37937301226715126</v>
      </c>
      <c r="M37" s="11">
        <f t="shared" si="98"/>
        <v>0.36468712634515743</v>
      </c>
      <c r="N37" s="11">
        <f t="shared" si="98"/>
        <v>0.35423793234511591</v>
      </c>
      <c r="O37" s="11">
        <f t="shared" si="98"/>
        <v>0.35218783351120608</v>
      </c>
      <c r="P37" s="11">
        <f t="shared" si="98"/>
        <v>0.36462450592885376</v>
      </c>
      <c r="Q37" s="11">
        <f t="shared" si="98"/>
        <v>0.3475467289719627</v>
      </c>
      <c r="R37" s="11">
        <f t="shared" ref="R37:AA38" si="99">R7/N7-1</f>
        <v>0.34689868088689302</v>
      </c>
      <c r="S37" s="11">
        <f t="shared" si="99"/>
        <v>0.33254406735069719</v>
      </c>
      <c r="T37" s="11">
        <f t="shared" si="99"/>
        <v>0.31498913830557562</v>
      </c>
      <c r="U37" s="11">
        <f t="shared" si="99"/>
        <v>0.29215431296055483</v>
      </c>
      <c r="V37" s="11">
        <f t="shared" si="99"/>
        <v>0.30673056886851424</v>
      </c>
      <c r="W37" s="11">
        <f t="shared" si="99"/>
        <v>0.30345508390918075</v>
      </c>
      <c r="X37" s="11">
        <f t="shared" si="99"/>
        <v>0.30029368575624082</v>
      </c>
      <c r="Y37" s="11">
        <f t="shared" si="99"/>
        <v>0.29469976517947005</v>
      </c>
      <c r="Z37" s="11">
        <f t="shared" si="99"/>
        <v>0.32674214638813592</v>
      </c>
      <c r="AA37" s="11">
        <f t="shared" si="99"/>
        <v>0.3359588003635261</v>
      </c>
      <c r="AB37" s="11">
        <f t="shared" ref="AB37:AB38" si="100">AB7/X7-1</f>
        <v>0.31564088085827224</v>
      </c>
      <c r="AC37" s="10"/>
      <c r="AD37" s="10"/>
      <c r="AE37" s="10"/>
      <c r="AF37" s="10"/>
      <c r="AG37" s="10"/>
      <c r="AH37" s="10"/>
      <c r="AI37" s="10"/>
      <c r="AJ37" s="11">
        <f t="shared" ref="AJ37" si="101">AJ7/AI7-1</f>
        <v>0.31498913830557562</v>
      </c>
      <c r="AK37" s="11">
        <f>AK7/AJ7-1</f>
        <v>0.30029368575624082</v>
      </c>
      <c r="AL37" s="11">
        <f t="shared" ref="AL37:AP37" si="102">AL7/AK7-1</f>
        <v>0.31564088085827224</v>
      </c>
      <c r="AM37" s="11">
        <f t="shared" si="102"/>
        <v>0.2993583690987125</v>
      </c>
      <c r="AN37" s="11">
        <f t="shared" si="102"/>
        <v>0.2634638093083248</v>
      </c>
      <c r="AO37" s="11">
        <f t="shared" si="102"/>
        <v>0.22075234834357826</v>
      </c>
      <c r="AP37" s="11">
        <f t="shared" si="102"/>
        <v>0.35718247121892177</v>
      </c>
      <c r="AQ37" s="11">
        <f t="shared" ref="AQ37:AZ37" si="103">AQ7/AP7-1</f>
        <v>0.16527380400409442</v>
      </c>
      <c r="AR37" s="11">
        <f t="shared" si="103"/>
        <v>9.463583987060864E-2</v>
      </c>
      <c r="AS37" s="11">
        <f t="shared" si="103"/>
        <v>9.4707561429354215E-2</v>
      </c>
      <c r="AT37" s="11">
        <f t="shared" si="103"/>
        <v>8.172533149316985E-2</v>
      </c>
      <c r="AU37" s="11">
        <f t="shared" si="103"/>
        <v>4.0056673874053317E-2</v>
      </c>
      <c r="AV37" s="11">
        <f t="shared" si="103"/>
        <v>4.0344026782888509E-2</v>
      </c>
      <c r="AW37" s="11">
        <f t="shared" si="103"/>
        <v>1.0000000000000009E-2</v>
      </c>
      <c r="AX37" s="11">
        <f t="shared" si="103"/>
        <v>1.0000000000000231E-2</v>
      </c>
      <c r="AY37" s="11">
        <f t="shared" si="103"/>
        <v>1.0000000000000009E-2</v>
      </c>
      <c r="AZ37" s="11">
        <f t="shared" si="103"/>
        <v>1.0000000000000009E-2</v>
      </c>
      <c r="BA37" s="10"/>
      <c r="BB37" s="10" t="s">
        <v>145</v>
      </c>
      <c r="BC37" s="11">
        <v>0.01</v>
      </c>
      <c r="BD37" s="10"/>
      <c r="BE37" s="10"/>
    </row>
    <row r="38" spans="2:57" s="12" customFormat="1" x14ac:dyDescent="0.2">
      <c r="B38" s="7" t="s">
        <v>91</v>
      </c>
      <c r="C38" s="10"/>
      <c r="D38" s="10"/>
      <c r="E38" s="10"/>
      <c r="F38" s="10"/>
      <c r="G38" s="10"/>
      <c r="H38" s="11">
        <f t="shared" si="98"/>
        <v>0.44237652111667858</v>
      </c>
      <c r="I38" s="11">
        <f t="shared" si="98"/>
        <v>0.46799999999999997</v>
      </c>
      <c r="J38" s="11">
        <f t="shared" si="98"/>
        <v>0.35059523809523818</v>
      </c>
      <c r="K38" s="11">
        <f t="shared" si="98"/>
        <v>0.22051282051282062</v>
      </c>
      <c r="L38" s="11">
        <f t="shared" si="98"/>
        <v>0.2640198511166254</v>
      </c>
      <c r="M38" s="11">
        <f t="shared" si="98"/>
        <v>0.26748410535876466</v>
      </c>
      <c r="N38" s="11">
        <f t="shared" si="98"/>
        <v>0.26134861172322599</v>
      </c>
      <c r="O38" s="11">
        <f t="shared" si="98"/>
        <v>0.25756302521008401</v>
      </c>
      <c r="P38" s="11">
        <f t="shared" si="98"/>
        <v>0.24499411071849231</v>
      </c>
      <c r="Q38" s="11">
        <f t="shared" si="98"/>
        <v>0.231816553206736</v>
      </c>
      <c r="R38" s="11">
        <f t="shared" si="99"/>
        <v>0.22606568832983931</v>
      </c>
      <c r="S38" s="11">
        <f t="shared" si="99"/>
        <v>0.21182759772803217</v>
      </c>
      <c r="T38" s="11">
        <f t="shared" si="99"/>
        <v>0.18889940081993073</v>
      </c>
      <c r="U38" s="11">
        <f t="shared" si="99"/>
        <v>0.17277486910994755</v>
      </c>
      <c r="V38" s="11">
        <f t="shared" si="99"/>
        <v>0.17013394129381587</v>
      </c>
      <c r="W38" s="11">
        <f t="shared" si="99"/>
        <v>0.15991177281499858</v>
      </c>
      <c r="X38" s="11">
        <f>X8/T8-1</f>
        <v>0.1511936339522546</v>
      </c>
      <c r="Y38" s="11">
        <f>Y8/U8-1</f>
        <v>0.13368055555555558</v>
      </c>
      <c r="Z38" s="11">
        <f t="shared" si="99"/>
        <v>0.14978080857282028</v>
      </c>
      <c r="AA38" s="11">
        <f t="shared" si="99"/>
        <v>0.14594723080579985</v>
      </c>
      <c r="AB38" s="11">
        <f t="shared" si="100"/>
        <v>0.13387096774193541</v>
      </c>
      <c r="AC38" s="10"/>
      <c r="AD38" s="10"/>
      <c r="AE38" s="10"/>
      <c r="AF38" s="10"/>
      <c r="AG38" s="10"/>
      <c r="AH38" s="10"/>
      <c r="AI38" s="10"/>
      <c r="AJ38" s="11">
        <f t="shared" ref="AJ38" si="104">AJ8/AI8-1</f>
        <v>0.18889940081993073</v>
      </c>
      <c r="AK38" s="11">
        <f>AK8/AJ8-1</f>
        <v>0.1511936339522546</v>
      </c>
      <c r="AL38" s="11">
        <f t="shared" ref="AL38:AP38" si="105">AL8/AK8-1</f>
        <v>0.13387096774193541</v>
      </c>
      <c r="AM38" s="11">
        <f t="shared" si="105"/>
        <v>0.12000000000000011</v>
      </c>
      <c r="AN38" s="11">
        <f t="shared" si="105"/>
        <v>0.10000000000000009</v>
      </c>
      <c r="AO38" s="11">
        <f t="shared" si="105"/>
        <v>0.10000000000000031</v>
      </c>
      <c r="AP38" s="11">
        <f t="shared" si="105"/>
        <v>0.10000000000000009</v>
      </c>
      <c r="AQ38" s="11">
        <f t="shared" ref="AQ38:AZ38" si="106">AQ8/AP8-1</f>
        <v>8.0000000000000071E-2</v>
      </c>
      <c r="AR38" s="11">
        <f t="shared" si="106"/>
        <v>8.0000000000000071E-2</v>
      </c>
      <c r="AS38" s="11">
        <f t="shared" si="106"/>
        <v>8.0000000000000071E-2</v>
      </c>
      <c r="AT38" s="11">
        <f t="shared" si="106"/>
        <v>3.0000000000000027E-2</v>
      </c>
      <c r="AU38" s="11">
        <f t="shared" si="106"/>
        <v>1.0000000000000009E-2</v>
      </c>
      <c r="AV38" s="11">
        <f t="shared" si="106"/>
        <v>1.0000000000000009E-2</v>
      </c>
      <c r="AW38" s="11">
        <f t="shared" si="106"/>
        <v>1.0000000000000009E-2</v>
      </c>
      <c r="AX38" s="11">
        <f t="shared" si="106"/>
        <v>1.0000000000000009E-2</v>
      </c>
      <c r="AY38" s="11">
        <f t="shared" si="106"/>
        <v>1.0000000000000009E-2</v>
      </c>
      <c r="AZ38" s="11">
        <f t="shared" si="106"/>
        <v>1.0000000000000009E-2</v>
      </c>
      <c r="BA38" s="10"/>
      <c r="BB38" s="10" t="s">
        <v>146</v>
      </c>
      <c r="BC38" s="21">
        <f>BC36/Main!K3</f>
        <v>229.45543220324925</v>
      </c>
      <c r="BD38" s="10"/>
      <c r="BE38" s="10"/>
    </row>
    <row r="39" spans="2:57" s="12" customFormat="1" x14ac:dyDescent="0.2">
      <c r="B39" s="7" t="s">
        <v>92</v>
      </c>
      <c r="C39" s="10"/>
      <c r="D39" s="10"/>
      <c r="E39" s="10"/>
      <c r="F39" s="10"/>
      <c r="G39" s="10"/>
      <c r="H39" s="11"/>
      <c r="I39" s="11"/>
      <c r="J39" s="11"/>
      <c r="K39" s="11">
        <f t="shared" ref="K39:AB39" si="107">K9/G9-1</f>
        <v>7.4509803921568629</v>
      </c>
      <c r="L39" s="11">
        <f t="shared" si="107"/>
        <v>1.629032258064516</v>
      </c>
      <c r="M39" s="11">
        <f t="shared" si="107"/>
        <v>1.0618892508143323</v>
      </c>
      <c r="N39" s="11">
        <f t="shared" si="107"/>
        <v>0.93646408839779016</v>
      </c>
      <c r="O39" s="11">
        <f t="shared" si="107"/>
        <v>0.87470997679814388</v>
      </c>
      <c r="P39" s="11">
        <f t="shared" si="107"/>
        <v>0.98773006134969332</v>
      </c>
      <c r="Q39" s="11">
        <f t="shared" si="107"/>
        <v>0.85781990521327023</v>
      </c>
      <c r="R39" s="11">
        <f t="shared" si="107"/>
        <v>0.84165477888730389</v>
      </c>
      <c r="S39" s="11">
        <f t="shared" si="107"/>
        <v>0.78094059405940586</v>
      </c>
      <c r="T39" s="11">
        <f t="shared" si="107"/>
        <v>0.72633744855967075</v>
      </c>
      <c r="U39" s="11">
        <f t="shared" si="107"/>
        <v>0.64115646258503411</v>
      </c>
      <c r="V39" s="11">
        <f t="shared" si="107"/>
        <v>0.67699457784663042</v>
      </c>
      <c r="W39" s="11">
        <f t="shared" si="107"/>
        <v>0.66435024322446146</v>
      </c>
      <c r="X39" s="11">
        <f>X9/T9-1</f>
        <v>0.63528009535160912</v>
      </c>
      <c r="Y39" s="11">
        <f t="shared" si="107"/>
        <v>0.65751295336787563</v>
      </c>
      <c r="Z39" s="11">
        <f t="shared" si="107"/>
        <v>0.66235565819861431</v>
      </c>
      <c r="AA39" s="11">
        <f t="shared" si="107"/>
        <v>0.66972860125260958</v>
      </c>
      <c r="AB39" s="11">
        <f t="shared" si="107"/>
        <v>0.60313411078717194</v>
      </c>
      <c r="AC39" s="10"/>
      <c r="AD39" s="10"/>
      <c r="AE39" s="10"/>
      <c r="AF39" s="10"/>
      <c r="AG39" s="10"/>
      <c r="AH39" s="10"/>
      <c r="AI39" s="10"/>
      <c r="AJ39" s="11">
        <f t="shared" ref="AJ39" si="108">AJ9/AI9-1</f>
        <v>0.72633744855967075</v>
      </c>
      <c r="AK39" s="11">
        <f>AK9/AJ9-1</f>
        <v>0.63528009535160912</v>
      </c>
      <c r="AL39" s="11">
        <f t="shared" ref="AL39:AP39" si="109">AL9/AK9-1</f>
        <v>0.60313411078717194</v>
      </c>
      <c r="AM39" s="11">
        <f t="shared" si="109"/>
        <v>0.5</v>
      </c>
      <c r="AN39" s="11">
        <f t="shared" si="109"/>
        <v>0.39999999999999991</v>
      </c>
      <c r="AO39" s="11">
        <f t="shared" si="109"/>
        <v>0.30000000000000004</v>
      </c>
      <c r="AP39" s="11">
        <f t="shared" si="109"/>
        <v>0.5</v>
      </c>
      <c r="AQ39" s="11">
        <f t="shared" ref="AQ39:AZ39" si="110">AQ9/AP9-1</f>
        <v>0.19999999999999996</v>
      </c>
      <c r="AR39" s="11">
        <f t="shared" si="110"/>
        <v>0.10000000000000009</v>
      </c>
      <c r="AS39" s="11">
        <f t="shared" si="110"/>
        <v>0.10000000000000009</v>
      </c>
      <c r="AT39" s="11">
        <f t="shared" si="110"/>
        <v>0.10000000000000009</v>
      </c>
      <c r="AU39" s="11">
        <f t="shared" si="110"/>
        <v>5.0000000000000044E-2</v>
      </c>
      <c r="AV39" s="11">
        <f t="shared" si="110"/>
        <v>5.0000000000000044E-2</v>
      </c>
      <c r="AW39" s="11">
        <f t="shared" si="110"/>
        <v>1.0000000000000009E-2</v>
      </c>
      <c r="AX39" s="11">
        <f t="shared" si="110"/>
        <v>1.0000000000000009E-2</v>
      </c>
      <c r="AY39" s="11">
        <f t="shared" si="110"/>
        <v>1.0000000000000009E-2</v>
      </c>
      <c r="AZ39" s="11">
        <f t="shared" si="110"/>
        <v>1.0000000000000009E-2</v>
      </c>
      <c r="BA39" s="10"/>
      <c r="BB39" s="10" t="s">
        <v>147</v>
      </c>
      <c r="BC39" s="11">
        <f>BC38/Main!K2-1</f>
        <v>1.3328124461493416</v>
      </c>
      <c r="BD39" s="10"/>
      <c r="BE39" s="10"/>
    </row>
    <row r="40" spans="2:57" s="12" customFormat="1" x14ac:dyDescent="0.2"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  <c r="V40" s="11"/>
      <c r="W40" s="11"/>
      <c r="X40" s="11"/>
      <c r="Y40" s="11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1"/>
      <c r="AK40" s="11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 spans="2:57" s="12" customFormat="1" x14ac:dyDescent="0.2">
      <c r="B41" s="7" t="s">
        <v>93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>
        <f t="shared" ref="P41:S42" si="111">P4/L4-1</f>
        <v>0.25806451612903225</v>
      </c>
      <c r="Q41" s="11">
        <f t="shared" si="111"/>
        <v>0.25039123630672933</v>
      </c>
      <c r="R41" s="11">
        <f t="shared" si="111"/>
        <v>0.24888226527570789</v>
      </c>
      <c r="S41" s="11">
        <f t="shared" si="111"/>
        <v>0.25106990014265329</v>
      </c>
      <c r="T41" s="11">
        <f t="shared" ref="T41:W41" si="112">T4/P4-1</f>
        <v>0.23751686909581649</v>
      </c>
      <c r="U41" s="11">
        <f t="shared" si="112"/>
        <v>0.23279098873591986</v>
      </c>
      <c r="V41" s="11">
        <f t="shared" si="112"/>
        <v>0.22434367541766109</v>
      </c>
      <c r="W41" s="11">
        <f t="shared" si="112"/>
        <v>0.21322690992018245</v>
      </c>
      <c r="X41" s="11">
        <f>X4/T4-1</f>
        <v>0.20610687022900764</v>
      </c>
      <c r="Y41" s="11">
        <f>Y4/U4-1</f>
        <v>0.17766497461928932</v>
      </c>
      <c r="Z41" s="11">
        <f t="shared" ref="Z41:AB41" si="113">Z4/V4-1</f>
        <v>0.20726984900146128</v>
      </c>
      <c r="AA41" s="11">
        <f t="shared" si="113"/>
        <v>0.20324459234608994</v>
      </c>
      <c r="AB41" s="11">
        <f t="shared" si="113"/>
        <v>0.19056451612903236</v>
      </c>
      <c r="AC41" s="10"/>
      <c r="AD41" s="10"/>
      <c r="AE41" s="10"/>
      <c r="AF41" s="10"/>
      <c r="AG41" s="10"/>
      <c r="AH41" s="10"/>
      <c r="AI41" s="10"/>
      <c r="AJ41" s="11"/>
      <c r="AK41" s="11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2:57" s="12" customFormat="1" x14ac:dyDescent="0.2">
      <c r="B42" s="7" t="s">
        <v>94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>
        <f t="shared" si="111"/>
        <v>1.1881188118811883</v>
      </c>
      <c r="Q42" s="11">
        <f t="shared" si="111"/>
        <v>0.88028169014084501</v>
      </c>
      <c r="R42" s="11">
        <f t="shared" si="111"/>
        <v>0.84939759036144569</v>
      </c>
      <c r="S42" s="11">
        <f t="shared" si="111"/>
        <v>0.8907103825136613</v>
      </c>
      <c r="T42" s="11">
        <f t="shared" ref="T42:W42" si="114">T5/P5-1</f>
        <v>0.75565610859728505</v>
      </c>
      <c r="U42" s="11">
        <f t="shared" si="114"/>
        <v>0.55430711610486894</v>
      </c>
      <c r="V42" s="11">
        <f t="shared" si="114"/>
        <v>0.48208469055374592</v>
      </c>
      <c r="W42" s="11">
        <f t="shared" si="114"/>
        <v>0.4942196531791907</v>
      </c>
      <c r="X42" s="11">
        <f>X5/T5-1</f>
        <v>0.45876288659793807</v>
      </c>
      <c r="Y42" s="11">
        <f>Y5/U5-1</f>
        <v>0.57349397590361439</v>
      </c>
      <c r="Z42" s="11">
        <f t="shared" ref="Z42:AB42" si="115">Z5/V5-1</f>
        <v>0.72884988452655897</v>
      </c>
      <c r="AA42" s="11">
        <f t="shared" si="115"/>
        <v>0.73651774530271408</v>
      </c>
      <c r="AB42" s="11">
        <f t="shared" si="115"/>
        <v>0.66725947521865914</v>
      </c>
      <c r="AC42" s="10"/>
      <c r="AD42" s="10"/>
      <c r="AE42" s="10"/>
      <c r="AF42" s="10"/>
      <c r="AG42" s="10"/>
      <c r="AH42" s="10"/>
      <c r="AI42" s="10"/>
      <c r="AJ42" s="11"/>
      <c r="AK42" s="11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spans="2:57" s="12" customFormat="1" x14ac:dyDescent="0.2"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  <c r="U43" s="11"/>
      <c r="V43" s="11"/>
      <c r="W43" s="11"/>
      <c r="X43" s="11"/>
      <c r="Y43" s="11"/>
      <c r="Z43" s="11"/>
      <c r="AA43" s="11"/>
      <c r="AB43" s="11"/>
      <c r="AC43" s="10"/>
      <c r="AD43" s="10"/>
      <c r="AE43" s="10"/>
      <c r="AF43" s="10"/>
      <c r="AG43" s="10"/>
      <c r="AH43" s="10"/>
      <c r="AI43" s="10"/>
      <c r="AJ43" s="11"/>
      <c r="AK43" s="11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</row>
    <row r="44" spans="2:57" s="12" customFormat="1" x14ac:dyDescent="0.2">
      <c r="B44" s="7" t="s">
        <v>171</v>
      </c>
      <c r="C44" s="10"/>
      <c r="D44" s="10"/>
      <c r="E44" s="10"/>
      <c r="F44" s="10"/>
      <c r="G44" s="10"/>
      <c r="H44" s="10"/>
      <c r="I44" s="10"/>
      <c r="J44" s="10"/>
      <c r="K44" s="10"/>
      <c r="L44" s="11">
        <f t="shared" ref="L44:L46" si="116">L14/H14-1</f>
        <v>-9.4509450945094997E-3</v>
      </c>
      <c r="M44" s="11">
        <f t="shared" ref="M44:M46" si="117">M14/I14-1</f>
        <v>4.0531542056074787E-2</v>
      </c>
      <c r="N44" s="11">
        <f t="shared" ref="N44:N46" si="118">N14/J14-1</f>
        <v>3.3544784420328932E-2</v>
      </c>
      <c r="O44" s="11">
        <f t="shared" ref="O44:O46" si="119">O14/K14-1</f>
        <v>3.1159822626786626E-2</v>
      </c>
      <c r="P44" s="11">
        <f t="shared" ref="P44:P46" si="120">P14/L14-1</f>
        <v>2.1675114651218852E-2</v>
      </c>
      <c r="Q44" s="11">
        <f t="shared" ref="Q44:Q46" si="121">Q14/M14-1</f>
        <v>1.2890123972744583E-2</v>
      </c>
      <c r="R44" s="11">
        <f t="shared" ref="R44:R46" si="122">R14/N14-1</f>
        <v>1.65394373529133E-2</v>
      </c>
      <c r="S44" s="11">
        <f t="shared" ref="S44:S46" si="123">S14/O14-1</f>
        <v>3.822770052663782E-2</v>
      </c>
      <c r="T44" s="11">
        <f t="shared" ref="T44:AA44" si="124">T14/P14-1</f>
        <v>3.1604609523111726E-2</v>
      </c>
      <c r="U44" s="11">
        <f t="shared" si="124"/>
        <v>1.6380793178561115E-2</v>
      </c>
      <c r="V44" s="11">
        <f t="shared" si="124"/>
        <v>-1.1027102513217035E-2</v>
      </c>
      <c r="W44" s="11">
        <f t="shared" si="124"/>
        <v>-8.2337099959549631E-3</v>
      </c>
      <c r="X44" s="11">
        <f t="shared" si="124"/>
        <v>-1.4664096523166914E-2</v>
      </c>
      <c r="Y44" s="11">
        <f t="shared" si="124"/>
        <v>2.3189532322831496E-4</v>
      </c>
      <c r="Z44" s="11">
        <f t="shared" si="124"/>
        <v>3.0729444977528608E-2</v>
      </c>
      <c r="AA44" s="11">
        <f t="shared" si="124"/>
        <v>3.1191454334727142E-2</v>
      </c>
      <c r="AB44" s="11">
        <f>AB14/X14-1</f>
        <v>2.7585690275039099E-2</v>
      </c>
      <c r="AC44" s="10"/>
      <c r="AD44" s="10"/>
      <c r="AE44" s="10"/>
      <c r="AF44" s="10"/>
      <c r="AG44" s="10"/>
      <c r="AH44" s="10"/>
      <c r="AI44" s="10"/>
      <c r="AJ44" s="11"/>
      <c r="AK44" s="11">
        <f>AK14/AJ14-1</f>
        <v>-4.7688140148239855E-3</v>
      </c>
      <c r="AL44" s="11">
        <f t="shared" ref="AL44:AZ44" si="125">AL14/AK14-1</f>
        <v>2.5601725367976558E-2</v>
      </c>
      <c r="AM44" s="11">
        <f t="shared" si="125"/>
        <v>1.7640141891528627E-2</v>
      </c>
      <c r="AN44" s="11">
        <f t="shared" si="125"/>
        <v>1.9369347309734497E-2</v>
      </c>
      <c r="AO44" s="11">
        <f t="shared" si="125"/>
        <v>2.4304724781450515E-2</v>
      </c>
      <c r="AP44" s="11">
        <f t="shared" si="125"/>
        <v>1.0609349113345878E-2</v>
      </c>
      <c r="AQ44" s="11">
        <f t="shared" si="125"/>
        <v>2.1476374477542803E-2</v>
      </c>
      <c r="AR44" s="11">
        <f t="shared" si="125"/>
        <v>1.5405664352281745E-2</v>
      </c>
      <c r="AS44" s="11">
        <f t="shared" si="125"/>
        <v>1.5339508032844451E-2</v>
      </c>
      <c r="AT44" s="11">
        <f t="shared" si="125"/>
        <v>1.0513910524517112E-2</v>
      </c>
      <c r="AU44" s="11">
        <f t="shared" si="125"/>
        <v>1.2920605056893075E-2</v>
      </c>
      <c r="AV44" s="11">
        <f t="shared" si="125"/>
        <v>1.2725162744933627E-2</v>
      </c>
      <c r="AW44" s="11">
        <f t="shared" si="125"/>
        <v>1.6762591872240939E-2</v>
      </c>
      <c r="AX44" s="11">
        <f t="shared" si="125"/>
        <v>1.6850635226048016E-2</v>
      </c>
      <c r="AY44" s="11">
        <f t="shared" si="125"/>
        <v>1.6939223951274895E-2</v>
      </c>
      <c r="AZ44" s="11">
        <f t="shared" si="125"/>
        <v>1.7028345943862933E-2</v>
      </c>
      <c r="BA44" s="10"/>
      <c r="BB44" s="10"/>
      <c r="BC44" s="10"/>
      <c r="BD44" s="10"/>
      <c r="BE44" s="10"/>
    </row>
    <row r="45" spans="2:57" s="12" customFormat="1" x14ac:dyDescent="0.2">
      <c r="B45" s="7" t="s">
        <v>172</v>
      </c>
      <c r="C45" s="10"/>
      <c r="D45" s="10"/>
      <c r="E45" s="10"/>
      <c r="F45" s="10"/>
      <c r="G45" s="10"/>
      <c r="H45" s="10"/>
      <c r="I45" s="10"/>
      <c r="J45" s="10"/>
      <c r="K45" s="10"/>
      <c r="L45" s="11">
        <f t="shared" si="116"/>
        <v>-2.1063666927312763E-2</v>
      </c>
      <c r="M45" s="11">
        <f t="shared" si="117"/>
        <v>-5.6245879083020034E-3</v>
      </c>
      <c r="N45" s="11">
        <f t="shared" si="118"/>
        <v>-1.9318940165696796E-3</v>
      </c>
      <c r="O45" s="11">
        <f t="shared" si="119"/>
        <v>2.5671410749783519E-3</v>
      </c>
      <c r="P45" s="11">
        <f t="shared" si="120"/>
        <v>1.0498367259742958E-2</v>
      </c>
      <c r="Q45" s="11">
        <f t="shared" si="121"/>
        <v>1.5079098467737362E-2</v>
      </c>
      <c r="R45" s="11">
        <f t="shared" si="122"/>
        <v>1.8609587694236485E-2</v>
      </c>
      <c r="S45" s="11">
        <f t="shared" si="123"/>
        <v>3.2382743624748134E-2</v>
      </c>
      <c r="T45" s="11">
        <f t="shared" ref="T45:AA45" si="126">T15/P15-1</f>
        <v>4.0892836048497028E-2</v>
      </c>
      <c r="U45" s="11">
        <f t="shared" si="126"/>
        <v>5.1174459145360229E-2</v>
      </c>
      <c r="V45" s="11">
        <f t="shared" si="126"/>
        <v>4.6327802494050774E-2</v>
      </c>
      <c r="W45" s="11">
        <f t="shared" si="126"/>
        <v>4.5964821079273133E-2</v>
      </c>
      <c r="X45" s="11">
        <f t="shared" si="126"/>
        <v>4.7701129208147286E-2</v>
      </c>
      <c r="Y45" s="11">
        <f t="shared" si="126"/>
        <v>5.0000000000000044E-2</v>
      </c>
      <c r="Z45" s="11">
        <f t="shared" si="126"/>
        <v>5.0000000000000044E-2</v>
      </c>
      <c r="AA45" s="11">
        <f t="shared" si="126"/>
        <v>5.0000000000000044E-2</v>
      </c>
      <c r="AB45" s="11">
        <f>AB15/X15-1</f>
        <v>5.0000000000000044E-2</v>
      </c>
      <c r="AC45" s="10"/>
      <c r="AD45" s="10"/>
      <c r="AE45" s="10"/>
      <c r="AF45" s="10"/>
      <c r="AG45" s="10"/>
      <c r="AH45" s="10"/>
      <c r="AI45" s="10"/>
      <c r="AJ45" s="11"/>
      <c r="AK45" s="11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2:57" s="12" customFormat="1" x14ac:dyDescent="0.2">
      <c r="B46" s="7" t="s">
        <v>173</v>
      </c>
      <c r="C46" s="10"/>
      <c r="D46" s="10"/>
      <c r="E46" s="10"/>
      <c r="F46" s="10"/>
      <c r="G46" s="10"/>
      <c r="H46" s="10"/>
      <c r="I46" s="10"/>
      <c r="J46" s="10"/>
      <c r="K46" s="10"/>
      <c r="L46" s="11">
        <f t="shared" si="116"/>
        <v>0.32473027290035961</v>
      </c>
      <c r="M46" s="11">
        <f t="shared" si="117"/>
        <v>0.60160182225651204</v>
      </c>
      <c r="N46" s="11">
        <f t="shared" si="118"/>
        <v>0.31881926917590242</v>
      </c>
      <c r="O46" s="11">
        <f t="shared" si="119"/>
        <v>0.25147562833206405</v>
      </c>
      <c r="P46" s="11">
        <f t="shared" si="120"/>
        <v>0.10081285906368431</v>
      </c>
      <c r="Q46" s="11">
        <f t="shared" si="121"/>
        <v>1.2090399540097607E-2</v>
      </c>
      <c r="R46" s="11">
        <f t="shared" si="122"/>
        <v>4.2042686625665127E-3</v>
      </c>
      <c r="S46" s="11">
        <f t="shared" si="123"/>
        <v>6.1635850640054279E-2</v>
      </c>
      <c r="T46" s="11">
        <f t="shared" ref="T46:AA46" si="127">T16/P16-1</f>
        <v>1.6983157065888488E-2</v>
      </c>
      <c r="U46" s="11">
        <f t="shared" si="127"/>
        <v>-5.2919601793095516E-2</v>
      </c>
      <c r="V46" s="11">
        <f t="shared" si="127"/>
        <v>-0.11622571108319346</v>
      </c>
      <c r="W46" s="11">
        <f t="shared" si="127"/>
        <v>-0.10222042550110411</v>
      </c>
      <c r="X46" s="11">
        <f t="shared" si="127"/>
        <v>-0.10794310360373893</v>
      </c>
      <c r="Y46" s="11">
        <f t="shared" si="127"/>
        <v>4.0000000000000036E-2</v>
      </c>
      <c r="Z46" s="11">
        <f t="shared" si="127"/>
        <v>4.0000000000000036E-2</v>
      </c>
      <c r="AA46" s="11">
        <f t="shared" si="127"/>
        <v>4.0000000000000036E-2</v>
      </c>
      <c r="AB46" s="11">
        <f>AB16/X16-1</f>
        <v>4.0000000000000036E-2</v>
      </c>
      <c r="AC46" s="10"/>
      <c r="AD46" s="10"/>
      <c r="AE46" s="10"/>
      <c r="AF46" s="10"/>
      <c r="AG46" s="10"/>
      <c r="AH46" s="10"/>
      <c r="AI46" s="10"/>
      <c r="AJ46" s="11"/>
      <c r="AK46" s="11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 spans="2:57" s="12" customFormat="1" x14ac:dyDescent="0.2"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  <c r="V47" s="11"/>
      <c r="W47" s="11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1"/>
      <c r="AK47" s="11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 spans="2:57" x14ac:dyDescent="0.2">
      <c r="B48" s="2" t="s">
        <v>38</v>
      </c>
      <c r="U48" s="9">
        <f t="shared" ref="U48:AB51" si="128">+U23/Q23-1</f>
        <v>0.41998424484675168</v>
      </c>
      <c r="V48" s="9">
        <f t="shared" si="128"/>
        <v>0.63245364888252187</v>
      </c>
      <c r="W48" s="9">
        <f t="shared" si="128"/>
        <v>0.42874208741263553</v>
      </c>
      <c r="X48" s="9">
        <f t="shared" si="128"/>
        <v>0.10066234269974617</v>
      </c>
      <c r="Y48" s="9">
        <f t="shared" si="128"/>
        <v>6.8487802873477666E-2</v>
      </c>
      <c r="Z48" s="9">
        <f t="shared" si="128"/>
        <v>0.19999999999999996</v>
      </c>
      <c r="AA48" s="9">
        <f t="shared" si="128"/>
        <v>0.19999999999999996</v>
      </c>
      <c r="AB48" s="9">
        <f t="shared" si="128"/>
        <v>0.19999999999999996</v>
      </c>
      <c r="AJ48" s="9">
        <f>AJ23/AI23-1</f>
        <v>0.2920445501785327</v>
      </c>
      <c r="AK48" s="9">
        <f>AK23/AJ23-1</f>
        <v>0.35723155672232232</v>
      </c>
    </row>
    <row r="49" spans="2:57" x14ac:dyDescent="0.2">
      <c r="B49" s="2" t="s">
        <v>39</v>
      </c>
      <c r="U49" s="9">
        <f t="shared" si="128"/>
        <v>0.29730758770737009</v>
      </c>
      <c r="V49" s="9">
        <f t="shared" si="128"/>
        <v>0.34622597280825129</v>
      </c>
      <c r="W49" s="9">
        <f t="shared" si="128"/>
        <v>0.42007225947268778</v>
      </c>
      <c r="X49" s="9">
        <f t="shared" si="128"/>
        <v>0.43680288537926204</v>
      </c>
      <c r="Y49" s="9">
        <f t="shared" si="128"/>
        <v>0.42207873883694624</v>
      </c>
      <c r="Z49" s="9">
        <f t="shared" si="128"/>
        <v>0.19999999999999996</v>
      </c>
      <c r="AA49" s="9">
        <f t="shared" si="128"/>
        <v>0.19999999999999996</v>
      </c>
      <c r="AB49" s="9">
        <f t="shared" si="128"/>
        <v>0.19999999999999996</v>
      </c>
      <c r="AJ49" s="9">
        <f t="shared" ref="AJ49:AK49" si="129">AJ24/AI24-1</f>
        <v>0.24698958996116382</v>
      </c>
      <c r="AK49" s="9">
        <f t="shared" si="129"/>
        <v>0.3778510800917172</v>
      </c>
    </row>
    <row r="50" spans="2:57" x14ac:dyDescent="0.2">
      <c r="B50" s="2" t="s">
        <v>40</v>
      </c>
      <c r="U50" s="9">
        <f t="shared" si="128"/>
        <v>0.63665474060822902</v>
      </c>
      <c r="V50" s="9">
        <f t="shared" si="128"/>
        <v>0.5980604525610691</v>
      </c>
      <c r="W50" s="9">
        <f t="shared" si="128"/>
        <v>0.42125499846201153</v>
      </c>
      <c r="X50" s="9">
        <f t="shared" si="128"/>
        <v>0.43849188026859109</v>
      </c>
      <c r="Y50" s="9">
        <f t="shared" si="128"/>
        <v>0.39060433494737068</v>
      </c>
      <c r="Z50" s="9">
        <f t="shared" si="128"/>
        <v>0.19999999999999996</v>
      </c>
      <c r="AA50" s="9">
        <f t="shared" si="128"/>
        <v>0.19999999999999996</v>
      </c>
      <c r="AB50" s="9">
        <f t="shared" si="128"/>
        <v>0.19999999999999996</v>
      </c>
      <c r="AJ50" s="9">
        <f>AJ25/AI25-1</f>
        <v>0.49605936739119594</v>
      </c>
      <c r="AK50" s="9">
        <f>AK25/AJ25-1</f>
        <v>0.5100744788519358</v>
      </c>
    </row>
    <row r="51" spans="2:57" x14ac:dyDescent="0.2">
      <c r="B51" s="2" t="s">
        <v>41</v>
      </c>
      <c r="U51" s="9">
        <f t="shared" si="128"/>
        <v>0.41530061851319466</v>
      </c>
      <c r="V51" s="9">
        <f t="shared" si="128"/>
        <v>0.51408472119448989</v>
      </c>
      <c r="W51" s="9">
        <f t="shared" si="128"/>
        <v>0.42400422480856359</v>
      </c>
      <c r="X51" s="9">
        <f t="shared" si="128"/>
        <v>0.26822252374491184</v>
      </c>
      <c r="Y51" s="9">
        <f t="shared" si="128"/>
        <v>0.25501546804823039</v>
      </c>
      <c r="Z51" s="9">
        <f t="shared" si="128"/>
        <v>0.20000000000000018</v>
      </c>
      <c r="AA51" s="9">
        <f t="shared" si="128"/>
        <v>0.19999999999999996</v>
      </c>
      <c r="AB51" s="9">
        <f t="shared" si="128"/>
        <v>0.19999999999999973</v>
      </c>
      <c r="AJ51" s="9">
        <f>AJ26/AI26-1</f>
        <v>0.311207255114615</v>
      </c>
      <c r="AK51" s="9">
        <f>AK26/AJ26-1</f>
        <v>0.39500595887486956</v>
      </c>
    </row>
    <row r="52" spans="2:57" x14ac:dyDescent="0.2">
      <c r="B52" s="2"/>
      <c r="AJ52" s="9"/>
      <c r="AK52" s="9"/>
    </row>
    <row r="53" spans="2:57" x14ac:dyDescent="0.2">
      <c r="B53" s="2" t="s">
        <v>37</v>
      </c>
      <c r="Q53" s="9">
        <f>Q22/Q20</f>
        <v>0.31564953322168754</v>
      </c>
      <c r="R53" s="9">
        <f>R22/R20</f>
        <v>0.31748491316443439</v>
      </c>
      <c r="S53" s="9">
        <f>S22/S20</f>
        <v>0.32285204252493205</v>
      </c>
      <c r="T53" s="9">
        <f t="shared" ref="T53" si="130">T22/T20</f>
        <v>0.3168230140470174</v>
      </c>
      <c r="U53" s="9">
        <f>U22/U20</f>
        <v>0.33482823086981417</v>
      </c>
      <c r="V53" s="9">
        <f>V22/V20</f>
        <v>0.31795701814440863</v>
      </c>
      <c r="W53" s="9">
        <f>W22/W20</f>
        <v>0.32467303859108176</v>
      </c>
      <c r="X53" s="9">
        <f t="shared" ref="X53:Y53" si="131">X22/X20</f>
        <v>0.31479055115000937</v>
      </c>
      <c r="Y53" s="9">
        <f t="shared" si="131"/>
        <v>0.3004470469971437</v>
      </c>
      <c r="AI53" s="9">
        <f>AI22/AI20</f>
        <v>0.28742511821754951</v>
      </c>
      <c r="AJ53" s="9">
        <f>AJ22/AJ20</f>
        <v>0.31825712633087333</v>
      </c>
      <c r="AK53" s="9">
        <f>AK22/AK20</f>
        <v>0.32274230398033144</v>
      </c>
      <c r="AL53" s="9">
        <f t="shared" ref="AL53:AZ53" si="132">AL22/AL20</f>
        <v>0.30789282968502218</v>
      </c>
      <c r="AM53" s="9">
        <f t="shared" si="132"/>
        <v>0.32</v>
      </c>
      <c r="AN53" s="9">
        <f t="shared" si="132"/>
        <v>0.32999999999999996</v>
      </c>
      <c r="AO53" s="9">
        <f t="shared" si="132"/>
        <v>0.34</v>
      </c>
      <c r="AP53" s="9">
        <f t="shared" si="132"/>
        <v>0.35</v>
      </c>
      <c r="AQ53" s="9">
        <f t="shared" si="132"/>
        <v>0.35</v>
      </c>
      <c r="AR53" s="9">
        <f t="shared" si="132"/>
        <v>0.35</v>
      </c>
      <c r="AS53" s="9">
        <f t="shared" si="132"/>
        <v>0.35</v>
      </c>
      <c r="AT53" s="9">
        <f t="shared" si="132"/>
        <v>0.35</v>
      </c>
      <c r="AU53" s="9">
        <f t="shared" si="132"/>
        <v>0.35</v>
      </c>
      <c r="AV53" s="9">
        <f t="shared" si="132"/>
        <v>0.35</v>
      </c>
      <c r="AW53" s="9">
        <f t="shared" si="132"/>
        <v>0.35</v>
      </c>
      <c r="AX53" s="9">
        <f t="shared" si="132"/>
        <v>0.35</v>
      </c>
      <c r="AY53" s="9">
        <f t="shared" si="132"/>
        <v>0.35</v>
      </c>
      <c r="AZ53" s="9">
        <f t="shared" si="132"/>
        <v>0.35000000000000003</v>
      </c>
    </row>
    <row r="54" spans="2:57" x14ac:dyDescent="0.2">
      <c r="B54" s="2" t="s">
        <v>42</v>
      </c>
      <c r="Q54" s="9">
        <f>Q27/Q20</f>
        <v>7.6841071767411506E-2</v>
      </c>
      <c r="R54" s="9">
        <f>R27/R20</f>
        <v>9.6687051022562531E-2</v>
      </c>
      <c r="S54" s="9">
        <f>S27/S20</f>
        <v>7.8334392861805352E-2</v>
      </c>
      <c r="T54" s="9">
        <f t="shared" ref="T54" si="133">T27/T20</f>
        <v>4.3810044668114327E-2</v>
      </c>
      <c r="U54" s="9">
        <f>U27/U20</f>
        <v>6.1950418560715488E-2</v>
      </c>
      <c r="V54" s="9">
        <f>V27/V20</f>
        <v>4.5500865206536886E-2</v>
      </c>
      <c r="W54" s="9">
        <f>W27/W20</f>
        <v>4.2362463363352081E-2</v>
      </c>
      <c r="X54" s="9">
        <f t="shared" ref="X54:Y54" si="134">X27/X20</f>
        <v>3.2848634890061228E-2</v>
      </c>
      <c r="Y54" s="9">
        <f t="shared" si="134"/>
        <v>2.5260300673839622E-2</v>
      </c>
      <c r="AI54" s="9">
        <f t="shared" ref="AI54:AK54" si="135">AI27/AI20</f>
        <v>5.2198825848164911E-2</v>
      </c>
      <c r="AJ54" s="9">
        <f t="shared" si="135"/>
        <v>7.3146805177289859E-2</v>
      </c>
      <c r="AK54" s="9">
        <f t="shared" si="135"/>
        <v>4.5110333178897517E-2</v>
      </c>
      <c r="AL54" s="9">
        <f t="shared" ref="AL54:AZ54" si="136">AL27/AL20</f>
        <v>5.0750012164391539E-2</v>
      </c>
      <c r="AM54" s="9">
        <f t="shared" si="136"/>
        <v>0.10557654076161353</v>
      </c>
      <c r="AN54" s="9">
        <f t="shared" si="136"/>
        <v>0.15392739417963508</v>
      </c>
      <c r="AO54" s="9">
        <f t="shared" si="136"/>
        <v>0.19168240950934518</v>
      </c>
      <c r="AP54" s="9">
        <f t="shared" si="136"/>
        <v>0.23610322037899692</v>
      </c>
      <c r="AQ54" s="9">
        <f t="shared" si="136"/>
        <v>0.25122996408523213</v>
      </c>
      <c r="AR54" s="9">
        <f t="shared" si="136"/>
        <v>0.25986768487175999</v>
      </c>
      <c r="AS54" s="9">
        <f t="shared" si="136"/>
        <v>0.2677762749376924</v>
      </c>
      <c r="AT54" s="9">
        <f t="shared" si="136"/>
        <v>0.27376183754062738</v>
      </c>
      <c r="AU54" s="9">
        <f t="shared" si="136"/>
        <v>0.27669235398351283</v>
      </c>
      <c r="AV54" s="9">
        <f t="shared" si="136"/>
        <v>0.27952185222272197</v>
      </c>
      <c r="AW54" s="9">
        <f t="shared" si="136"/>
        <v>0.28050222647620898</v>
      </c>
      <c r="AX54" s="9">
        <f t="shared" si="136"/>
        <v>0.28147696068217182</v>
      </c>
      <c r="AY54" s="9">
        <f t="shared" si="136"/>
        <v>0.28244571504036819</v>
      </c>
      <c r="AZ54" s="9">
        <f t="shared" si="136"/>
        <v>0.28340817937915991</v>
      </c>
    </row>
    <row r="55" spans="2:57" x14ac:dyDescent="0.2">
      <c r="B55" s="2" t="s">
        <v>193</v>
      </c>
    </row>
    <row r="57" spans="2:57" x14ac:dyDescent="0.2">
      <c r="B57" t="s">
        <v>48</v>
      </c>
      <c r="U57" s="6">
        <f>U58-U69</f>
        <v>557.70800000000008</v>
      </c>
      <c r="V57" s="6">
        <f>V58-V69</f>
        <v>396.75799999999981</v>
      </c>
      <c r="W57" s="6">
        <f>W58-W69</f>
        <v>209.64199999999983</v>
      </c>
      <c r="X57" s="6">
        <f>X58-X69</f>
        <v>-60.646999999999935</v>
      </c>
      <c r="Y57" s="6">
        <f>Y58-Y69</f>
        <v>-299.74699999999984</v>
      </c>
      <c r="Z57" s="6">
        <f t="shared" ref="Z57:AB57" si="137">+Y57+Z31</f>
        <v>-221.45871649129921</v>
      </c>
      <c r="AA57" s="6">
        <f t="shared" si="137"/>
        <v>-146.23237618801895</v>
      </c>
      <c r="AB57" s="6">
        <f t="shared" si="137"/>
        <v>-72.955794170526133</v>
      </c>
      <c r="AC57" s="6"/>
      <c r="AL57" s="6">
        <f>+AB57</f>
        <v>-72.955794170526133</v>
      </c>
      <c r="AM57" s="6">
        <f>+AL57+AM31</f>
        <v>899.97349822312208</v>
      </c>
      <c r="AN57" s="6">
        <f t="shared" ref="AN57:AZ57" si="138">+AM57+AN31</f>
        <v>2710.1818574831727</v>
      </c>
      <c r="AO57" s="6">
        <f t="shared" si="138"/>
        <v>5514.2027015935437</v>
      </c>
      <c r="AP57" s="6">
        <f t="shared" si="138"/>
        <v>10217.567444833227</v>
      </c>
      <c r="AQ57" s="6">
        <f t="shared" si="138"/>
        <v>16176.717625561938</v>
      </c>
      <c r="AR57" s="6">
        <f t="shared" si="138"/>
        <v>23047.749420693479</v>
      </c>
      <c r="AS57" s="6">
        <f t="shared" si="138"/>
        <v>30938.0890316199</v>
      </c>
      <c r="AT57" s="6">
        <f t="shared" si="138"/>
        <v>39784.002547675715</v>
      </c>
      <c r="AU57" s="6">
        <f t="shared" si="138"/>
        <v>49248.42033341249</v>
      </c>
      <c r="AV57" s="6">
        <f t="shared" si="138"/>
        <v>59368.332075149956</v>
      </c>
      <c r="AW57" s="6">
        <f t="shared" si="138"/>
        <v>69859.898193321162</v>
      </c>
      <c r="AX57" s="6">
        <f t="shared" si="138"/>
        <v>80735.813604660914</v>
      </c>
      <c r="AY57" s="6">
        <f t="shared" si="138"/>
        <v>92009.18837001652</v>
      </c>
      <c r="AZ57" s="6">
        <f t="shared" si="138"/>
        <v>103693.56362678294</v>
      </c>
    </row>
    <row r="58" spans="2:57" s="2" customFormat="1" x14ac:dyDescent="0.2">
      <c r="B58" s="2" t="s">
        <v>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f>2454.777+502.931</f>
        <v>2957.7080000000001</v>
      </c>
      <c r="V58" s="6">
        <f>2293.872+502.886</f>
        <v>2796.7579999999998</v>
      </c>
      <c r="W58" s="6">
        <f>2115.437+494.205</f>
        <v>2609.6419999999998</v>
      </c>
      <c r="X58" s="6">
        <f>1809.33+501.385</f>
        <v>2310.7150000000001</v>
      </c>
      <c r="Y58" s="6">
        <f>1605.244+467.227</f>
        <v>2072.471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2:57" s="2" customFormat="1" x14ac:dyDescent="0.2">
      <c r="B59" s="2" t="s">
        <v>44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>
        <f>2370.447+3312.353</f>
        <v>5682.8</v>
      </c>
      <c r="V59" s="6">
        <f>2510.946+3640.767</f>
        <v>6151.7129999999997</v>
      </c>
      <c r="W59" s="6">
        <f>2695.184+3891.79</f>
        <v>6586.9740000000002</v>
      </c>
      <c r="X59" s="6">
        <f>2905.998+4312.817</f>
        <v>7218.8150000000005</v>
      </c>
      <c r="Y59" s="6">
        <f>3258.641+5260.16</f>
        <v>8518.8009999999995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spans="2:57" s="2" customFormat="1" x14ac:dyDescent="0.2">
      <c r="B60" s="2" t="s">
        <v>51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210.90100000000001</v>
      </c>
      <c r="V60" s="6">
        <v>292.80599999999998</v>
      </c>
      <c r="W60" s="6">
        <v>264.887</v>
      </c>
      <c r="X60" s="6">
        <v>215.12700000000001</v>
      </c>
      <c r="Y60" s="6">
        <v>212.72399999999999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 spans="2:57" s="2" customFormat="1" x14ac:dyDescent="0.2">
      <c r="B61" s="2" t="s">
        <v>49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>
        <v>145.816</v>
      </c>
      <c r="V61" s="6">
        <v>171.39599999999999</v>
      </c>
      <c r="W61" s="6">
        <v>181.268</v>
      </c>
      <c r="X61" s="6">
        <v>173.41200000000001</v>
      </c>
      <c r="Y61" s="6">
        <v>166.25399999999999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 spans="2:57" s="2" customFormat="1" x14ac:dyDescent="0.2">
      <c r="B62" s="2" t="s">
        <v>50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>
        <v>243.40100000000001</v>
      </c>
      <c r="V62" s="6">
        <v>242.18799999999999</v>
      </c>
      <c r="W62" s="6">
        <v>273.49599999999998</v>
      </c>
      <c r="X62" s="6">
        <v>284.80200000000002</v>
      </c>
      <c r="Y62" s="6">
        <v>292.024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 spans="2:57" s="2" customFormat="1" x14ac:dyDescent="0.2">
      <c r="B63" s="2" t="s">
        <v>45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f>SUM(U58:U62)</f>
        <v>9240.6260000000002</v>
      </c>
      <c r="V63" s="6">
        <f>SUM(V58:V62)</f>
        <v>9654.8610000000008</v>
      </c>
      <c r="W63" s="6">
        <f>SUM(W58:W62)</f>
        <v>9916.2669999999998</v>
      </c>
      <c r="X63" s="6">
        <f>SUM(X58:X62)</f>
        <v>10202.871000000001</v>
      </c>
      <c r="Y63" s="6">
        <f>SUM(Y58:Y62)</f>
        <v>11262.273999999999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 spans="2:57" s="2" customFormat="1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 spans="2:57" s="2" customFormat="1" x14ac:dyDescent="0.2">
      <c r="B65" s="2" t="s">
        <v>44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>
        <f>2425.619+1861.791</f>
        <v>4287.41</v>
      </c>
      <c r="V65" s="6">
        <f>2556.18+1942.624</f>
        <v>4498.8040000000001</v>
      </c>
      <c r="W65" s="6">
        <f>2622.964+1966.854</f>
        <v>4589.8180000000002</v>
      </c>
      <c r="X65" s="6">
        <f>2789.023+2026.36</f>
        <v>4815.3829999999998</v>
      </c>
      <c r="Y65" s="6">
        <f>3145.861+2586.098</f>
        <v>5731.9589999999998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 spans="2:57" s="2" customFormat="1" x14ac:dyDescent="0.2">
      <c r="B66" s="2" t="s">
        <v>52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>
        <v>190.56700000000001</v>
      </c>
      <c r="V66" s="6">
        <v>211.72900000000001</v>
      </c>
      <c r="W66" s="6">
        <v>209.36500000000001</v>
      </c>
      <c r="X66" s="6">
        <v>253.49100000000001</v>
      </c>
      <c r="Y66" s="6">
        <v>231.91399999999999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 spans="2:57" s="2" customFormat="1" x14ac:dyDescent="0.2">
      <c r="B67" s="2" t="s">
        <v>53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>
        <v>107.32299999999999</v>
      </c>
      <c r="V67" s="6">
        <v>150.40600000000001</v>
      </c>
      <c r="W67" s="6">
        <v>179.35</v>
      </c>
      <c r="X67" s="6">
        <v>140.38900000000001</v>
      </c>
      <c r="Y67" s="6">
        <v>181.63399999999999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2:57" s="2" customFormat="1" x14ac:dyDescent="0.2">
      <c r="B68" s="2" t="s">
        <v>54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285.33999999999997</v>
      </c>
      <c r="V68" s="6">
        <v>301.75400000000002</v>
      </c>
      <c r="W68" s="6">
        <v>329.73899999999998</v>
      </c>
      <c r="X68" s="6">
        <v>346.721</v>
      </c>
      <c r="Y68" s="6">
        <v>374.22300000000001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2:57" s="2" customFormat="1" x14ac:dyDescent="0.2">
      <c r="B69" s="2" t="s">
        <v>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>
        <v>2400</v>
      </c>
      <c r="V69" s="6">
        <v>2400</v>
      </c>
      <c r="W69" s="6">
        <v>2400</v>
      </c>
      <c r="X69" s="6">
        <v>2371.3620000000001</v>
      </c>
      <c r="Y69" s="6">
        <v>2372.2179999999998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 spans="2:57" s="2" customFormat="1" x14ac:dyDescent="0.2">
      <c r="B70" s="2" t="s">
        <v>55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60.771999999999998</v>
      </c>
      <c r="V70" s="6">
        <v>60.093000000000004</v>
      </c>
      <c r="W70" s="6">
        <v>40.677</v>
      </c>
      <c r="X70" s="6">
        <v>52.098999999999997</v>
      </c>
      <c r="Y70" s="6">
        <v>53.093000000000004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 spans="2:57" s="2" customFormat="1" x14ac:dyDescent="0.2">
      <c r="B71" s="2" t="s">
        <v>47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f>SUM(U65:U70)</f>
        <v>7331.4120000000003</v>
      </c>
      <c r="V71" s="6">
        <f>SUM(V65:V70)</f>
        <v>7622.7860000000001</v>
      </c>
      <c r="W71" s="6">
        <f>SUM(W65:W70)</f>
        <v>7748.9489999999996</v>
      </c>
      <c r="X71" s="6">
        <f>SUM(X65:X70)</f>
        <v>7979.4450000000006</v>
      </c>
      <c r="Y71" s="6">
        <f>SUM(Y65:Y70)</f>
        <v>8945.0410000000011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 spans="2:57" s="2" customFormat="1" x14ac:dyDescent="0.2">
      <c r="B72" s="2" t="s">
        <v>81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>
        <v>1909.2139999999999</v>
      </c>
      <c r="V72" s="6">
        <v>2032.075</v>
      </c>
      <c r="W72" s="6">
        <v>2167.3180000000002</v>
      </c>
      <c r="X72" s="6">
        <v>2223.4259999999999</v>
      </c>
      <c r="Y72" s="6">
        <v>2317.2330000000002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2:57" s="2" customFormat="1" x14ac:dyDescent="0.2">
      <c r="B73" s="2" t="s">
        <v>46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f>U72+U71</f>
        <v>9240.6260000000002</v>
      </c>
      <c r="V73" s="6">
        <f>V72+V71</f>
        <v>9654.8610000000008</v>
      </c>
      <c r="W73" s="6">
        <f>W72+W71</f>
        <v>9916.2669999999998</v>
      </c>
      <c r="X73" s="6">
        <f>X72+X71</f>
        <v>10202.871000000001</v>
      </c>
      <c r="Y73" s="6">
        <f>Y72+Y71</f>
        <v>11262.274000000001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5" spans="2:57" s="2" customFormat="1" x14ac:dyDescent="0.2">
      <c r="B75" s="2" t="s">
        <v>43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>
        <f>+U31</f>
        <v>23.695999999999788</v>
      </c>
      <c r="V75" s="6">
        <f>+V31</f>
        <v>26.33499999999998</v>
      </c>
      <c r="W75" s="6">
        <f>+W31</f>
        <v>29.43199999999991</v>
      </c>
      <c r="X75" s="6">
        <f>+X31</f>
        <v>43.177999999999997</v>
      </c>
      <c r="Y75" s="6">
        <f t="shared" ref="Y75" si="139">+Y31</f>
        <v>27.65800000000009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2:57" s="2" customFormat="1" x14ac:dyDescent="0.2">
      <c r="B76" s="2" t="s">
        <v>56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>
        <v>23.696000000000002</v>
      </c>
      <c r="V76" s="6">
        <v>26.335000000000001</v>
      </c>
      <c r="W76" s="6">
        <v>29.431999999999999</v>
      </c>
      <c r="X76" s="6">
        <v>43.177999999999997</v>
      </c>
      <c r="Y76" s="6">
        <v>27.658000000000001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2:57" s="2" customFormat="1" x14ac:dyDescent="0.2">
      <c r="B77" s="2" t="s">
        <v>57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-1611.925</v>
      </c>
      <c r="V77" s="6">
        <v>-1273.6769999999999</v>
      </c>
      <c r="W77" s="6">
        <v>-1308.943</v>
      </c>
      <c r="X77" s="6">
        <v>-1550.326</v>
      </c>
      <c r="Y77" s="6">
        <v>-2316.5990000000002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2:57" s="2" customFormat="1" x14ac:dyDescent="0.2">
      <c r="B78" s="2" t="s">
        <v>58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626.32500000000005</v>
      </c>
      <c r="V78" s="6">
        <v>191.154</v>
      </c>
      <c r="W78" s="6">
        <v>104.684</v>
      </c>
      <c r="X78" s="6">
        <v>240.25</v>
      </c>
      <c r="Y78" s="6">
        <v>905.72299999999996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2:57" s="2" customFormat="1" x14ac:dyDescent="0.2">
      <c r="B79" s="2" t="s">
        <v>59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749.51800000000003</v>
      </c>
      <c r="V79" s="6">
        <v>822.6</v>
      </c>
      <c r="W79" s="6">
        <v>871.40300000000002</v>
      </c>
      <c r="X79" s="6">
        <v>961.86099999999999</v>
      </c>
      <c r="Y79" s="6">
        <v>1058.521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2:57" s="2" customFormat="1" x14ac:dyDescent="0.2">
      <c r="B80" s="2" t="s">
        <v>65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21.184999999999999</v>
      </c>
      <c r="V80" s="6">
        <v>20.812999999999999</v>
      </c>
      <c r="W80" s="6">
        <v>18.588999999999999</v>
      </c>
      <c r="X80" s="6">
        <v>18.792999999999999</v>
      </c>
      <c r="Y80" s="6">
        <v>20.440999999999999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2:57" s="2" customFormat="1" x14ac:dyDescent="0.2">
      <c r="B81" s="2" t="s">
        <v>60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15.167</v>
      </c>
      <c r="V81" s="6">
        <v>15.581</v>
      </c>
      <c r="W81" s="6">
        <v>16.047000000000001</v>
      </c>
      <c r="X81" s="6">
        <v>15.488</v>
      </c>
      <c r="Y81" s="6">
        <v>14.798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2:57" s="2" customFormat="1" x14ac:dyDescent="0.2">
      <c r="B82" s="2" t="s">
        <v>61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>
        <v>27.440999999999999</v>
      </c>
      <c r="V82" s="6">
        <v>28.59</v>
      </c>
      <c r="W82" s="6">
        <v>32.834000000000003</v>
      </c>
      <c r="X82" s="6">
        <v>35.86</v>
      </c>
      <c r="Y82" s="6">
        <v>42.421999999999997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2:57" s="2" customFormat="1" x14ac:dyDescent="0.2">
      <c r="B83" s="2" t="s">
        <v>62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-29.001000000000001</v>
      </c>
      <c r="V83" s="6">
        <v>-39.427</v>
      </c>
      <c r="W83" s="6">
        <v>-37.725999999999999</v>
      </c>
      <c r="X83" s="6">
        <v>25.683</v>
      </c>
      <c r="Y83" s="6">
        <v>-11.316000000000001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2:57" s="2" customFormat="1" x14ac:dyDescent="0.2">
      <c r="B84" s="2" t="s">
        <v>63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6.306</v>
      </c>
      <c r="V84" s="6">
        <v>6.6820000000000004</v>
      </c>
      <c r="W84" s="6">
        <v>10.866</v>
      </c>
      <c r="X84" s="6">
        <v>7.774</v>
      </c>
      <c r="Y84" s="6">
        <v>12.757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2:57" s="2" customFormat="1" x14ac:dyDescent="0.2">
      <c r="B85" s="2" t="s">
        <v>64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>
        <v>-37.042000000000002</v>
      </c>
      <c r="V85" s="6">
        <v>-4.2320000000000002</v>
      </c>
      <c r="W85" s="6">
        <v>-29.417000000000002</v>
      </c>
      <c r="X85" s="6">
        <v>12.036</v>
      </c>
      <c r="Y85" s="6">
        <v>-16.603000000000002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2:57" s="2" customFormat="1" x14ac:dyDescent="0.2">
      <c r="B86" s="2" t="s">
        <v>51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>
        <v>23.109000000000002</v>
      </c>
      <c r="V86" s="6">
        <v>-39.613999999999997</v>
      </c>
      <c r="W86" s="6">
        <v>71.171999999999997</v>
      </c>
      <c r="X86" s="6">
        <v>-62.755000000000003</v>
      </c>
      <c r="Y86" s="6">
        <v>14.308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2:57" s="2" customFormat="1" x14ac:dyDescent="0.2">
      <c r="B87" s="2" t="s">
        <v>52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>
        <v>-10.625</v>
      </c>
      <c r="V87" s="6">
        <v>6.4470000000000001</v>
      </c>
      <c r="W87" s="6">
        <v>6.7619999999999996</v>
      </c>
      <c r="X87" s="6">
        <v>49.030999999999999</v>
      </c>
      <c r="Y87" s="6">
        <v>-19.89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2:57" s="2" customFormat="1" x14ac:dyDescent="0.2">
      <c r="B88" s="2" t="s">
        <v>53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>
        <v>35.921999999999997</v>
      </c>
      <c r="V88" s="6">
        <v>41.624000000000002</v>
      </c>
      <c r="W88" s="6">
        <v>10.882999999999999</v>
      </c>
      <c r="X88" s="6">
        <v>-39.619</v>
      </c>
      <c r="Y88" s="6">
        <v>41.231999999999999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2:57" s="2" customFormat="1" x14ac:dyDescent="0.2">
      <c r="B89" s="2" t="s">
        <v>54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>
        <v>10.754</v>
      </c>
      <c r="V89" s="6">
        <v>16.414000000000001</v>
      </c>
      <c r="W89" s="6">
        <v>27.984999999999999</v>
      </c>
      <c r="X89" s="6">
        <v>16.981999999999999</v>
      </c>
      <c r="Y89" s="6">
        <v>27.501999999999999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2:57" s="2" customFormat="1" x14ac:dyDescent="0.2">
      <c r="B90" s="2" t="s">
        <v>66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21.788</v>
      </c>
      <c r="V90" s="6">
        <v>-0.63300000000000001</v>
      </c>
      <c r="W90" s="6">
        <v>-20.54</v>
      </c>
      <c r="X90" s="6">
        <v>-18.981000000000002</v>
      </c>
      <c r="Y90" s="6">
        <v>-29.536000000000001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2:57" s="2" customFormat="1" x14ac:dyDescent="0.2">
      <c r="B91" s="2" t="s">
        <v>67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f>SUM(U76:U90)</f>
        <v>-127.38199999999996</v>
      </c>
      <c r="V91" s="6">
        <f>SUM(V76:V90)</f>
        <v>-181.34299999999988</v>
      </c>
      <c r="W91" s="6">
        <f>SUM(W76:W90)</f>
        <v>-195.96899999999997</v>
      </c>
      <c r="X91" s="6">
        <f>SUM(X76:X90)</f>
        <v>-244.74500000000012</v>
      </c>
      <c r="Y91" s="6">
        <f>SUM(Y76:Y90)</f>
        <v>-228.58200000000036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3" spans="2:57" s="2" customFormat="1" x14ac:dyDescent="0.2">
      <c r="B93" s="2" t="s">
        <v>68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-22.905999999999999</v>
      </c>
      <c r="V93" s="6">
        <v>-19.786000000000001</v>
      </c>
      <c r="W93" s="6">
        <v>-14.467000000000001</v>
      </c>
      <c r="X93" s="6">
        <v>-20.798999999999999</v>
      </c>
      <c r="Y93" s="6">
        <v>-23.207000000000001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2:57" s="2" customFormat="1" x14ac:dyDescent="0.2">
      <c r="B94" s="2" t="s">
        <v>69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>
        <v>-13.036</v>
      </c>
      <c r="V94" s="6">
        <v>-27.538</v>
      </c>
      <c r="W94" s="6">
        <v>-37.82</v>
      </c>
      <c r="X94" s="6">
        <v>-12.853999999999999</v>
      </c>
      <c r="Y94" s="6">
        <v>-8.4250000000000007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2:57" s="2" customFormat="1" x14ac:dyDescent="0.2">
      <c r="B95" s="2" t="s">
        <v>71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>
        <v>0.22500000000000001</v>
      </c>
      <c r="V95" s="6">
        <v>-0.63900000000000001</v>
      </c>
      <c r="W95" s="6">
        <v>-3.76</v>
      </c>
      <c r="X95" s="6">
        <v>2.262</v>
      </c>
      <c r="Y95" s="6">
        <v>-0.35599999999999998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2:57" s="2" customFormat="1" x14ac:dyDescent="0.2">
      <c r="B96" s="2" t="s">
        <v>72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>
        <v>-90.94</v>
      </c>
      <c r="V96" s="6">
        <v>-67.948999999999998</v>
      </c>
      <c r="W96" s="6">
        <v>-66.444000000000003</v>
      </c>
      <c r="X96" s="6">
        <v>-146.58199999999999</v>
      </c>
      <c r="Y96" s="6">
        <v>-34.962000000000003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</row>
    <row r="97" spans="2:57" s="2" customFormat="1" x14ac:dyDescent="0.2">
      <c r="B97" s="2" t="s">
        <v>73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>
        <v>51.948</v>
      </c>
      <c r="V97" s="6">
        <v>48.411999999999999</v>
      </c>
      <c r="W97" s="6">
        <v>43.887</v>
      </c>
      <c r="X97" s="6">
        <v>114.83199999999999</v>
      </c>
      <c r="Y97" s="6">
        <v>8.1880000000000006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2:57" s="2" customFormat="1" x14ac:dyDescent="0.2">
      <c r="B98" s="2" t="s">
        <v>74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>
        <v>31.887</v>
      </c>
      <c r="V98" s="6">
        <v>19.170000000000002</v>
      </c>
      <c r="W98" s="6">
        <v>31.125</v>
      </c>
      <c r="X98" s="6">
        <v>22.58</v>
      </c>
      <c r="Y98" s="6">
        <v>63.024999999999999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2:57" s="2" customFormat="1" x14ac:dyDescent="0.2">
      <c r="B99" s="2" t="s">
        <v>70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f>SUM(U93:U98)</f>
        <v>-42.822000000000003</v>
      </c>
      <c r="V99" s="6">
        <f>SUM(V93:V98)</f>
        <v>-48.33</v>
      </c>
      <c r="W99" s="6">
        <f>SUM(W93:W98)</f>
        <v>-47.478999999999999</v>
      </c>
      <c r="X99" s="6">
        <f>SUM(X93:X98)</f>
        <v>-40.560999999999993</v>
      </c>
      <c r="Y99" s="6">
        <f>SUM(Y93:Y98)</f>
        <v>4.2629999999999981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1" spans="2:57" s="2" customFormat="1" x14ac:dyDescent="0.2">
      <c r="B101" s="2" t="s">
        <v>80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>
        <f>10.916-17.232</f>
        <v>-6.3159999999999989</v>
      </c>
      <c r="V101" s="6">
        <f>23.804-0.397</f>
        <v>23.407</v>
      </c>
      <c r="W101" s="6">
        <v>35.088999999999999</v>
      </c>
      <c r="X101" s="6">
        <v>8.1709999999999994</v>
      </c>
      <c r="Y101" s="6">
        <v>3.536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2:57" s="2" customFormat="1" x14ac:dyDescent="0.2">
      <c r="B102" s="2" t="s">
        <v>84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1500</v>
      </c>
      <c r="V102" s="6">
        <v>0</v>
      </c>
      <c r="W102" s="6">
        <v>0</v>
      </c>
      <c r="X102" s="6">
        <v>0</v>
      </c>
      <c r="Y102" s="6">
        <v>0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2:57" s="2" customFormat="1" x14ac:dyDescent="0.2">
      <c r="B103" s="2" t="s">
        <v>79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29.001000000000001</v>
      </c>
      <c r="V103" s="6">
        <v>39.427</v>
      </c>
      <c r="W103" s="6">
        <v>37.725999999999999</v>
      </c>
      <c r="X103" s="6">
        <v>-25.683</v>
      </c>
      <c r="Y103" s="6">
        <v>11.316000000000001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2:57" s="2" customFormat="1" x14ac:dyDescent="0.2">
      <c r="B104" s="2" t="s">
        <v>78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>
        <v>-0.251</v>
      </c>
      <c r="V104" s="6">
        <v>-0.28699999999999998</v>
      </c>
      <c r="W104" s="6">
        <v>-6.0999999999999999E-2</v>
      </c>
      <c r="X104" s="6">
        <v>5.3999999999999999E-2</v>
      </c>
      <c r="Y104" s="6">
        <v>5.5E-2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 spans="2:57" s="2" customFormat="1" x14ac:dyDescent="0.2">
      <c r="B105" s="2" t="s">
        <v>77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>
        <f>SUM(U101:U104)</f>
        <v>1522.434</v>
      </c>
      <c r="V105" s="6">
        <f>SUM(V101:V104)</f>
        <v>62.547000000000004</v>
      </c>
      <c r="W105" s="6">
        <f>SUM(W101:W104)</f>
        <v>72.753999999999991</v>
      </c>
      <c r="X105" s="6">
        <f>SUM(X101:X104)</f>
        <v>-17.458000000000002</v>
      </c>
      <c r="Y105" s="6">
        <f>SUM(Y101:Y104)</f>
        <v>14.907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 spans="2:57" s="2" customFormat="1" x14ac:dyDescent="0.2">
      <c r="B106" s="2" t="s">
        <v>76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>
        <v>-11.061</v>
      </c>
      <c r="V106" s="6">
        <v>6.2210000000000001</v>
      </c>
      <c r="W106" s="6">
        <v>-7.7409999999999997</v>
      </c>
      <c r="X106" s="6">
        <v>-3.343</v>
      </c>
      <c r="Y106" s="6">
        <v>5.3339999999999996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 spans="2:57" s="2" customFormat="1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 spans="2:57" s="7" customFormat="1" x14ac:dyDescent="0.2">
      <c r="B108" s="7" t="s">
        <v>75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>
        <f>+V106+V105+V99+V91</f>
        <v>-160.90499999999986</v>
      </c>
      <c r="W108" s="8">
        <f>+W106+W105+W99+W91</f>
        <v>-178.43499999999997</v>
      </c>
      <c r="X108" s="8">
        <f>+X106+X105+X99+X91</f>
        <v>-306.10700000000008</v>
      </c>
      <c r="Y108" s="8">
        <f>+Y106+Y105+Y99+Y91</f>
        <v>-204.07800000000037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</row>
    <row r="109" spans="2:57" s="12" customFormat="1" x14ac:dyDescent="0.2">
      <c r="B109" s="7" t="s">
        <v>82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8">
        <f>V57-U57</f>
        <v>-160.95000000000027</v>
      </c>
      <c r="W109" s="8">
        <f>W57-V57</f>
        <v>-187.11599999999999</v>
      </c>
      <c r="X109" s="8">
        <f>X57-W57</f>
        <v>-270.28899999999976</v>
      </c>
      <c r="Y109" s="8">
        <f>Y57-X57</f>
        <v>-239.09999999999991</v>
      </c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</row>
    <row r="110" spans="2:57" x14ac:dyDescent="0.2">
      <c r="B110" s="2" t="s">
        <v>43</v>
      </c>
      <c r="U110" s="6">
        <f>U75</f>
        <v>23.695999999999788</v>
      </c>
      <c r="V110" s="6">
        <f>V75</f>
        <v>26.33499999999998</v>
      </c>
      <c r="W110" s="6">
        <f>W75</f>
        <v>29.43199999999991</v>
      </c>
      <c r="X110" s="6">
        <f>X75</f>
        <v>43.177999999999997</v>
      </c>
      <c r="Y110" s="6">
        <f>Y75</f>
        <v>27.65800000000009</v>
      </c>
    </row>
    <row r="111" spans="2:57" s="12" customFormat="1" x14ac:dyDescent="0.2">
      <c r="B111" s="7" t="s">
        <v>83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8">
        <f>U75-U82-U83-U81+U94</f>
        <v>-2.9470000000002088</v>
      </c>
      <c r="V111" s="8">
        <f>V75-V82-V83-V81+V94</f>
        <v>-5.9470000000000169</v>
      </c>
      <c r="W111" s="8">
        <f>W75-W82-W83-W81+W94</f>
        <v>-19.543000000000095</v>
      </c>
      <c r="X111" s="8">
        <f>X75-X82-X83-X81+X94</f>
        <v>-46.707000000000001</v>
      </c>
      <c r="Y111" s="8">
        <f>Y75-Y82-Y83-Y81+Y94</f>
        <v>-26.670999999999907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</row>
    <row r="120" spans="2:2" x14ac:dyDescent="0.2">
      <c r="B120" t="s">
        <v>87</v>
      </c>
    </row>
    <row r="139" spans="2:2" x14ac:dyDescent="0.2">
      <c r="B139" t="s">
        <v>174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2016-03-26T20:02:37Z</dcterms:created>
  <dcterms:modified xsi:type="dcterms:W3CDTF">2016-04-25T21:22:27Z</dcterms:modified>
</cp:coreProperties>
</file>